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Library/CloudStorage/GoogleDrive-alabergere@stock-co2.fr/Drive partagés/STOCK CO2/5 - STOCKEURS/02-FORET-VERGERS/2-NOTIFIE/318-R-PLANFOR-NAQ(40)-Massi-Laluque/"/>
    </mc:Choice>
  </mc:AlternateContent>
  <xr:revisionPtr revIDLastSave="0" documentId="13_ncr:1_{A278638A-2E6A-9B44-B4C5-5BF513DE0275}" xr6:coauthVersionLast="47" xr6:coauthVersionMax="47" xr10:uidLastSave="{00000000-0000-0000-0000-000000000000}"/>
  <bookViews>
    <workbookView xWindow="0" yWindow="760" windowWidth="29040" windowHeight="15720" tabRatio="866" firstSheet="1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65" i="6" l="1"/>
  <c r="E234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71" i="6"/>
  <c r="C225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09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47" i="6"/>
  <c r="C123" i="6"/>
  <c r="C117" i="6"/>
  <c r="C118" i="6"/>
  <c r="C119" i="6"/>
  <c r="C120" i="6"/>
  <c r="C121" i="6"/>
  <c r="C122" i="6"/>
  <c r="C124" i="6"/>
  <c r="C125" i="6"/>
  <c r="C126" i="6"/>
  <c r="C127" i="6"/>
  <c r="C128" i="6"/>
  <c r="C129" i="6"/>
  <c r="C130" i="6"/>
  <c r="C131" i="6"/>
  <c r="C132" i="6"/>
  <c r="C116" i="6"/>
  <c r="C88" i="6"/>
  <c r="C89" i="6"/>
  <c r="C90" i="6"/>
  <c r="C91" i="6"/>
  <c r="C92" i="6"/>
  <c r="C87" i="6"/>
  <c r="C85" i="6"/>
  <c r="C86" i="6"/>
  <c r="C55" i="6"/>
  <c r="C56" i="6"/>
  <c r="C57" i="6"/>
  <c r="C58" i="6"/>
  <c r="C59" i="6"/>
  <c r="C60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54" i="6"/>
  <c r="C37" i="6"/>
  <c r="C38" i="6"/>
  <c r="C39" i="6"/>
  <c r="C40" i="6"/>
  <c r="C179" i="6" l="1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78" i="6"/>
  <c r="C303" i="6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20" i="6"/>
  <c r="C321" i="6"/>
  <c r="C302" i="6"/>
  <c r="C289" i="6"/>
  <c r="C290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40" i="6"/>
  <c r="C226" i="6"/>
  <c r="C227" i="6"/>
  <c r="C228" i="6"/>
  <c r="C161" i="6"/>
  <c r="C162" i="6"/>
  <c r="C163" i="6"/>
  <c r="C164" i="6"/>
  <c r="C165" i="6"/>
  <c r="C166" i="6"/>
  <c r="C133" i="6"/>
  <c r="C134" i="6"/>
  <c r="C135" i="6"/>
  <c r="C93" i="6"/>
  <c r="C94" i="6"/>
  <c r="C95" i="6"/>
  <c r="C96" i="6"/>
  <c r="C97" i="6"/>
  <c r="C98" i="6"/>
  <c r="C99" i="6"/>
  <c r="C100" i="6"/>
  <c r="C101" i="6"/>
  <c r="C102" i="6"/>
  <c r="C103" i="6"/>
  <c r="C104" i="6"/>
  <c r="C41" i="6"/>
  <c r="C42" i="6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EC4" i="2"/>
  <c r="GL4" i="2"/>
  <c r="F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EA5" i="2"/>
  <c r="EC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V7" i="2" l="1"/>
  <c r="EA7" i="2"/>
  <c r="HI7" i="2"/>
  <c r="EX7" i="2"/>
  <c r="EB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G10" i="2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C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HG18" i="2"/>
  <c r="FS18" i="2"/>
  <c r="EW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FS20" i="2"/>
  <c r="EC20" i="2"/>
  <c r="HG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HI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A22" i="2"/>
  <c r="HG22" i="2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HI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FS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C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EB33" i="2"/>
  <c r="EA33" i="2"/>
  <c r="EV33" i="2"/>
  <c r="HG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EB35" i="2"/>
  <c r="HH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EA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EA38" i="2"/>
  <c r="EW38" i="2"/>
  <c r="HG38" i="2"/>
  <c r="FS38" i="2"/>
  <c r="HH38" i="2"/>
  <c r="HI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DG43" i="2"/>
  <c r="HG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EC44" i="2"/>
  <c r="HG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EB45" i="2"/>
  <c r="HI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HI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EV57" i="2"/>
  <c r="FS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HH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I60" i="2"/>
  <c r="HG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A61" i="2"/>
  <c r="EX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I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H71" i="2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S74" i="2"/>
  <c r="HG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EB78" i="2"/>
  <c r="HI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G85" i="2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X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A105" i="2"/>
  <c r="FS105" i="2"/>
  <c r="EV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B107" i="2"/>
  <c r="EX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EC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X113" i="2"/>
  <c r="EW113" i="2"/>
  <c r="EC113" i="2"/>
  <c r="HG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V116" i="2"/>
  <c r="EC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HH118" i="2"/>
  <c r="EC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HI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EC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FS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HG128" i="2"/>
  <c r="EB128" i="2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EX130" i="2"/>
  <c r="EB130" i="2"/>
  <c r="HH130" i="2"/>
  <c r="HI130" i="2"/>
  <c r="HG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I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X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FS139" i="2"/>
  <c r="EA139" i="2"/>
  <c r="HH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FS140" i="2"/>
  <c r="FR140" i="2"/>
  <c r="EC140" i="2"/>
  <c r="EB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EA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C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H144" i="2"/>
  <c r="HG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HH145" i="2"/>
  <c r="EA145" i="2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HG146" i="2"/>
  <c r="FS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HG150" i="2"/>
  <c r="EC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X151" i="2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B154" i="2"/>
  <c r="HH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X155" i="2" l="1"/>
  <c r="ED154" i="2"/>
  <c r="DI154" i="2"/>
  <c r="AC154" i="2"/>
  <c r="EY154" i="2"/>
  <c r="EA155" i="2"/>
  <c r="EW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ED155" i="2"/>
  <c r="DH156" i="2"/>
  <c r="AB156" i="2"/>
  <c r="HG156" i="2"/>
  <c r="EX156" i="2"/>
  <c r="HH156" i="2"/>
  <c r="EB156" i="2"/>
  <c r="FS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EC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EV158" i="2"/>
  <c r="EW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HI159" i="2"/>
  <c r="EC159" i="2"/>
  <c r="EA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ED159" i="2"/>
  <c r="HG160" i="2"/>
  <c r="EC160" i="2"/>
  <c r="D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ED160" i="2"/>
  <c r="EB161" i="2"/>
  <c r="EA161" i="2"/>
  <c r="AB161" i="2"/>
  <c r="HH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B162" i="2"/>
  <c r="DI161" i="2"/>
  <c r="EY161" i="2"/>
  <c r="EC162" i="2"/>
  <c r="EW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EY162" i="2"/>
  <c r="HI163" i="2"/>
  <c r="EB163" i="2"/>
  <c r="EV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V164" i="2" l="1"/>
  <c r="EY163" i="2"/>
  <c r="EA164" i="2"/>
  <c r="ED163" i="2"/>
  <c r="FS164" i="2"/>
  <c r="DI163" i="2"/>
  <c r="DH164" i="2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A165" i="2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ED165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EX167" i="2"/>
  <c r="DG167" i="2"/>
  <c r="EA167" i="2"/>
  <c r="EB167" i="2"/>
  <c r="FR167" i="2"/>
  <c r="EC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C168" i="2"/>
  <c r="DI167" i="2"/>
  <c r="DG168" i="2"/>
  <c r="EW168" i="2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X169" i="2"/>
  <c r="EA169" i="2"/>
  <c r="EB169" i="2"/>
  <c r="HH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V172" i="2"/>
  <c r="EB172" i="2"/>
  <c r="EA172" i="2"/>
  <c r="ED171" i="2"/>
  <c r="EW172" i="2"/>
  <c r="HG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HH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FS175" i="2"/>
  <c r="EB175" i="2"/>
  <c r="ED174" i="2"/>
  <c r="EW175" i="2"/>
  <c r="HI175" i="2"/>
  <c r="EA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EW177" i="2"/>
  <c r="EC177" i="2"/>
  <c r="FQ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S178" i="2"/>
  <c r="ED177" i="2"/>
  <c r="EB178" i="2"/>
  <c r="FQ178" i="2"/>
  <c r="EW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A179" i="2" l="1"/>
  <c r="EV179" i="2"/>
  <c r="DF179" i="2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D179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ED180" i="2"/>
  <c r="HG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DG182" i="2"/>
  <c r="FS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Y182" i="2"/>
  <c r="EA183" i="2"/>
  <c r="ED182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D184" i="2"/>
  <c r="EA185" i="2"/>
  <c r="HG185" i="2"/>
  <c r="EB185" i="2"/>
  <c r="EW185" i="2"/>
  <c r="EV185" i="2"/>
  <c r="HI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EA186" i="2"/>
  <c r="FR186" i="2"/>
  <c r="EW186" i="2"/>
  <c r="HH186" i="2"/>
  <c r="HG186" i="2"/>
  <c r="ED185" i="2"/>
  <c r="FS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B187" i="2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AA189" i="2"/>
  <c r="HH189" i="2"/>
  <c r="EB189" i="2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V190" i="2" l="1"/>
  <c r="ED189" i="2"/>
  <c r="EY189" i="2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ED190" i="2"/>
  <c r="HI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V192" i="2"/>
  <c r="EW192" i="2"/>
  <c r="EC192" i="2"/>
  <c r="EB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D192" i="2"/>
  <c r="DI192" i="2"/>
  <c r="EX193" i="2"/>
  <c r="FQ193" i="2"/>
  <c r="EB193" i="2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A194" i="2"/>
  <c r="EB194" i="2"/>
  <c r="CN193" i="2"/>
  <c r="HG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B195" i="2" l="1"/>
  <c r="EA195" i="2"/>
  <c r="ED194" i="2"/>
  <c r="EY194" i="2"/>
  <c r="DH195" i="2"/>
  <c r="AA195" i="2"/>
  <c r="EX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EY195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Y196" i="2" l="1"/>
  <c r="EC197" i="2"/>
  <c r="EW197" i="2"/>
  <c r="EA197" i="2"/>
  <c r="AA197" i="2"/>
  <c r="HH197" i="2"/>
  <c r="FS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FS199" i="2"/>
  <c r="EV199" i="2"/>
  <c r="EW199" i="2"/>
  <c r="HG199" i="2"/>
  <c r="EA199" i="2"/>
  <c r="EB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EY200" i="2" l="1"/>
  <c r="ED200" i="2"/>
  <c r="EB201" i="2"/>
  <c r="FS201" i="2"/>
  <c r="DI200" i="2"/>
  <c r="HG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Z6" i="2" l="1"/>
  <c r="ED201" i="2"/>
  <c r="FS202" i="2"/>
  <c r="EW202" i="2"/>
  <c r="HI202" i="2"/>
  <c r="EX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52" i="2" a="1"/>
  <c r="CS52" i="2" s="1"/>
  <c r="CS129" i="2" a="1"/>
  <c r="CS129" i="2" s="1"/>
  <c r="EI195" i="2" a="1"/>
  <c r="EI195" i="2" s="1"/>
  <c r="AH151" i="2" a="1"/>
  <c r="AH151" i="2" s="1"/>
  <c r="AH166" i="2" a="1"/>
  <c r="AH166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44" i="2" a="1"/>
  <c r="FD44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CS185" i="2" a="1"/>
  <c r="CS185" i="2" s="1"/>
  <c r="DN6" i="2" a="1"/>
  <c r="DN6" i="2" s="1"/>
  <c r="DO6" i="2" s="1"/>
  <c r="BX107" i="2" a="1"/>
  <c r="BX107" i="2" s="1"/>
  <c r="FD82" i="2" a="1"/>
  <c r="FD82" i="2" s="1"/>
  <c r="HJ202" i="2"/>
  <c r="AX200" i="2"/>
  <c r="CS137" i="2" l="1" a="1"/>
  <c r="CS137" i="2" s="1"/>
  <c r="CS72" i="2" a="1"/>
  <c r="CS72" i="2" s="1"/>
  <c r="CS38" i="2" a="1"/>
  <c r="CS38" i="2" s="1"/>
  <c r="AH163" i="2" a="1"/>
  <c r="AH163" i="2" s="1"/>
  <c r="AH62" i="2" a="1"/>
  <c r="AH62" i="2" s="1"/>
  <c r="FD188" i="2" a="1"/>
  <c r="FD188" i="2" s="1"/>
  <c r="FD60" i="2" a="1"/>
  <c r="FD60" i="2" s="1"/>
  <c r="DN41" i="2" a="1"/>
  <c r="DN41" i="2" s="1"/>
  <c r="EY202" i="2"/>
  <c r="FD48" i="2" a="1"/>
  <c r="FD48" i="2" s="1"/>
  <c r="FD59" i="2" a="1"/>
  <c r="FD59" i="2" s="1"/>
  <c r="FD144" i="2" a="1"/>
  <c r="FD144" i="2" s="1"/>
  <c r="FD21" i="2" a="1"/>
  <c r="FD21" i="2" s="1"/>
  <c r="FS203" i="2"/>
  <c r="DN46" i="2" a="1"/>
  <c r="DN46" i="2" s="1"/>
  <c r="DN16" i="2" a="1"/>
  <c r="DN16" i="2" s="1"/>
  <c r="DN187" i="2" a="1"/>
  <c r="DN187" i="2" s="1"/>
  <c r="DN135" i="2" a="1"/>
  <c r="DN135" i="2" s="1"/>
  <c r="DN45" i="2" a="1"/>
  <c r="DN45" i="2" s="1"/>
  <c r="DN132" i="2" a="1"/>
  <c r="DN132" i="2" s="1"/>
  <c r="DN176" i="2" a="1"/>
  <c r="DN176" i="2" s="1"/>
  <c r="DN30" i="2" a="1"/>
  <c r="DN30" i="2" s="1"/>
  <c r="DN70" i="2" a="1"/>
  <c r="DN70" i="2" s="1"/>
  <c r="DN168" i="2" a="1"/>
  <c r="DN168" i="2" s="1"/>
  <c r="DN63" i="2" a="1"/>
  <c r="DN63" i="2" s="1"/>
  <c r="DN190" i="2" a="1"/>
  <c r="DN190" i="2" s="1"/>
  <c r="DN55" i="2" a="1"/>
  <c r="DN55" i="2" s="1"/>
  <c r="DN162" i="2" a="1"/>
  <c r="DN162" i="2" s="1"/>
  <c r="DN38" i="2" a="1"/>
  <c r="DN38" i="2" s="1"/>
  <c r="DN177" i="2" a="1"/>
  <c r="DN177" i="2" s="1"/>
  <c r="DN133" i="2" a="1"/>
  <c r="DN133" i="2" s="1"/>
  <c r="DN31" i="2" a="1"/>
  <c r="DN31" i="2" s="1"/>
  <c r="DN49" i="2" a="1"/>
  <c r="DN49" i="2" s="1"/>
  <c r="DN80" i="2" a="1"/>
  <c r="DN80" i="2" s="1"/>
  <c r="DN115" i="2" a="1"/>
  <c r="DN115" i="2" s="1"/>
  <c r="DN65" i="2" a="1"/>
  <c r="DN65" i="2" s="1"/>
  <c r="DN167" i="2" a="1"/>
  <c r="DN167" i="2" s="1"/>
  <c r="DN164" i="2" a="1"/>
  <c r="DN164" i="2" s="1"/>
  <c r="DN29" i="2" a="1"/>
  <c r="DN29" i="2" s="1"/>
  <c r="CS134" i="2" a="1"/>
  <c r="CS134" i="2" s="1"/>
  <c r="CS114" i="2" a="1"/>
  <c r="CS114" i="2" s="1"/>
  <c r="CS120" i="2" a="1"/>
  <c r="CS120" i="2" s="1"/>
  <c r="CS105" i="2" a="1"/>
  <c r="CS105" i="2" s="1"/>
  <c r="CS66" i="2" a="1"/>
  <c r="CS66" i="2" s="1"/>
  <c r="CS24" i="2" a="1"/>
  <c r="CS24" i="2" s="1"/>
  <c r="CS56" i="2" a="1"/>
  <c r="CS56" i="2" s="1"/>
  <c r="CS161" i="2" a="1"/>
  <c r="CS161" i="2" s="1"/>
  <c r="CS77" i="2" a="1"/>
  <c r="CS77" i="2" s="1"/>
  <c r="CS116" i="2" a="1"/>
  <c r="CS116" i="2" s="1"/>
  <c r="BC126" i="2" a="1"/>
  <c r="BC126" i="2" s="1"/>
  <c r="BC55" i="2" a="1"/>
  <c r="BC55" i="2" s="1"/>
  <c r="BC18" i="2" a="1"/>
  <c r="BC18" i="2" s="1"/>
  <c r="BC58" i="2" a="1"/>
  <c r="BC58" i="2" s="1"/>
  <c r="BC7" i="2" a="1"/>
  <c r="BC7" i="2" s="1"/>
  <c r="BC84" i="2" a="1"/>
  <c r="BC84" i="2" s="1"/>
  <c r="BC117" i="2" a="1"/>
  <c r="BC117" i="2" s="1"/>
  <c r="BC185" i="2" a="1"/>
  <c r="BC185" i="2" s="1"/>
  <c r="BC32" i="2" a="1"/>
  <c r="BC32" i="2" s="1"/>
  <c r="BC130" i="2" a="1"/>
  <c r="BC130" i="2" s="1"/>
  <c r="BC181" i="2" a="1"/>
  <c r="BC181" i="2" s="1"/>
  <c r="BC82" i="2" a="1"/>
  <c r="BC82" i="2" s="1"/>
  <c r="BC34" i="2" a="1"/>
  <c r="BC34" i="2" s="1"/>
  <c r="BC38" i="2" a="1"/>
  <c r="BC38" i="2" s="1"/>
  <c r="BC83" i="2" a="1"/>
  <c r="BC83" i="2" s="1"/>
  <c r="BC143" i="2" a="1"/>
  <c r="BC143" i="2" s="1"/>
  <c r="BC164" i="2" a="1"/>
  <c r="BC164" i="2" s="1"/>
  <c r="BC65" i="2" a="1"/>
  <c r="BC65" i="2" s="1"/>
  <c r="BC47" i="2" a="1"/>
  <c r="BC47" i="2" s="1"/>
  <c r="BC151" i="2" a="1"/>
  <c r="BC151" i="2" s="1"/>
  <c r="BC31" i="2" a="1"/>
  <c r="BC31" i="2" s="1"/>
  <c r="BC192" i="2" a="1"/>
  <c r="BC192" i="2" s="1"/>
  <c r="BC114" i="2" a="1"/>
  <c r="BC114" i="2" s="1"/>
  <c r="BC68" i="2" a="1"/>
  <c r="BC68" i="2" s="1"/>
  <c r="DN103" i="2" a="1"/>
  <c r="DN103" i="2" s="1"/>
  <c r="DN86" i="2" a="1"/>
  <c r="DN86" i="2" s="1"/>
  <c r="DN152" i="2" a="1"/>
  <c r="DN152" i="2" s="1"/>
  <c r="DN155" i="2" a="1"/>
  <c r="DN155" i="2" s="1"/>
  <c r="HH203" i="2"/>
  <c r="DN123" i="2" a="1"/>
  <c r="DN123" i="2" s="1"/>
  <c r="DN153" i="2" a="1"/>
  <c r="DN153" i="2" s="1"/>
  <c r="DN43" i="2" a="1"/>
  <c r="DN43" i="2" s="1"/>
  <c r="AH199" i="2" a="1"/>
  <c r="AH199" i="2" s="1"/>
  <c r="DN170" i="2" a="1"/>
  <c r="DN170" i="2" s="1"/>
  <c r="DN186" i="2" a="1"/>
  <c r="DN186" i="2" s="1"/>
  <c r="DN56" i="2" a="1"/>
  <c r="DN56" i="2" s="1"/>
  <c r="DN129" i="2" a="1"/>
  <c r="DN129" i="2" s="1"/>
  <c r="DN137" i="2" a="1"/>
  <c r="DN137" i="2" s="1"/>
  <c r="AH19" i="2" a="1"/>
  <c r="AH19" i="2" s="1"/>
  <c r="DN150" i="2" a="1"/>
  <c r="DN150" i="2" s="1"/>
  <c r="DN50" i="2" a="1"/>
  <c r="DN50" i="2" s="1"/>
  <c r="AH90" i="2" a="1"/>
  <c r="AH90" i="2" s="1"/>
  <c r="DN192" i="2" a="1"/>
  <c r="DN192" i="2" s="1"/>
  <c r="DN113" i="2" a="1"/>
  <c r="DN113" i="2" s="1"/>
  <c r="DN66" i="2" a="1"/>
  <c r="DN66" i="2" s="1"/>
  <c r="DN25" i="2" a="1"/>
  <c r="DN25" i="2" s="1"/>
  <c r="DN124" i="2" a="1"/>
  <c r="DN124" i="2" s="1"/>
  <c r="DN110" i="2" a="1"/>
  <c r="DN110" i="2" s="1"/>
  <c r="DN114" i="2" a="1"/>
  <c r="DN114" i="2" s="1"/>
  <c r="DN188" i="2" a="1"/>
  <c r="DN188" i="2" s="1"/>
  <c r="DN184" i="2" a="1"/>
  <c r="DN184" i="2" s="1"/>
  <c r="AH92" i="2" a="1"/>
  <c r="AH92" i="2" s="1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CN203" i="2" s="1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T203" i="2" l="1"/>
  <c r="ED203" i="2"/>
  <c r="FZ9" i="2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GE11" i="2" l="1"/>
  <c r="GE133" i="2"/>
  <c r="GE40" i="2"/>
  <c r="GE195" i="2"/>
  <c r="GE8" i="2"/>
  <c r="GE17" i="2"/>
  <c r="GE98" i="2"/>
  <c r="GE84" i="2"/>
  <c r="GE114" i="2"/>
  <c r="GE89" i="2"/>
  <c r="GE64" i="2"/>
  <c r="GE151" i="2"/>
  <c r="GE199" i="2"/>
  <c r="GE52" i="2"/>
  <c r="GE96" i="2"/>
  <c r="GE5" i="2"/>
  <c r="GE184" i="2"/>
  <c r="GE70" i="2"/>
  <c r="GE177" i="2"/>
  <c r="GE161" i="2"/>
  <c r="GE164" i="2"/>
  <c r="GE178" i="2"/>
  <c r="GE102" i="2"/>
  <c r="GE108" i="2"/>
  <c r="GE87" i="2"/>
  <c r="GE30" i="2"/>
  <c r="GE200" i="2"/>
  <c r="GE136" i="2"/>
  <c r="GE97" i="2"/>
  <c r="GE91" i="2"/>
  <c r="GE54" i="2"/>
  <c r="GE25" i="2"/>
  <c r="GE33" i="2"/>
  <c r="GE113" i="2"/>
  <c r="GE14" i="2"/>
  <c r="GE22" i="2"/>
  <c r="GE83" i="2"/>
  <c r="GE99" i="2"/>
  <c r="GE140" i="2"/>
  <c r="GE66" i="2"/>
  <c r="GE62" i="2"/>
  <c r="GE171" i="2"/>
  <c r="GE150" i="2"/>
  <c r="GE121" i="2"/>
  <c r="GE79" i="2"/>
  <c r="GE77" i="2"/>
  <c r="GE48" i="2"/>
  <c r="GE116" i="2"/>
  <c r="GE185" i="2"/>
  <c r="GE168" i="2"/>
  <c r="GE49" i="2"/>
  <c r="GE203" i="2"/>
  <c r="GE122" i="2"/>
  <c r="GE18" i="2"/>
  <c r="GE31" i="2"/>
  <c r="GE47" i="2"/>
  <c r="GE106" i="2"/>
  <c r="GE172" i="2"/>
  <c r="GE189" i="2"/>
  <c r="GE146" i="2"/>
  <c r="GE71" i="2"/>
  <c r="GE109" i="2"/>
  <c r="GE81" i="2"/>
  <c r="GE39" i="2"/>
  <c r="GE135" i="2"/>
  <c r="GE65" i="2"/>
  <c r="GE125" i="2"/>
  <c r="GE55" i="2"/>
  <c r="GE13" i="2"/>
  <c r="GE10" i="2"/>
  <c r="GE137" i="2"/>
  <c r="GE19" i="2"/>
  <c r="GE110" i="2"/>
  <c r="GE32" i="2"/>
  <c r="GE117" i="2"/>
  <c r="GE142" i="2"/>
  <c r="GE34" i="2"/>
  <c r="GE57" i="2"/>
  <c r="GE75" i="2"/>
  <c r="GE43" i="2"/>
  <c r="GE139" i="2"/>
  <c r="GE95" i="2"/>
  <c r="GE103" i="2"/>
  <c r="GE74" i="2"/>
  <c r="GE186" i="2"/>
  <c r="GE27" i="2"/>
  <c r="GE124" i="2"/>
  <c r="GE138" i="2"/>
  <c r="GE76" i="2"/>
  <c r="GE123" i="2"/>
  <c r="GE193" i="2"/>
  <c r="GE131" i="2"/>
  <c r="GE46" i="2"/>
  <c r="GE58" i="2"/>
  <c r="GE165" i="2"/>
  <c r="GE50" i="2"/>
  <c r="GE163" i="2"/>
  <c r="GE41" i="2"/>
  <c r="GE21" i="2"/>
  <c r="GE59" i="2"/>
  <c r="GE182" i="2"/>
  <c r="GE191" i="2"/>
  <c r="GE3" i="2"/>
  <c r="C14" i="4" s="1"/>
  <c r="E14" i="4" s="1"/>
  <c r="F14" i="4" s="1"/>
  <c r="G14" i="4" s="1"/>
  <c r="L14" i="4" s="1"/>
  <c r="GE153" i="2"/>
  <c r="GE28" i="2"/>
  <c r="GE111" i="2"/>
  <c r="GE148" i="2"/>
  <c r="GE143" i="2"/>
  <c r="GE128" i="2"/>
  <c r="GE60" i="2"/>
  <c r="GE118" i="2"/>
  <c r="GE100" i="2"/>
  <c r="GE155" i="2"/>
  <c r="GE23" i="2"/>
  <c r="GE160" i="2"/>
  <c r="GE130" i="2"/>
  <c r="GE176" i="2"/>
  <c r="GE119" i="2"/>
  <c r="GE16" i="2"/>
  <c r="GE90" i="2"/>
  <c r="GE141" i="2"/>
  <c r="GE38" i="2"/>
  <c r="GE53" i="2"/>
  <c r="GE7" i="2"/>
  <c r="GE42" i="2"/>
  <c r="GE192" i="2"/>
  <c r="GE88" i="2"/>
  <c r="GE80" i="2"/>
  <c r="GE170" i="2"/>
  <c r="GE196" i="2"/>
  <c r="GE37" i="2"/>
  <c r="GE85" i="2"/>
  <c r="GE92" i="2"/>
  <c r="GE187" i="2"/>
  <c r="GE6" i="2"/>
  <c r="GE154" i="2"/>
  <c r="GE4" i="2"/>
  <c r="GE15" i="2"/>
  <c r="GE9" i="2"/>
  <c r="GE132" i="2"/>
  <c r="GE159" i="2"/>
  <c r="GE93" i="2"/>
  <c r="GE126" i="2"/>
  <c r="GE82" i="2"/>
  <c r="GE120" i="2"/>
  <c r="GE67" i="2"/>
  <c r="GE127" i="2"/>
  <c r="GE69" i="2"/>
  <c r="GE12" i="2"/>
  <c r="GE144" i="2"/>
  <c r="GE68" i="2"/>
  <c r="GE61" i="2"/>
  <c r="GE198" i="2"/>
  <c r="GE197" i="2"/>
  <c r="GE179" i="2"/>
  <c r="GE26" i="2"/>
  <c r="GE35" i="2"/>
  <c r="GE73" i="2"/>
  <c r="GE162" i="2"/>
  <c r="GE201" i="2"/>
  <c r="GE175" i="2"/>
  <c r="GE112" i="2"/>
  <c r="GE44" i="2"/>
  <c r="GE194" i="2"/>
  <c r="GE20" i="2"/>
  <c r="GE129" i="2"/>
  <c r="GE51" i="2"/>
  <c r="GE188" i="2"/>
  <c r="GE180" i="2"/>
  <c r="GE145" i="2"/>
  <c r="GE101" i="2"/>
  <c r="GE181" i="2"/>
  <c r="GE63" i="2"/>
  <c r="GE202" i="2"/>
  <c r="GE158" i="2"/>
  <c r="GE152" i="2"/>
  <c r="GE78" i="2"/>
  <c r="GE156" i="2"/>
  <c r="GE107" i="2"/>
  <c r="GE169" i="2"/>
  <c r="GE24" i="2"/>
  <c r="GE72" i="2"/>
  <c r="GE86" i="2"/>
  <c r="GE105" i="2"/>
  <c r="GE173" i="2"/>
  <c r="GE104" i="2"/>
  <c r="GE115" i="2"/>
  <c r="GE190" i="2"/>
  <c r="GE174" i="2"/>
  <c r="GE157" i="2"/>
  <c r="GE29" i="2"/>
  <c r="GE166" i="2"/>
  <c r="GE134" i="2"/>
  <c r="GE147" i="2"/>
  <c r="GE36" i="2"/>
  <c r="GE56" i="2"/>
  <c r="GE149" i="2"/>
  <c r="GE45" i="2"/>
  <c r="GE94" i="2"/>
  <c r="GE183" i="2"/>
  <c r="GE167" i="2"/>
  <c r="FJ203" i="2"/>
  <c r="FJ18" i="2"/>
  <c r="FJ152" i="2"/>
  <c r="FJ156" i="2"/>
  <c r="FJ133" i="2"/>
  <c r="FJ94" i="2"/>
  <c r="FJ51" i="2"/>
  <c r="FJ114" i="2"/>
  <c r="FJ44" i="2"/>
  <c r="FJ74" i="2"/>
  <c r="FJ8" i="2"/>
  <c r="FJ194" i="2"/>
  <c r="FJ30" i="2"/>
  <c r="FJ39" i="2"/>
  <c r="FJ192" i="2"/>
  <c r="FJ87" i="2"/>
  <c r="FJ103" i="2"/>
  <c r="FJ143" i="2"/>
  <c r="FJ181" i="2"/>
  <c r="FJ88" i="2"/>
  <c r="FJ126" i="2"/>
  <c r="FJ140" i="2"/>
  <c r="FJ16" i="2"/>
  <c r="FJ91" i="2"/>
  <c r="FJ112" i="2"/>
  <c r="FJ149" i="2"/>
  <c r="FJ175" i="2"/>
  <c r="FJ64" i="2"/>
  <c r="FJ188" i="2"/>
  <c r="FJ121" i="2"/>
  <c r="FJ27" i="2"/>
  <c r="FJ23" i="2"/>
  <c r="FJ172" i="2"/>
  <c r="FJ24" i="2"/>
  <c r="FJ17" i="2"/>
  <c r="FJ97" i="2"/>
  <c r="FJ167" i="2"/>
  <c r="FJ118" i="2"/>
  <c r="FJ200" i="2"/>
  <c r="FJ73" i="2"/>
  <c r="FJ36" i="2"/>
  <c r="FJ163" i="2"/>
  <c r="FJ41" i="2"/>
  <c r="FJ22" i="2"/>
  <c r="FJ47" i="2"/>
  <c r="FJ120" i="2"/>
  <c r="FJ125" i="2"/>
  <c r="FJ130" i="2"/>
  <c r="FJ77" i="2"/>
  <c r="FJ187" i="2"/>
  <c r="FJ166" i="2"/>
  <c r="FJ20" i="2"/>
  <c r="FJ93" i="2"/>
  <c r="FJ98" i="2"/>
  <c r="FJ49" i="2"/>
  <c r="FJ124" i="2"/>
  <c r="FJ95" i="2"/>
  <c r="FJ40" i="2"/>
  <c r="FJ55" i="2"/>
  <c r="FJ90" i="2"/>
  <c r="FJ79" i="2"/>
  <c r="FJ102" i="2"/>
  <c r="FJ70" i="2"/>
  <c r="FJ129" i="2"/>
  <c r="FJ42" i="2"/>
  <c r="FJ89" i="2"/>
  <c r="FJ197" i="2"/>
  <c r="FJ201" i="2"/>
  <c r="FJ132" i="2"/>
  <c r="FJ26" i="2"/>
  <c r="FJ80" i="2"/>
  <c r="FJ195" i="2"/>
  <c r="FJ148" i="2"/>
  <c r="FJ151" i="2"/>
  <c r="FJ33" i="2"/>
  <c r="FJ171" i="2"/>
  <c r="FJ25" i="2"/>
  <c r="FJ59" i="2"/>
  <c r="FJ153" i="2"/>
  <c r="FJ92" i="2"/>
  <c r="FJ105" i="2"/>
  <c r="FJ191" i="2"/>
  <c r="FJ146" i="2"/>
  <c r="FJ53" i="2"/>
  <c r="FJ199" i="2"/>
  <c r="FJ6" i="2"/>
  <c r="FJ183" i="2"/>
  <c r="FJ137" i="2"/>
  <c r="FJ104" i="2"/>
  <c r="FJ135" i="2"/>
  <c r="FJ75" i="2"/>
  <c r="FJ31" i="2"/>
  <c r="FJ134" i="2"/>
  <c r="FJ4" i="2"/>
  <c r="FJ161" i="2"/>
  <c r="FJ100" i="2"/>
  <c r="FJ72" i="2"/>
  <c r="FJ9" i="2"/>
  <c r="FJ69" i="2"/>
  <c r="FJ111" i="2"/>
  <c r="FJ43" i="2"/>
  <c r="FJ164" i="2"/>
  <c r="FJ35" i="2"/>
  <c r="FJ57" i="2"/>
  <c r="FJ84" i="2"/>
  <c r="FJ110" i="2"/>
  <c r="FJ50" i="2"/>
  <c r="FJ168" i="2"/>
  <c r="FJ138" i="2"/>
  <c r="FJ32" i="2"/>
  <c r="FJ61" i="2"/>
  <c r="FJ174" i="2"/>
  <c r="FJ113" i="2"/>
  <c r="FJ202" i="2"/>
  <c r="FJ65" i="2"/>
  <c r="FJ186" i="2"/>
  <c r="FJ154" i="2"/>
  <c r="FJ157" i="2"/>
  <c r="FJ45" i="2"/>
  <c r="FJ190" i="2"/>
  <c r="FJ60" i="2"/>
  <c r="FJ155" i="2"/>
  <c r="FJ173" i="2"/>
  <c r="FJ19" i="2"/>
  <c r="FJ99" i="2"/>
  <c r="FJ38" i="2"/>
  <c r="FJ123" i="2"/>
  <c r="FJ150" i="2"/>
  <c r="FJ185" i="2"/>
  <c r="FJ144" i="2"/>
  <c r="FJ37" i="2"/>
  <c r="FJ29" i="2"/>
  <c r="FJ7" i="2"/>
  <c r="FJ21" i="2"/>
  <c r="FJ176" i="2"/>
  <c r="FJ162" i="2"/>
  <c r="FJ13" i="2"/>
  <c r="FJ76" i="2"/>
  <c r="FJ177" i="2"/>
  <c r="FJ14" i="2"/>
  <c r="FJ139" i="2"/>
  <c r="FJ62" i="2"/>
  <c r="FJ127" i="2"/>
  <c r="FJ160" i="2"/>
  <c r="FJ182" i="2"/>
  <c r="FJ15" i="2"/>
  <c r="FJ82" i="2"/>
  <c r="FJ141" i="2"/>
  <c r="FJ68" i="2"/>
  <c r="FJ48" i="2"/>
  <c r="FJ169" i="2"/>
  <c r="FJ115" i="2"/>
  <c r="FJ136" i="2"/>
  <c r="FJ28" i="2"/>
  <c r="FJ56" i="2"/>
  <c r="FJ107" i="2"/>
  <c r="FJ34" i="2"/>
  <c r="FJ54" i="2"/>
  <c r="FJ159" i="2"/>
  <c r="FJ189" i="2"/>
  <c r="FJ180" i="2"/>
  <c r="FJ196" i="2"/>
  <c r="FJ10" i="2"/>
  <c r="FJ81" i="2"/>
  <c r="FJ85" i="2"/>
  <c r="FJ101" i="2"/>
  <c r="FJ96" i="2"/>
  <c r="FJ83" i="2"/>
  <c r="FJ106" i="2"/>
  <c r="FJ193" i="2"/>
  <c r="FJ46" i="2"/>
  <c r="FJ71" i="2"/>
  <c r="FJ12" i="2"/>
  <c r="FJ5" i="2"/>
  <c r="FJ117" i="2"/>
  <c r="FJ63" i="2"/>
  <c r="FJ52" i="2"/>
  <c r="FJ142" i="2"/>
  <c r="FJ131" i="2"/>
  <c r="FJ11" i="2"/>
  <c r="FJ67" i="2"/>
  <c r="FJ109" i="2"/>
  <c r="FJ170" i="2"/>
  <c r="FJ165" i="2"/>
  <c r="FJ158" i="2"/>
  <c r="FJ184" i="2"/>
  <c r="FJ66" i="2"/>
  <c r="FJ122" i="2"/>
  <c r="FJ179" i="2"/>
  <c r="FJ145" i="2"/>
  <c r="FJ58" i="2"/>
  <c r="FJ108" i="2"/>
  <c r="FJ198" i="2"/>
  <c r="FJ116" i="2"/>
  <c r="FJ147" i="2"/>
  <c r="FJ86" i="2"/>
  <c r="FJ178" i="2"/>
  <c r="FJ128" i="2"/>
  <c r="FJ119" i="2"/>
  <c r="FJ3" i="2"/>
  <c r="C13" i="4" s="1"/>
  <c r="E13" i="4" s="1"/>
  <c r="F13" i="4" s="1"/>
  <c r="G13" i="4" s="1"/>
  <c r="L13" i="4" s="1"/>
  <c r="FJ78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<sst xmlns="http://schemas.openxmlformats.org/spreadsheetml/2006/main" count="1169" uniqueCount="324">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</sst>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2.1740695541445767</c:v>
                </c:pt>
                <c:pt idx="2">
                  <c:v>3.0483597194677956</c:v>
                </c:pt>
                <c:pt idx="3">
                  <c:v>4.2757682089175599</c:v>
                </c:pt>
                <c:pt idx="4">
                  <c:v>5.9994967062251234</c:v>
                </c:pt>
                <c:pt idx="5">
                  <c:v>8.4210395885844349</c:v>
                </c:pt>
                <c:pt idx="6">
                  <c:v>11.823995638036267</c:v>
                </c:pt>
                <c:pt idx="7">
                  <c:v>16.607637515193812</c:v>
                </c:pt>
                <c:pt idx="8">
                  <c:v>23.334249216647464</c:v>
                </c:pt>
                <c:pt idx="9">
                  <c:v>32.795894174289465</c:v>
                </c:pt>
                <c:pt idx="10">
                  <c:v>46.108611596759225</c:v>
                </c:pt>
                <c:pt idx="11">
                  <c:v>64.845338591082097</c:v>
                </c:pt>
                <c:pt idx="12">
                  <c:v>91.223520171519496</c:v>
                </c:pt>
                <c:pt idx="13">
                  <c:v>118.00106434859693</c:v>
                </c:pt>
                <c:pt idx="14">
                  <c:v>144.62948990738442</c:v>
                </c:pt>
                <c:pt idx="15">
                  <c:v>128.60946872101411</c:v>
                </c:pt>
                <c:pt idx="16">
                  <c:v>157.23320596601718</c:v>
                </c:pt>
                <c:pt idx="17">
                  <c:v>185.73291888589367</c:v>
                </c:pt>
                <c:pt idx="18">
                  <c:v>214.13035769575148</c:v>
                </c:pt>
                <c:pt idx="19">
                  <c:v>242.44100517915163</c:v>
                </c:pt>
                <c:pt idx="20">
                  <c:v>192.39353515466735</c:v>
                </c:pt>
                <c:pt idx="21">
                  <c:v>220.22000307077266</c:v>
                </c:pt>
                <c:pt idx="22">
                  <c:v>247.96567699426421</c:v>
                </c:pt>
                <c:pt idx="23">
                  <c:v>275.6408681416313</c:v>
                </c:pt>
                <c:pt idx="24">
                  <c:v>303.25364525407053</c:v>
                </c:pt>
                <c:pt idx="25">
                  <c:v>330.81048669188147</c:v>
                </c:pt>
                <c:pt idx="26">
                  <c:v>278.42061666636533</c:v>
                </c:pt>
                <c:pt idx="27">
                  <c:v>304.10769056490716</c:v>
                </c:pt>
                <c:pt idx="28">
                  <c:v>329.7465119967348</c:v>
                </c:pt>
                <c:pt idx="29">
                  <c:v>355.34135739264133</c:v>
                </c:pt>
                <c:pt idx="30">
                  <c:v>382.48090928935699</c:v>
                </c:pt>
                <c:pt idx="31">
                  <c:v>409.57860438621697</c:v>
                </c:pt>
                <c:pt idx="32">
                  <c:v>436.63759831329827</c:v>
                </c:pt>
                <c:pt idx="33">
                  <c:v>362.8764911788914</c:v>
                </c:pt>
                <c:pt idx="34">
                  <c:v>386.41271716430532</c:v>
                </c:pt>
                <c:pt idx="35">
                  <c:v>409.91781659620875</c:v>
                </c:pt>
                <c:pt idx="36">
                  <c:v>433.39382378979275</c:v>
                </c:pt>
                <c:pt idx="37">
                  <c:v>456.84253483717094</c:v>
                </c:pt>
                <c:pt idx="38">
                  <c:v>480.26554654805312</c:v>
                </c:pt>
                <c:pt idx="39">
                  <c:v>504.47540239285649</c:v>
                </c:pt>
                <c:pt idx="40">
                  <c:v>528.66069480859915</c:v>
                </c:pt>
                <c:pt idx="41">
                  <c:v>552.82270438344437</c:v>
                </c:pt>
                <c:pt idx="42">
                  <c:v>576.96259075103353</c:v>
                </c:pt>
                <c:pt idx="43">
                  <c:v>601.08140869889337</c:v>
                </c:pt>
                <c:pt idx="44">
                  <c:v>625.18012155859981</c:v>
                </c:pt>
                <c:pt idx="45">
                  <c:v>649.25961242550727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56" t="s">
        <v>291</v>
      </c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</row>
    <row r="13" spans="2:13" ht="15" customHeight="1" x14ac:dyDescent="0.2"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</row>
    <row r="14" spans="2:13" ht="15" customHeight="1" x14ac:dyDescent="0.2"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</row>
    <row r="15" spans="2:13" ht="18.75" customHeight="1" x14ac:dyDescent="0.2"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</row>
    <row r="16" spans="2:13" ht="18.75" customHeight="1" x14ac:dyDescent="0.2">
      <c r="B16" s="256"/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</row>
    <row r="18" spans="2:13" ht="12" customHeight="1" x14ac:dyDescent="0.2">
      <c r="B18" s="256" t="s">
        <v>292</v>
      </c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</row>
    <row r="19" spans="2:13" ht="12" customHeight="1" x14ac:dyDescent="0.2"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</row>
    <row r="20" spans="2:13" ht="12" customHeight="1" x14ac:dyDescent="0.2">
      <c r="B20" s="256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</row>
    <row r="21" spans="2:13" ht="12" customHeight="1" x14ac:dyDescent="0.2"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</row>
    <row r="22" spans="2:13" ht="12" customHeight="1" x14ac:dyDescent="0.2"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</row>
    <row r="23" spans="2:13" ht="12" customHeight="1" x14ac:dyDescent="0.2">
      <c r="B23" s="256"/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</row>
    <row r="24" spans="2:13" ht="12" customHeight="1" x14ac:dyDescent="0.2"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</row>
    <row r="25" spans="2:13" ht="12" customHeight="1" x14ac:dyDescent="0.2"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</row>
    <row r="26" spans="2:13" ht="12" customHeight="1" x14ac:dyDescent="0.2"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</row>
    <row r="27" spans="2:13" ht="12" customHeight="1" x14ac:dyDescent="0.2"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</row>
    <row r="28" spans="2:13" ht="12" customHeight="1" x14ac:dyDescent="0.2"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</row>
    <row r="29" spans="2:13" ht="12" customHeight="1" x14ac:dyDescent="0.2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</row>
    <row r="30" spans="2:13" ht="12" customHeight="1" x14ac:dyDescent="0.2">
      <c r="B30" s="256"/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</row>
    <row r="31" spans="2:13" ht="12" customHeight="1" x14ac:dyDescent="0.2">
      <c r="B31" s="256"/>
      <c r="C31" s="256"/>
      <c r="D31" s="256"/>
      <c r="E31" s="256"/>
      <c r="F31" s="256"/>
      <c r="G31" s="256"/>
      <c r="H31" s="256"/>
      <c r="I31" s="256"/>
      <c r="J31" s="256"/>
      <c r="K31" s="256"/>
      <c r="L31" s="256"/>
      <c r="M31" s="25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5" zoomScale="80" zoomScaleNormal="80" workbookViewId="0">
      <selection activeCell="F7" sqref="F7"/>
    </sheetView>
  </sheetViews>
  <sheetFormatPr baseColWidth="10" defaultColWidth="11.5" defaultRowHeight="15" x14ac:dyDescent="0.2"/>
  <cols>
    <col min="1" max="1" width="13.6640625" style="23" customWidth="1"/>
    <col min="2" max="2" width="36.1640625" style="23" customWidth="1"/>
    <col min="3" max="3" width="14.83203125" style="23" bestFit="1" customWidth="1"/>
    <col min="4" max="4" width="16.5" style="23" customWidth="1"/>
    <col min="5" max="5" width="23.33203125" style="23" customWidth="1"/>
    <col min="6" max="6" width="28.83203125" style="23" bestFit="1" customWidth="1"/>
    <col min="7" max="8" width="14.6640625" style="23" customWidth="1"/>
    <col min="9" max="9" width="17" style="23" customWidth="1"/>
    <col min="10" max="10" width="13.83203125" style="23" customWidth="1"/>
    <col min="11" max="16384" width="11.5" style="23"/>
  </cols>
  <sheetData>
    <row r="1" spans="1:38" x14ac:dyDescent="0.2">
      <c r="A1" s="4"/>
      <c r="B1" s="4"/>
      <c r="C1" s="257" t="s">
        <v>190</v>
      </c>
      <c r="D1" s="257"/>
      <c r="E1" s="25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6" thickBot="1" x14ac:dyDescent="0.25">
      <c r="A2" s="4"/>
      <c r="B2" s="4"/>
      <c r="C2" s="4"/>
      <c r="D2" s="4"/>
      <c r="E2" s="4"/>
      <c r="F2" s="4"/>
      <c r="G2" s="4"/>
      <c r="H2" s="4"/>
      <c r="I2" s="210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25">
      <c r="A3" s="4"/>
      <c r="B3" s="262" t="s">
        <v>192</v>
      </c>
      <c r="C3" s="263"/>
      <c r="D3" s="263"/>
      <c r="E3" s="263"/>
      <c r="F3" s="264"/>
      <c r="G3" s="89"/>
      <c r="I3" s="210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2">
      <c r="A4" s="90"/>
      <c r="B4" s="90"/>
      <c r="C4" s="90"/>
      <c r="D4" s="90"/>
      <c r="E4" s="90"/>
      <c r="F4" s="90"/>
      <c r="G4" s="217"/>
      <c r="I4" s="210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2">
      <c r="A5" s="267" t="s">
        <v>231</v>
      </c>
      <c r="B5" s="267"/>
      <c r="C5" s="24">
        <v>23.083500000000001</v>
      </c>
      <c r="D5" s="268" t="s">
        <v>229</v>
      </c>
      <c r="E5" s="269"/>
      <c r="F5" s="90"/>
      <c r="G5" s="217"/>
      <c r="H5" s="217"/>
      <c r="I5" s="217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">
      <c r="A6" s="91"/>
      <c r="B6" s="91"/>
      <c r="C6" s="4"/>
      <c r="D6" s="86"/>
      <c r="E6" s="86"/>
      <c r="F6" s="26"/>
      <c r="G6" s="204"/>
      <c r="H6" s="204"/>
      <c r="I6" s="20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2">
      <c r="A7" s="266" t="s">
        <v>226</v>
      </c>
      <c r="B7" s="266"/>
      <c r="C7" s="90"/>
      <c r="D7" s="90"/>
      <c r="E7" s="4"/>
      <c r="F7" s="90"/>
      <c r="G7" s="217"/>
      <c r="H7" s="217"/>
      <c r="I7" s="217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">
      <c r="A9" s="30" t="s">
        <v>165</v>
      </c>
      <c r="B9" s="31" t="s">
        <v>36</v>
      </c>
      <c r="C9" s="32">
        <v>1</v>
      </c>
      <c r="D9" s="33">
        <f t="shared" ref="D9:D18" si="0">C9*$C$5</f>
        <v>23.083500000000001</v>
      </c>
      <c r="E9" s="34">
        <v>45</v>
      </c>
      <c r="F9" s="35" t="str">
        <f t="array" ref="F9">IF(E9="","",IF(INDEX(A:A,MAX(IF(ISNUMBER($A$36:$A$55),ROW($A$36:$A$55),"")))&lt;&gt;E9,"Corrigez : révolution incorrecte","OK"))</f>
        <v>OK</v>
      </c>
      <c r="G9" s="227" t="s">
        <v>306</v>
      </c>
      <c r="I9" s="225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5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5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5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5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5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5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5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5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5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">
      <c r="A19" s="78"/>
      <c r="B19" s="36" t="s">
        <v>175</v>
      </c>
      <c r="C19" s="37">
        <f>SUM(C9:C18)</f>
        <v>1</v>
      </c>
      <c r="D19" s="38">
        <f>SUM(D9:D18)</f>
        <v>23.083500000000001</v>
      </c>
      <c r="E19" s="4"/>
      <c r="F19" s="92"/>
      <c r="G19" s="218"/>
      <c r="H19" s="218"/>
      <c r="I19" s="218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">
      <c r="A20" s="78"/>
      <c r="B20" s="39" t="s">
        <v>230</v>
      </c>
      <c r="C20" s="40" t="str">
        <f>IF(C19&gt;100%,"Erreur : corrigez","OK")</f>
        <v>OK</v>
      </c>
      <c r="D20" s="221"/>
      <c r="F20" s="204"/>
      <c r="G20" s="204"/>
      <c r="H20" s="218"/>
      <c r="I20" s="218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">
      <c r="A21" s="4"/>
      <c r="B21" s="4"/>
      <c r="C21" s="4"/>
      <c r="H21" s="219"/>
      <c r="I21" s="219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25">
      <c r="A22" s="265" t="s">
        <v>232</v>
      </c>
      <c r="B22" s="26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">
      <c r="A24" s="41" t="s">
        <v>218</v>
      </c>
      <c r="B24" s="42" t="s">
        <v>224</v>
      </c>
      <c r="C24" s="43">
        <v>0.2</v>
      </c>
      <c r="D24" s="44" t="s">
        <v>233</v>
      </c>
      <c r="E24" s="93"/>
      <c r="F24" s="93"/>
      <c r="G24" s="201"/>
      <c r="I24" s="201"/>
      <c r="J24" s="220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">
      <c r="A25" s="41" t="s">
        <v>220</v>
      </c>
      <c r="B25" s="42" t="s">
        <v>219</v>
      </c>
      <c r="C25" s="45">
        <v>0.1</v>
      </c>
      <c r="D25" s="94"/>
      <c r="E25" s="4"/>
      <c r="F25" s="94"/>
      <c r="G25" s="220"/>
      <c r="I25" s="220"/>
      <c r="J25" s="220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1"/>
      <c r="I26" s="201"/>
      <c r="J26" s="201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1"/>
      <c r="I27" s="201"/>
      <c r="J27" s="201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">
      <c r="A30" s="266" t="s">
        <v>227</v>
      </c>
      <c r="B30" s="266"/>
      <c r="D30" s="222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">
      <c r="A31" s="4"/>
      <c r="B31" s="4"/>
      <c r="K31" s="222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">
      <c r="A32" s="46" t="s">
        <v>165</v>
      </c>
      <c r="B32" s="47" t="str">
        <f>IF(B9="","",B9)</f>
        <v>Pin maritime</v>
      </c>
      <c r="D32" s="228" t="s">
        <v>307</v>
      </c>
      <c r="K32" s="222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">
      <c r="A33" s="46"/>
      <c r="B33" s="4"/>
      <c r="K33" s="222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2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32" x14ac:dyDescent="0.2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3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">
      <c r="A36" s="50">
        <v>12</v>
      </c>
      <c r="B36" s="60">
        <v>67.39</v>
      </c>
      <c r="C36" s="60">
        <v>1</v>
      </c>
      <c r="D36" s="60">
        <v>0</v>
      </c>
      <c r="E36" s="51"/>
      <c r="F36" s="51"/>
      <c r="G36" s="51"/>
      <c r="H36" s="51"/>
      <c r="I36" s="49">
        <f>IFERROR(B36/A36,"")</f>
        <v>5.6158333333333337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">
      <c r="A37" s="50">
        <v>14</v>
      </c>
      <c r="B37" s="60">
        <v>108.18</v>
      </c>
      <c r="C37" s="60">
        <v>2</v>
      </c>
      <c r="D37" s="60">
        <v>34.25</v>
      </c>
      <c r="E37" s="51">
        <v>0.2</v>
      </c>
      <c r="F37" s="51">
        <v>0.45</v>
      </c>
      <c r="G37" s="51">
        <v>0.35</v>
      </c>
      <c r="H37" s="51"/>
      <c r="I37" s="53">
        <f t="shared" ref="I37:I55" si="1">IF(A37&lt;&gt;0,(B37-(B36-D36))/(A37-A36),"")</f>
        <v>20.395000000000003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">
      <c r="A38" s="50">
        <v>19</v>
      </c>
      <c r="B38" s="60">
        <v>183.77</v>
      </c>
      <c r="C38" s="60">
        <v>3</v>
      </c>
      <c r="D38" s="60">
        <v>60</v>
      </c>
      <c r="E38" s="51">
        <v>0.3</v>
      </c>
      <c r="F38" s="51">
        <v>0.39</v>
      </c>
      <c r="G38" s="51">
        <v>0.21</v>
      </c>
      <c r="H38" s="51"/>
      <c r="I38" s="53">
        <f t="shared" si="1"/>
        <v>21.968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">
      <c r="A39" s="50">
        <v>20</v>
      </c>
      <c r="B39" s="60">
        <v>144.97999999999999</v>
      </c>
      <c r="C39" s="60">
        <v>4</v>
      </c>
      <c r="D39" s="60">
        <v>0</v>
      </c>
      <c r="E39" s="51"/>
      <c r="F39" s="51"/>
      <c r="G39" s="51"/>
      <c r="H39" s="51"/>
      <c r="I39" s="49">
        <f t="shared" si="1"/>
        <v>21.20999999999998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">
      <c r="A40" s="50">
        <v>25</v>
      </c>
      <c r="B40" s="60">
        <v>252.69</v>
      </c>
      <c r="C40" s="60">
        <v>5</v>
      </c>
      <c r="D40" s="60">
        <v>60.96</v>
      </c>
      <c r="E40" s="51">
        <v>0.4</v>
      </c>
      <c r="F40" s="51">
        <v>0.34</v>
      </c>
      <c r="G40" s="51">
        <v>0.26</v>
      </c>
      <c r="H40" s="51"/>
      <c r="I40" s="49">
        <f t="shared" si="1"/>
        <v>21.542000000000002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">
      <c r="A41" s="50">
        <v>29</v>
      </c>
      <c r="B41" s="60">
        <v>271.89999999999998</v>
      </c>
      <c r="C41" s="60">
        <v>6</v>
      </c>
      <c r="D41" s="60">
        <v>0</v>
      </c>
      <c r="E41" s="51"/>
      <c r="F41" s="51"/>
      <c r="G41" s="51"/>
      <c r="H41" s="51"/>
      <c r="I41" s="53">
        <f t="shared" si="1"/>
        <v>20.042499999999997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">
      <c r="A42" s="50">
        <v>32</v>
      </c>
      <c r="B42" s="60">
        <v>335.76</v>
      </c>
      <c r="C42" s="60">
        <v>7</v>
      </c>
      <c r="D42" s="60">
        <v>76.42</v>
      </c>
      <c r="E42" s="51">
        <v>0.6</v>
      </c>
      <c r="F42" s="51">
        <v>0.22</v>
      </c>
      <c r="G42" s="51">
        <v>0.18</v>
      </c>
      <c r="H42" s="51"/>
      <c r="I42" s="53">
        <f t="shared" si="1"/>
        <v>21.286666666666672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">
      <c r="A43" s="50">
        <v>38</v>
      </c>
      <c r="B43" s="60">
        <v>370.14</v>
      </c>
      <c r="C43" s="60">
        <v>8</v>
      </c>
      <c r="D43" s="60">
        <v>0</v>
      </c>
      <c r="E43" s="51"/>
      <c r="F43" s="51"/>
      <c r="G43" s="51"/>
      <c r="H43" s="51"/>
      <c r="I43" s="49">
        <f t="shared" si="1"/>
        <v>18.466666666666669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">
      <c r="A44" s="50">
        <v>45</v>
      </c>
      <c r="B44" s="60">
        <v>503.89</v>
      </c>
      <c r="C44" s="60">
        <v>9</v>
      </c>
      <c r="D44" s="60">
        <v>503.89</v>
      </c>
      <c r="E44" s="51">
        <v>0.8</v>
      </c>
      <c r="F44" s="51">
        <v>0.11</v>
      </c>
      <c r="G44" s="51">
        <v>0.09</v>
      </c>
      <c r="H44" s="51"/>
      <c r="I44" s="49">
        <f t="shared" si="1"/>
        <v>19.107142857142858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">
      <c r="A58" s="46" t="s">
        <v>166</v>
      </c>
      <c r="B58" s="52" t="str">
        <f>IF(B10="","",B10)</f>
        <v/>
      </c>
      <c r="D58" s="228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2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32" x14ac:dyDescent="0.2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3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">
      <c r="A63" s="50"/>
      <c r="B63" s="60"/>
      <c r="C63" s="60"/>
      <c r="D63" s="60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">
      <c r="A84" s="46" t="s">
        <v>167</v>
      </c>
      <c r="B84" s="52" t="str">
        <f>IF(B11="","",B11)</f>
        <v/>
      </c>
      <c r="D84" s="228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32" x14ac:dyDescent="0.2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">
      <c r="A110" s="46" t="s">
        <v>168</v>
      </c>
      <c r="B110" s="52" t="str">
        <f>IF(B12="","",B12)</f>
        <v/>
      </c>
      <c r="D110" s="228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32" x14ac:dyDescent="0.2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">
      <c r="A136" s="46" t="s">
        <v>169</v>
      </c>
      <c r="B136" s="52" t="str">
        <f>IF(B13="","",B13)</f>
        <v/>
      </c>
      <c r="D136" s="228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32" x14ac:dyDescent="0.2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">
      <c r="A162" s="46" t="s">
        <v>170</v>
      </c>
      <c r="B162" s="52" t="str">
        <f>IF(B14="","",B14)</f>
        <v/>
      </c>
      <c r="D162" s="228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32" x14ac:dyDescent="0.2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">
      <c r="A188" s="46" t="s">
        <v>171</v>
      </c>
      <c r="B188" s="52" t="str">
        <f>IF(B15="","",B15)</f>
        <v/>
      </c>
      <c r="D188" s="228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32" x14ac:dyDescent="0.2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">
      <c r="A214" s="46" t="s">
        <v>172</v>
      </c>
      <c r="B214" s="52" t="str">
        <f>IF(B16="","",B16)</f>
        <v/>
      </c>
      <c r="D214" s="228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32" x14ac:dyDescent="0.2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">
      <c r="A240" s="46" t="s">
        <v>173</v>
      </c>
      <c r="B240" s="52" t="str">
        <f>IF(B17="","",B17)</f>
        <v/>
      </c>
      <c r="D240" s="228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32" x14ac:dyDescent="0.2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">
      <c r="A266" s="46" t="s">
        <v>174</v>
      </c>
      <c r="B266" s="52" t="str">
        <f>IF(B18="","",B18)</f>
        <v/>
      </c>
      <c r="D266" s="228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32" x14ac:dyDescent="0.2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D3" zoomScaleNormal="100" workbookViewId="0">
      <selection activeCell="G15" sqref="G15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35">
      <c r="A2" s="4"/>
      <c r="B2" s="271" t="s">
        <v>191</v>
      </c>
      <c r="C2" s="272"/>
      <c r="D2" s="272"/>
      <c r="E2" s="272"/>
      <c r="F2" s="272"/>
      <c r="G2" s="27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">
      <c r="A4" s="4"/>
      <c r="B4" s="270"/>
      <c r="C4" s="270"/>
      <c r="D4" s="270"/>
      <c r="E4" s="270"/>
      <c r="F4" s="270"/>
      <c r="G4" s="27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">
      <c r="A6" s="23"/>
      <c r="B6" s="216"/>
      <c r="C6" s="216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">
      <c r="A7" s="99"/>
      <c r="B7" s="26" t="s">
        <v>295</v>
      </c>
      <c r="C7" s="100" t="s">
        <v>214</v>
      </c>
      <c r="D7" s="214"/>
      <c r="E7" s="101"/>
      <c r="F7" s="26" t="s">
        <v>295</v>
      </c>
      <c r="G7" s="100" t="s">
        <v>215</v>
      </c>
      <c r="H7" s="215"/>
      <c r="I7" s="215"/>
      <c r="J7" s="215"/>
      <c r="K7" s="215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">
      <c r="A13" s="215"/>
      <c r="B13" s="107"/>
      <c r="C13" s="98" t="s">
        <v>273</v>
      </c>
      <c r="D13" s="215"/>
      <c r="E13" s="99"/>
      <c r="F13" s="107"/>
      <c r="G13" s="98" t="s">
        <v>301</v>
      </c>
      <c r="H13" s="215"/>
      <c r="I13" s="215"/>
      <c r="J13" s="215"/>
      <c r="K13" s="215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">
      <c r="A14" s="215"/>
      <c r="B14" s="107"/>
      <c r="C14" s="98" t="s">
        <v>309</v>
      </c>
      <c r="D14" s="215"/>
      <c r="E14" s="99"/>
      <c r="F14" s="107"/>
      <c r="G14" s="98" t="s">
        <v>294</v>
      </c>
      <c r="H14" s="215"/>
      <c r="I14" s="215"/>
      <c r="J14" s="215"/>
      <c r="K14" s="215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">
      <c r="C104" s="4"/>
      <c r="F104" s="4"/>
    </row>
    <row r="105" spans="3:35" x14ac:dyDescent="0.2">
      <c r="C105" s="4"/>
      <c r="F105" s="4"/>
    </row>
    <row r="106" spans="3:35" x14ac:dyDescent="0.2">
      <c r="C106" s="4"/>
      <c r="F106" s="4"/>
    </row>
    <row r="107" spans="3:35" x14ac:dyDescent="0.2">
      <c r="C107" s="4"/>
      <c r="F107" s="4"/>
    </row>
    <row r="108" spans="3:35" x14ac:dyDescent="0.2">
      <c r="C108" s="4"/>
      <c r="F108" s="4"/>
    </row>
    <row r="109" spans="3:35" x14ac:dyDescent="0.2">
      <c r="C109" s="4"/>
      <c r="F109" s="4"/>
    </row>
    <row r="110" spans="3:35" x14ac:dyDescent="0.2">
      <c r="C110" s="4"/>
      <c r="F110" s="4"/>
    </row>
    <row r="111" spans="3:35" x14ac:dyDescent="0.2">
      <c r="C111" s="4"/>
      <c r="F111" s="4"/>
    </row>
    <row r="112" spans="3:35" x14ac:dyDescent="0.2">
      <c r="C112" s="4"/>
      <c r="F112" s="4"/>
    </row>
    <row r="113" spans="3:6" x14ac:dyDescent="0.2">
      <c r="C113" s="4"/>
      <c r="F113" s="4"/>
    </row>
    <row r="114" spans="3:6" x14ac:dyDescent="0.2">
      <c r="C114" s="4"/>
      <c r="F114" s="4"/>
    </row>
    <row r="115" spans="3:6" x14ac:dyDescent="0.2">
      <c r="C115" s="4"/>
      <c r="F115" s="4"/>
    </row>
    <row r="116" spans="3:6" x14ac:dyDescent="0.2">
      <c r="C116" s="4"/>
      <c r="F116" s="4"/>
    </row>
    <row r="117" spans="3:6" x14ac:dyDescent="0.2">
      <c r="C117" s="4"/>
      <c r="F117" s="4"/>
    </row>
    <row r="118" spans="3:6" x14ac:dyDescent="0.2">
      <c r="C118" s="4"/>
      <c r="F118" s="4"/>
    </row>
    <row r="119" spans="3:6" x14ac:dyDescent="0.2">
      <c r="C119" s="4"/>
      <c r="F119" s="4"/>
    </row>
    <row r="120" spans="3:6" x14ac:dyDescent="0.2">
      <c r="C120" s="4"/>
      <c r="F120" s="4"/>
    </row>
    <row r="121" spans="3:6" x14ac:dyDescent="0.2">
      <c r="C121" s="4"/>
      <c r="F121" s="4"/>
    </row>
    <row r="122" spans="3:6" x14ac:dyDescent="0.2">
      <c r="C122" s="4"/>
      <c r="F122" s="4"/>
    </row>
    <row r="123" spans="3:6" x14ac:dyDescent="0.2">
      <c r="C123" s="4"/>
      <c r="F123" s="4"/>
    </row>
    <row r="124" spans="3:6" x14ac:dyDescent="0.2">
      <c r="C124" s="4"/>
      <c r="F124" s="4"/>
    </row>
    <row r="125" spans="3:6" x14ac:dyDescent="0.2">
      <c r="C125" s="4"/>
      <c r="F125" s="4"/>
    </row>
    <row r="126" spans="3:6" x14ac:dyDescent="0.2">
      <c r="C126" s="4"/>
      <c r="F126" s="4"/>
    </row>
    <row r="127" spans="3:6" x14ac:dyDescent="0.2">
      <c r="C127" s="4"/>
      <c r="F127" s="4"/>
    </row>
    <row r="128" spans="3:6" x14ac:dyDescent="0.2">
      <c r="C128" s="4"/>
      <c r="F128" s="4"/>
    </row>
    <row r="129" spans="3:6" x14ac:dyDescent="0.2">
      <c r="C129" s="4"/>
      <c r="F129" s="4"/>
    </row>
    <row r="130" spans="3:6" x14ac:dyDescent="0.2">
      <c r="C130" s="4"/>
      <c r="F130" s="4"/>
    </row>
    <row r="131" spans="3:6" x14ac:dyDescent="0.2">
      <c r="C131" s="4"/>
      <c r="F131" s="4"/>
    </row>
    <row r="132" spans="3:6" x14ac:dyDescent="0.2">
      <c r="F132" s="4"/>
    </row>
    <row r="133" spans="3:6" x14ac:dyDescent="0.2">
      <c r="F133" s="4"/>
    </row>
    <row r="134" spans="3:6" x14ac:dyDescent="0.2">
      <c r="F134" s="4"/>
    </row>
    <row r="135" spans="3:6" x14ac:dyDescent="0.2">
      <c r="F135" s="4"/>
    </row>
    <row r="136" spans="3:6" x14ac:dyDescent="0.2">
      <c r="F136" s="4"/>
    </row>
    <row r="137" spans="3:6" x14ac:dyDescent="0.2">
      <c r="F137" s="4"/>
    </row>
    <row r="138" spans="3:6" x14ac:dyDescent="0.2">
      <c r="F138" s="4"/>
    </row>
    <row r="139" spans="3:6" x14ac:dyDescent="0.2">
      <c r="F139" s="4"/>
    </row>
    <row r="140" spans="3:6" x14ac:dyDescent="0.2">
      <c r="F140" s="4"/>
    </row>
    <row r="141" spans="3:6" x14ac:dyDescent="0.2">
      <c r="F141" s="4"/>
    </row>
    <row r="142" spans="3:6" x14ac:dyDescent="0.2">
      <c r="F142" s="4"/>
    </row>
    <row r="143" spans="3:6" x14ac:dyDescent="0.2">
      <c r="F143" s="4"/>
    </row>
    <row r="144" spans="3:6" x14ac:dyDescent="0.2">
      <c r="F144" s="4"/>
    </row>
    <row r="145" spans="6:6" x14ac:dyDescent="0.2">
      <c r="F145" s="4"/>
    </row>
    <row r="146" spans="6:6" x14ac:dyDescent="0.2">
      <c r="F146" s="4"/>
    </row>
    <row r="147" spans="6:6" x14ac:dyDescent="0.2">
      <c r="F147" s="4"/>
    </row>
    <row r="148" spans="6:6" x14ac:dyDescent="0.2">
      <c r="F148" s="4"/>
    </row>
    <row r="149" spans="6:6" x14ac:dyDescent="0.2">
      <c r="F149" s="4"/>
    </row>
    <row r="150" spans="6:6" x14ac:dyDescent="0.2">
      <c r="F150" s="4"/>
    </row>
    <row r="151" spans="6:6" x14ac:dyDescent="0.2">
      <c r="F151" s="4"/>
    </row>
    <row r="152" spans="6:6" x14ac:dyDescent="0.2">
      <c r="F152" s="4"/>
    </row>
    <row r="153" spans="6:6" x14ac:dyDescent="0.2">
      <c r="F153" s="4"/>
    </row>
    <row r="154" spans="6:6" x14ac:dyDescent="0.2">
      <c r="F154" s="4"/>
    </row>
    <row r="155" spans="6:6" x14ac:dyDescent="0.2">
      <c r="F155" s="4"/>
    </row>
    <row r="156" spans="6:6" x14ac:dyDescent="0.2">
      <c r="F156" s="4"/>
    </row>
    <row r="157" spans="6:6" x14ac:dyDescent="0.2">
      <c r="F157" s="4"/>
    </row>
    <row r="158" spans="6:6" x14ac:dyDescent="0.2">
      <c r="F158" s="4"/>
    </row>
    <row r="159" spans="6:6" x14ac:dyDescent="0.2">
      <c r="F159" s="4"/>
    </row>
    <row r="160" spans="6:6" x14ac:dyDescent="0.2">
      <c r="F160" s="4"/>
    </row>
    <row r="161" spans="6:6" x14ac:dyDescent="0.2">
      <c r="F161" s="4"/>
    </row>
    <row r="162" spans="6:6" x14ac:dyDescent="0.2">
      <c r="F162" s="4"/>
    </row>
    <row r="163" spans="6:6" x14ac:dyDescent="0.2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4" bestFit="1" customWidth="1"/>
    <col min="2" max="4" width="11.5" style="4"/>
    <col min="5" max="5" width="9.5" style="4" customWidth="1"/>
    <col min="6" max="7" width="11.5" style="4"/>
    <col min="8" max="8" width="10.6640625" style="4" customWidth="1"/>
    <col min="9" max="9" width="9.5" style="4" customWidth="1"/>
    <col min="10" max="11" width="10.5" style="4" bestFit="1" customWidth="1"/>
    <col min="12" max="12" width="14" style="4" bestFit="1" customWidth="1"/>
    <col min="13" max="13" width="14" style="4" customWidth="1"/>
    <col min="14" max="23" width="11.5" style="4"/>
    <col min="24" max="24" width="11.6640625" style="4" bestFit="1" customWidth="1"/>
    <col min="25" max="25" width="14.5" style="4" bestFit="1" customWidth="1"/>
    <col min="26" max="26" width="12.5" style="4" bestFit="1" customWidth="1"/>
    <col min="27" max="27" width="9.6640625" style="4" bestFit="1" customWidth="1"/>
    <col min="28" max="28" width="11" style="4" bestFit="1" customWidth="1"/>
    <col min="29" max="29" width="9.5" style="4" bestFit="1" customWidth="1"/>
    <col min="30" max="31" width="9.5" style="4" customWidth="1"/>
    <col min="32" max="32" width="11.5" style="4"/>
    <col min="33" max="34" width="14" style="4" bestFit="1" customWidth="1"/>
    <col min="35" max="35" width="10.5" style="4" bestFit="1" customWidth="1"/>
    <col min="36" max="36" width="9.5" style="4" bestFit="1" customWidth="1"/>
    <col min="37" max="38" width="10.5" style="4" bestFit="1" customWidth="1"/>
    <col min="39" max="41" width="10.5" style="4" customWidth="1"/>
    <col min="42" max="42" width="9" style="4" bestFit="1" customWidth="1"/>
    <col min="43" max="43" width="10.5" style="4" bestFit="1" customWidth="1"/>
    <col min="44" max="44" width="9.33203125" style="4" bestFit="1" customWidth="1"/>
    <col min="45" max="45" width="11.6640625" style="4" bestFit="1" customWidth="1"/>
    <col min="46" max="46" width="8.5" style="4" bestFit="1" customWidth="1"/>
    <col min="47" max="47" width="9.5" style="4" bestFit="1" customWidth="1"/>
    <col min="48" max="48" width="9.6640625" style="4" bestFit="1" customWidth="1"/>
    <col min="49" max="49" width="11" style="4" bestFit="1" customWidth="1"/>
    <col min="50" max="50" width="9.5" style="4" bestFit="1" customWidth="1"/>
    <col min="51" max="52" width="9.5" style="4" customWidth="1"/>
    <col min="53" max="53" width="10.5" style="4" bestFit="1" customWidth="1"/>
    <col min="54" max="54" width="14.33203125" style="4" customWidth="1"/>
    <col min="55" max="55" width="14" style="4" customWidth="1"/>
    <col min="56" max="56" width="10.5" style="4" bestFit="1" customWidth="1"/>
    <col min="57" max="57" width="9.5" style="4" bestFit="1" customWidth="1"/>
    <col min="58" max="59" width="10.5" style="4" bestFit="1" customWidth="1"/>
    <col min="60" max="62" width="10.5" style="4" customWidth="1"/>
    <col min="63" max="63" width="9" style="4" bestFit="1" customWidth="1"/>
    <col min="64" max="64" width="10.5" style="4" bestFit="1" customWidth="1"/>
    <col min="65" max="65" width="9.33203125" style="4" bestFit="1" customWidth="1"/>
    <col min="66" max="66" width="11.6640625" style="4" bestFit="1" customWidth="1"/>
    <col min="67" max="67" width="8.5" style="4" bestFit="1" customWidth="1"/>
    <col min="68" max="68" width="9.5" style="4" bestFit="1" customWidth="1"/>
    <col min="69" max="69" width="9.6640625" style="4" bestFit="1" customWidth="1"/>
    <col min="70" max="70" width="11" style="4" bestFit="1" customWidth="1"/>
    <col min="71" max="71" width="9.5" style="4" bestFit="1" customWidth="1"/>
    <col min="72" max="73" width="9.5" style="4" customWidth="1"/>
    <col min="74" max="74" width="10.5" style="4" bestFit="1" customWidth="1"/>
    <col min="75" max="75" width="14" style="4" bestFit="1" customWidth="1"/>
    <col min="76" max="76" width="13.83203125" style="4" customWidth="1"/>
    <col min="77" max="77" width="10.5" style="4" bestFit="1" customWidth="1"/>
    <col min="78" max="78" width="9.5" style="4" bestFit="1" customWidth="1"/>
    <col min="79" max="80" width="10.5" style="4" bestFit="1" customWidth="1"/>
    <col min="81" max="83" width="10.5" style="4" customWidth="1"/>
    <col min="84" max="84" width="11.5" style="4"/>
    <col min="85" max="85" width="10.5" style="4" bestFit="1" customWidth="1"/>
    <col min="86" max="86" width="9.33203125" style="4" bestFit="1" customWidth="1"/>
    <col min="87" max="87" width="11.6640625" style="4" bestFit="1" customWidth="1"/>
    <col min="88" max="88" width="8.5" style="4" bestFit="1" customWidth="1"/>
    <col min="89" max="89" width="9.5" style="4" bestFit="1" customWidth="1"/>
    <col min="90" max="90" width="9.6640625" style="4" bestFit="1" customWidth="1"/>
    <col min="91" max="91" width="11" style="4" bestFit="1" customWidth="1"/>
    <col min="92" max="92" width="9.5" style="4" bestFit="1" customWidth="1"/>
    <col min="93" max="94" width="9.5" style="4" customWidth="1"/>
    <col min="95" max="95" width="11.5" style="4"/>
    <col min="96" max="97" width="14" style="4" customWidth="1"/>
    <col min="98" max="98" width="10.5" style="4" bestFit="1" customWidth="1"/>
    <col min="99" max="99" width="9.5" style="4" bestFit="1" customWidth="1"/>
    <col min="100" max="101" width="10.5" style="4" bestFit="1" customWidth="1"/>
    <col min="102" max="104" width="10.5" style="4" customWidth="1"/>
    <col min="105" max="105" width="9" style="4" bestFit="1" customWidth="1"/>
    <col min="106" max="106" width="10.5" style="4" bestFit="1" customWidth="1"/>
    <col min="107" max="107" width="9.33203125" style="4" bestFit="1" customWidth="1"/>
    <col min="108" max="108" width="11.6640625" style="4" bestFit="1" customWidth="1"/>
    <col min="109" max="109" width="8.5" style="4" bestFit="1" customWidth="1"/>
    <col min="110" max="110" width="9.5" style="4" bestFit="1" customWidth="1"/>
    <col min="111" max="111" width="9.6640625" style="4" bestFit="1" customWidth="1"/>
    <col min="112" max="112" width="11" style="4" bestFit="1" customWidth="1"/>
    <col min="113" max="113" width="9.5" style="4" bestFit="1" customWidth="1"/>
    <col min="114" max="115" width="9.5" style="4" customWidth="1"/>
    <col min="116" max="116" width="10.5" style="4" bestFit="1" customWidth="1"/>
    <col min="117" max="117" width="14.33203125" style="4" customWidth="1"/>
    <col min="118" max="118" width="14" style="4" bestFit="1" customWidth="1"/>
    <col min="119" max="119" width="10.5" style="4" bestFit="1" customWidth="1"/>
    <col min="120" max="120" width="9.5" style="4" bestFit="1" customWidth="1"/>
    <col min="121" max="122" width="10.5" style="4" bestFit="1" customWidth="1"/>
    <col min="123" max="125" width="10.5" style="4" customWidth="1"/>
    <col min="126" max="126" width="9" style="4" bestFit="1" customWidth="1"/>
    <col min="127" max="127" width="10.5" style="4" bestFit="1" customWidth="1"/>
    <col min="128" max="128" width="9.33203125" style="4" bestFit="1" customWidth="1"/>
    <col min="129" max="129" width="11.6640625" style="4" bestFit="1" customWidth="1"/>
    <col min="130" max="130" width="8.5" style="4" bestFit="1" customWidth="1"/>
    <col min="131" max="131" width="9.5" style="4" bestFit="1" customWidth="1"/>
    <col min="132" max="132" width="9.6640625" style="4" bestFit="1" customWidth="1"/>
    <col min="133" max="133" width="11" style="4" bestFit="1" customWidth="1"/>
    <col min="134" max="134" width="9.5" style="4" bestFit="1" customWidth="1"/>
    <col min="135" max="136" width="9.5" style="4" customWidth="1"/>
    <col min="137" max="137" width="10.5" style="4" bestFit="1" customWidth="1"/>
    <col min="138" max="139" width="14" style="4" customWidth="1"/>
    <col min="140" max="140" width="10.5" style="4" bestFit="1" customWidth="1"/>
    <col min="141" max="141" width="9.5" style="4" bestFit="1" customWidth="1"/>
    <col min="142" max="143" width="10.5" style="4" bestFit="1" customWidth="1"/>
    <col min="144" max="146" width="10.5" style="4" customWidth="1"/>
    <col min="147" max="147" width="9" style="4" bestFit="1" customWidth="1"/>
    <col min="148" max="148" width="10.5" style="4" bestFit="1" customWidth="1"/>
    <col min="149" max="149" width="9.33203125" style="4" bestFit="1" customWidth="1"/>
    <col min="150" max="150" width="11.6640625" style="4" bestFit="1" customWidth="1"/>
    <col min="151" max="151" width="8.5" style="4" bestFit="1" customWidth="1"/>
    <col min="152" max="152" width="9.5" style="4" bestFit="1" customWidth="1"/>
    <col min="153" max="153" width="9.6640625" style="4" bestFit="1" customWidth="1"/>
    <col min="154" max="154" width="11" style="4" bestFit="1" customWidth="1"/>
    <col min="155" max="155" width="9.5" style="4" bestFit="1" customWidth="1"/>
    <col min="156" max="157" width="9.5" style="4" customWidth="1"/>
    <col min="158" max="158" width="11.5" style="4"/>
    <col min="159" max="160" width="14" style="4" bestFit="1" customWidth="1"/>
    <col min="161" max="161" width="10.5" style="4" bestFit="1" customWidth="1"/>
    <col min="162" max="162" width="9.5" style="4" bestFit="1" customWidth="1"/>
    <col min="163" max="164" width="10.5" style="4" bestFit="1" customWidth="1"/>
    <col min="165" max="167" width="10.5" style="4" customWidth="1"/>
    <col min="168" max="168" width="9" style="4" bestFit="1" customWidth="1"/>
    <col min="169" max="169" width="10.5" style="4" bestFit="1" customWidth="1"/>
    <col min="170" max="170" width="9.33203125" style="4" bestFit="1" customWidth="1"/>
    <col min="171" max="171" width="11.6640625" style="4" bestFit="1" customWidth="1"/>
    <col min="172" max="172" width="8.1640625" style="4" bestFit="1" customWidth="1"/>
    <col min="173" max="173" width="9.5" style="4" bestFit="1" customWidth="1"/>
    <col min="174" max="174" width="9.6640625" style="4" bestFit="1" customWidth="1"/>
    <col min="175" max="175" width="11" style="4" bestFit="1" customWidth="1"/>
    <col min="176" max="176" width="9.5" style="4" bestFit="1" customWidth="1"/>
    <col min="177" max="178" width="9.5" style="4" customWidth="1"/>
    <col min="179" max="179" width="10.5" style="4" bestFit="1" customWidth="1"/>
    <col min="180" max="181" width="14" style="4" bestFit="1" customWidth="1"/>
    <col min="182" max="182" width="10.5" style="4" bestFit="1" customWidth="1"/>
    <col min="183" max="183" width="9.5" style="4" bestFit="1" customWidth="1"/>
    <col min="184" max="185" width="10.5" style="4" bestFit="1" customWidth="1"/>
    <col min="186" max="188" width="10.5" style="4" customWidth="1"/>
    <col min="189" max="189" width="9" style="4" bestFit="1" customWidth="1"/>
    <col min="190" max="190" width="10.5" style="4" bestFit="1" customWidth="1"/>
    <col min="191" max="191" width="9.33203125" style="4" bestFit="1" customWidth="1"/>
    <col min="192" max="192" width="11.5" style="4"/>
    <col min="193" max="193" width="8.5" style="4" bestFit="1" customWidth="1"/>
    <col min="194" max="194" width="9.5" style="4" bestFit="1" customWidth="1"/>
    <col min="195" max="195" width="9.6640625" style="4" bestFit="1" customWidth="1"/>
    <col min="196" max="196" width="11" style="4" bestFit="1" customWidth="1"/>
    <col min="197" max="197" width="9.5" style="4" bestFit="1" customWidth="1"/>
    <col min="198" max="199" width="9.5" style="4" customWidth="1"/>
    <col min="200" max="200" width="10.5" style="4" bestFit="1" customWidth="1"/>
    <col min="201" max="201" width="14" style="4" customWidth="1"/>
    <col min="202" max="202" width="14.33203125" style="4" customWidth="1"/>
    <col min="203" max="203" width="10.5" style="4" bestFit="1" customWidth="1"/>
    <col min="204" max="204" width="9.5" style="4" bestFit="1" customWidth="1"/>
    <col min="205" max="206" width="10.5" style="4" bestFit="1" customWidth="1"/>
    <col min="207" max="209" width="10.5" style="4" customWidth="1"/>
    <col min="210" max="210" width="9" style="4" bestFit="1" customWidth="1"/>
    <col min="211" max="211" width="10.5" style="4" bestFit="1" customWidth="1"/>
    <col min="212" max="212" width="9.33203125" style="4" bestFit="1" customWidth="1"/>
    <col min="213" max="213" width="11.6640625" style="4" bestFit="1" customWidth="1"/>
    <col min="214" max="214" width="8.5" style="4" bestFit="1" customWidth="1"/>
    <col min="215" max="215" width="9.5" style="4" bestFit="1" customWidth="1"/>
    <col min="216" max="216" width="9.6640625" style="4" bestFit="1" customWidth="1"/>
    <col min="217" max="217" width="11" style="4" bestFit="1" customWidth="1"/>
    <col min="218" max="218" width="9.5" style="4" bestFit="1" customWidth="1"/>
    <col min="219" max="16384" width="11.5" style="4"/>
  </cols>
  <sheetData>
    <row r="1" spans="1:218" ht="27" thickBot="1" x14ac:dyDescent="0.35">
      <c r="B1" s="277" t="s">
        <v>176</v>
      </c>
      <c r="C1" s="278"/>
      <c r="D1" s="278"/>
      <c r="E1" s="278"/>
      <c r="F1" s="278"/>
      <c r="G1" s="278"/>
      <c r="H1" s="279"/>
      <c r="I1" s="274" t="str">
        <f>IF('Données projet'!$B$9="","",'Données projet'!$B$9)</f>
        <v>Pin maritime</v>
      </c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75" t="str">
        <f>IF('Données projet'!$B$10="","",'Données projet'!$B$10)</f>
        <v/>
      </c>
      <c r="AE1" s="275"/>
      <c r="AF1" s="275"/>
      <c r="AG1" s="275"/>
      <c r="AH1" s="275"/>
      <c r="AI1" s="275"/>
      <c r="AJ1" s="275"/>
      <c r="AK1" s="275"/>
      <c r="AL1" s="275"/>
      <c r="AM1" s="275"/>
      <c r="AN1" s="275"/>
      <c r="AO1" s="275"/>
      <c r="AP1" s="275"/>
      <c r="AQ1" s="275"/>
      <c r="AR1" s="275"/>
      <c r="AS1" s="275"/>
      <c r="AT1" s="275"/>
      <c r="AU1" s="275"/>
      <c r="AV1" s="275"/>
      <c r="AW1" s="275"/>
      <c r="AX1" s="276"/>
      <c r="AY1" s="274" t="str">
        <f>IF('Données projet'!$B$11="","",'Données projet'!$B$11)</f>
        <v/>
      </c>
      <c r="AZ1" s="275"/>
      <c r="BA1" s="275"/>
      <c r="BB1" s="275"/>
      <c r="BC1" s="275"/>
      <c r="BD1" s="275"/>
      <c r="BE1" s="275"/>
      <c r="BF1" s="275"/>
      <c r="BG1" s="275"/>
      <c r="BH1" s="275"/>
      <c r="BI1" s="275"/>
      <c r="BJ1" s="275"/>
      <c r="BK1" s="275"/>
      <c r="BL1" s="275"/>
      <c r="BM1" s="275"/>
      <c r="BN1" s="275"/>
      <c r="BO1" s="275"/>
      <c r="BP1" s="275"/>
      <c r="BQ1" s="275"/>
      <c r="BR1" s="275"/>
      <c r="BS1" s="276"/>
      <c r="BT1" s="274" t="str">
        <f>IF('Données projet'!$B$12="","",'Données projet'!$B$12)</f>
        <v/>
      </c>
      <c r="BU1" s="275"/>
      <c r="BV1" s="275"/>
      <c r="BW1" s="275"/>
      <c r="BX1" s="275"/>
      <c r="BY1" s="275"/>
      <c r="BZ1" s="275"/>
      <c r="CA1" s="275"/>
      <c r="CB1" s="275"/>
      <c r="CC1" s="275"/>
      <c r="CD1" s="275"/>
      <c r="CE1" s="275"/>
      <c r="CF1" s="275"/>
      <c r="CG1" s="275"/>
      <c r="CH1" s="275"/>
      <c r="CI1" s="275"/>
      <c r="CJ1" s="275"/>
      <c r="CK1" s="275"/>
      <c r="CL1" s="275"/>
      <c r="CM1" s="275"/>
      <c r="CN1" s="276"/>
      <c r="CO1" s="274" t="str">
        <f>IF('Données projet'!$B$13="","",'Données projet'!$B$13)</f>
        <v/>
      </c>
      <c r="CP1" s="275"/>
      <c r="CQ1" s="275"/>
      <c r="CR1" s="275"/>
      <c r="CS1" s="275"/>
      <c r="CT1" s="275"/>
      <c r="CU1" s="275"/>
      <c r="CV1" s="275"/>
      <c r="CW1" s="275"/>
      <c r="CX1" s="275"/>
      <c r="CY1" s="275"/>
      <c r="CZ1" s="275"/>
      <c r="DA1" s="275"/>
      <c r="DB1" s="275"/>
      <c r="DC1" s="275"/>
      <c r="DD1" s="275"/>
      <c r="DE1" s="275"/>
      <c r="DF1" s="275"/>
      <c r="DG1" s="275"/>
      <c r="DH1" s="275"/>
      <c r="DI1" s="276"/>
      <c r="DJ1" s="274" t="str">
        <f>IF('Données projet'!$B$14="","",'Données projet'!$B$14)</f>
        <v/>
      </c>
      <c r="DK1" s="275"/>
      <c r="DL1" s="275"/>
      <c r="DM1" s="275"/>
      <c r="DN1" s="275"/>
      <c r="DO1" s="275"/>
      <c r="DP1" s="275"/>
      <c r="DQ1" s="275"/>
      <c r="DR1" s="275"/>
      <c r="DS1" s="275"/>
      <c r="DT1" s="275"/>
      <c r="DU1" s="275"/>
      <c r="DV1" s="275"/>
      <c r="DW1" s="275"/>
      <c r="DX1" s="275"/>
      <c r="DY1" s="275"/>
      <c r="DZ1" s="275"/>
      <c r="EA1" s="275"/>
      <c r="EB1" s="275"/>
      <c r="EC1" s="275"/>
      <c r="ED1" s="276"/>
      <c r="EE1" s="274" t="str">
        <f>IF('Données projet'!$B$15="","",'Données projet'!$B$15)</f>
        <v/>
      </c>
      <c r="EF1" s="275"/>
      <c r="EG1" s="275"/>
      <c r="EH1" s="275"/>
      <c r="EI1" s="275"/>
      <c r="EJ1" s="275"/>
      <c r="EK1" s="275"/>
      <c r="EL1" s="275"/>
      <c r="EM1" s="275"/>
      <c r="EN1" s="275"/>
      <c r="EO1" s="275"/>
      <c r="EP1" s="275"/>
      <c r="EQ1" s="275"/>
      <c r="ER1" s="275"/>
      <c r="ES1" s="275"/>
      <c r="ET1" s="275"/>
      <c r="EU1" s="275"/>
      <c r="EV1" s="275"/>
      <c r="EW1" s="275"/>
      <c r="EX1" s="275"/>
      <c r="EY1" s="276"/>
      <c r="EZ1" s="274" t="str">
        <f>IF('Données projet'!$B$16="","",'Données projet'!$B$16)</f>
        <v/>
      </c>
      <c r="FA1" s="275"/>
      <c r="FB1" s="275"/>
      <c r="FC1" s="275"/>
      <c r="FD1" s="275"/>
      <c r="FE1" s="275"/>
      <c r="FF1" s="275"/>
      <c r="FG1" s="275"/>
      <c r="FH1" s="275"/>
      <c r="FI1" s="275"/>
      <c r="FJ1" s="275"/>
      <c r="FK1" s="275"/>
      <c r="FL1" s="275"/>
      <c r="FM1" s="275"/>
      <c r="FN1" s="275"/>
      <c r="FO1" s="275"/>
      <c r="FP1" s="275"/>
      <c r="FQ1" s="275"/>
      <c r="FR1" s="275"/>
      <c r="FS1" s="275"/>
      <c r="FT1" s="276"/>
      <c r="FU1" s="274" t="str">
        <f>IF('Données projet'!$B$17="","",'Données projet'!$B$17)</f>
        <v/>
      </c>
      <c r="FV1" s="275"/>
      <c r="FW1" s="275"/>
      <c r="FX1" s="275"/>
      <c r="FY1" s="275"/>
      <c r="FZ1" s="275"/>
      <c r="GA1" s="275"/>
      <c r="GB1" s="275"/>
      <c r="GC1" s="275"/>
      <c r="GD1" s="275"/>
      <c r="GE1" s="275"/>
      <c r="GF1" s="275"/>
      <c r="GG1" s="275"/>
      <c r="GH1" s="275"/>
      <c r="GI1" s="275"/>
      <c r="GJ1" s="275"/>
      <c r="GK1" s="275"/>
      <c r="GL1" s="275"/>
      <c r="GM1" s="275"/>
      <c r="GN1" s="275"/>
      <c r="GO1" s="276"/>
      <c r="GP1" s="274" t="str">
        <f>IF('Données projet'!$B$18="","",'Données projet'!$B$18)</f>
        <v/>
      </c>
      <c r="GQ1" s="275"/>
      <c r="GR1" s="275"/>
      <c r="GS1" s="275"/>
      <c r="GT1" s="275"/>
      <c r="GU1" s="275"/>
      <c r="GV1" s="275"/>
      <c r="GW1" s="275"/>
      <c r="GX1" s="275"/>
      <c r="GY1" s="275"/>
      <c r="GZ1" s="275"/>
      <c r="HA1" s="275"/>
      <c r="HB1" s="275"/>
      <c r="HC1" s="275"/>
      <c r="HD1" s="275"/>
      <c r="HE1" s="275"/>
      <c r="HF1" s="275"/>
      <c r="HG1" s="275"/>
      <c r="HH1" s="275"/>
      <c r="HI1" s="275"/>
      <c r="HJ1" s="276"/>
    </row>
    <row r="2" spans="1:218" ht="65" thickBot="1" x14ac:dyDescent="0.2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235.23085498936467</v>
      </c>
      <c r="T3" s="59">
        <f>IF('Données projet'!E9&gt;30,$R$33-$H$33,LOOKUP('Données projet'!$E$9,$A$3:$A$203,R3:R203)-LOOKUP('Données projet'!$E$9,$A$3:$A$203,$H$3:$H$203))</f>
        <v>344.45763019921577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5.6158333333333337</v>
      </c>
      <c r="N4" s="13">
        <f>IF('Données projet'!$A$36&gt;35,N3+M4-V3,IF(A4&lt;'Données projet'!$A$36,$K$205^A4,IF(A4='Données projet'!$A$36,'Données projet'!$B$36,N3+M4-V3)))</f>
        <v>1.4203093782835541</v>
      </c>
      <c r="O4" s="13">
        <f>N4*VLOOKUP('Données projet'!$B$9,Paramètres!$A$1:$I$89,3,0)*VLOOKUP('Données projet'!$B$9,Paramètres!$A$1:$I$89,5,0)</f>
        <v>0.84934500821356529</v>
      </c>
      <c r="P4" s="13">
        <f>EXP(-1.0587+0.8836*LN(O4)+0.284)</f>
        <v>0.3989245922522206</v>
      </c>
      <c r="Q4" s="20">
        <f t="shared" ref="Q4:Q34" si="2">(O4+P4)*0.475*44/12</f>
        <v>2.1740695541445767</v>
      </c>
      <c r="R4" s="59">
        <f t="shared" si="0"/>
        <v>295.50740288747789</v>
      </c>
      <c r="S4" s="59">
        <f ca="1">AVERAGE(OFFSET($R$3,0,0,'Données projet'!$E$9+1,1))-AVERAGE(OFFSET($H$3,0,0,'Données projet'!$E$9+1,1))</f>
        <v>235.23085498936467</v>
      </c>
      <c r="T4" s="59">
        <f>$T$3</f>
        <v>344.45763019921577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5.6158333333333337</v>
      </c>
      <c r="N5" s="13">
        <f>IF('Données projet'!$A$36&gt;35,N4+M5-V4,IF(A5&lt;'Données projet'!$A$36,$K$205^A5,IF(A5='Données projet'!$A$36,'Données projet'!$B$36,N4+M5-V4)))</f>
        <v>2.017278730040216</v>
      </c>
      <c r="O5" s="13">
        <f>N5*VLOOKUP('Données projet'!$B$9,Paramètres!$A$1:$I$89,3,0)*VLOOKUP('Données projet'!$B$9,Paramètres!$A$1:$I$89,5,0)</f>
        <v>1.2063326805640493</v>
      </c>
      <c r="P5" s="13">
        <f t="shared" ref="P5:P68" si="33">EXP(-1.0587+0.8836*LN(O5)+0.284)</f>
        <v>0.54392170381937432</v>
      </c>
      <c r="Q5" s="20">
        <f t="shared" si="2"/>
        <v>3.0483597194677956</v>
      </c>
      <c r="R5" s="59">
        <f t="shared" si="0"/>
        <v>296.3816930528011</v>
      </c>
      <c r="S5" s="59">
        <f ca="1">AVERAGE(OFFSET($R$3,0,0,'Données projet'!$E$9+1,1))-AVERAGE(OFFSET($H$3,0,0,'Données projet'!$E$9+1,1))</f>
        <v>235.23085498936467</v>
      </c>
      <c r="T5" s="59">
        <f t="shared" ref="T5:T68" si="34">$T$3</f>
        <v>344.45763019921577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5.6158333333333337</v>
      </c>
      <c r="N6" s="13">
        <f>IF('Données projet'!$A$36&gt;35,N5+M6-V5,IF(A6&lt;'Données projet'!$A$36,$K$205^A6,IF(A6='Données projet'!$A$36,'Données projet'!$B$36,N5+M6-V5)))</f>
        <v>2.8651598988880567</v>
      </c>
      <c r="O6" s="13">
        <f>N6*VLOOKUP('Données projet'!$B$9,Paramètres!$A$1:$I$89,3,0)*VLOOKUP('Données projet'!$B$9,Paramètres!$A$1:$I$89,5,0)</f>
        <v>1.7133656195350582</v>
      </c>
      <c r="P6" s="13">
        <f t="shared" si="33"/>
        <v>0.74162091190086143</v>
      </c>
      <c r="Q6" s="20">
        <f t="shared" si="2"/>
        <v>4.2757682089175599</v>
      </c>
      <c r="R6" s="59">
        <f t="shared" si="0"/>
        <v>297.60910154225087</v>
      </c>
      <c r="S6" s="59">
        <f ca="1">AVERAGE(OFFSET($R$3,0,0,'Données projet'!$E$9+1,1))-AVERAGE(OFFSET($H$3,0,0,'Données projet'!$E$9+1,1))</f>
        <v>235.23085498936467</v>
      </c>
      <c r="T6" s="59">
        <f t="shared" si="34"/>
        <v>344.45763019921577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5.6158333333333337</v>
      </c>
      <c r="N7" s="13">
        <f>IF('Données projet'!$A$36&gt;35,N6+M7-V6,IF(A7&lt;'Données projet'!$A$36,$K$205^A7,IF(A7='Données projet'!$A$36,'Données projet'!$B$36,N6+M7-V6)))</f>
        <v>4.0694134746726665</v>
      </c>
      <c r="O7" s="13">
        <f>N7*VLOOKUP('Données projet'!$B$9,Paramètres!$A$1:$I$89,3,0)*VLOOKUP('Données projet'!$B$9,Paramètres!$A$1:$I$89,5,0)</f>
        <v>2.4335092578542548</v>
      </c>
      <c r="P7" s="13">
        <f t="shared" si="33"/>
        <v>1.0111778461984482</v>
      </c>
      <c r="Q7" s="20">
        <f t="shared" si="2"/>
        <v>5.9994967062251234</v>
      </c>
      <c r="R7" s="59">
        <f t="shared" si="0"/>
        <v>299.33283003955842</v>
      </c>
      <c r="S7" s="59">
        <f ca="1">AVERAGE(OFFSET($R$3,0,0,'Données projet'!$E$9+1,1))-AVERAGE(OFFSET($H$3,0,0,'Données projet'!$E$9+1,1))</f>
        <v>235.23085498936467</v>
      </c>
      <c r="T7" s="59">
        <f t="shared" si="34"/>
        <v>344.45763019921577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5.6158333333333337</v>
      </c>
      <c r="N8" s="13">
        <f>IF('Données projet'!$A$36&gt;35,N7+M8-V7,IF(A8&lt;'Données projet'!$A$36,$K$205^A8,IF(A8='Données projet'!$A$36,'Données projet'!$B$36,N7+M8-V7)))</f>
        <v>5.7798261221910527</v>
      </c>
      <c r="O8" s="13">
        <f>N8*VLOOKUP('Données projet'!$B$9,Paramètres!$A$1:$I$89,3,0)*VLOOKUP('Données projet'!$B$9,Paramètres!$A$1:$I$89,5,0)</f>
        <v>3.4563360210702498</v>
      </c>
      <c r="P8" s="13">
        <f t="shared" si="33"/>
        <v>1.3787106326624405</v>
      </c>
      <c r="Q8" s="20">
        <f t="shared" si="2"/>
        <v>8.4210395885844349</v>
      </c>
      <c r="R8" s="59">
        <f t="shared" si="0"/>
        <v>301.75437292191776</v>
      </c>
      <c r="S8" s="59">
        <f ca="1">AVERAGE(OFFSET($R$3,0,0,'Données projet'!$E$9+1,1))-AVERAGE(OFFSET($H$3,0,0,'Données projet'!$E$9+1,1))</f>
        <v>235.23085498936467</v>
      </c>
      <c r="T8" s="59">
        <f t="shared" si="34"/>
        <v>344.45763019921577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5.6158333333333337</v>
      </c>
      <c r="N9" s="13">
        <f>IF('Données projet'!$A$36&gt;35,N8+M9-V8,IF(A9&lt;'Données projet'!$A$36,$K$205^A9,IF(A9='Données projet'!$A$36,'Données projet'!$B$36,N8+M9-V8)))</f>
        <v>8.2091412461962197</v>
      </c>
      <c r="O9" s="13">
        <f>N9*VLOOKUP('Données projet'!$B$9,Paramètres!$A$1:$I$89,3,0)*VLOOKUP('Données projet'!$B$9,Paramètres!$A$1:$I$89,5,0)</f>
        <v>4.9090664652253393</v>
      </c>
      <c r="P9" s="13">
        <f t="shared" si="33"/>
        <v>1.8798305518289784</v>
      </c>
      <c r="Q9" s="20">
        <f t="shared" si="2"/>
        <v>11.823995638036267</v>
      </c>
      <c r="R9" s="59">
        <f t="shared" si="0"/>
        <v>305.15732897136957</v>
      </c>
      <c r="S9" s="59">
        <f ca="1">AVERAGE(OFFSET($R$3,0,0,'Données projet'!$E$9+1,1))-AVERAGE(OFFSET($H$3,0,0,'Données projet'!$E$9+1,1))</f>
        <v>235.23085498936467</v>
      </c>
      <c r="T9" s="59">
        <f t="shared" si="34"/>
        <v>344.45763019921577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5.6158333333333337</v>
      </c>
      <c r="N10" s="13">
        <f>IF('Données projet'!$A$36&gt;35,N9+M10-V9,IF(A10&lt;'Données projet'!$A$36,$K$205^A10,IF(A10='Données projet'!$A$36,'Données projet'!$B$36,N9+M10-V9)))</f>
        <v>11.659520299626832</v>
      </c>
      <c r="O10" s="13">
        <f>N10*VLOOKUP('Données projet'!$B$9,Paramètres!$A$1:$I$89,3,0)*VLOOKUP('Données projet'!$B$9,Paramètres!$A$1:$I$89,5,0)</f>
        <v>6.9723931391768463</v>
      </c>
      <c r="P10" s="13">
        <f t="shared" si="33"/>
        <v>2.5630925154798878</v>
      </c>
      <c r="Q10" s="20">
        <f t="shared" si="2"/>
        <v>16.607637515193812</v>
      </c>
      <c r="R10" s="59">
        <f t="shared" si="0"/>
        <v>309.94097084852712</v>
      </c>
      <c r="S10" s="59">
        <f ca="1">AVERAGE(OFFSET($R$3,0,0,'Données projet'!$E$9+1,1))-AVERAGE(OFFSET($H$3,0,0,'Données projet'!$E$9+1,1))</f>
        <v>235.23085498936467</v>
      </c>
      <c r="T10" s="59">
        <f t="shared" si="34"/>
        <v>344.45763019921577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5.6158333333333337</v>
      </c>
      <c r="N11" s="13">
        <f>IF('Données projet'!$A$36&gt;35,N10+M11-V10,IF(A11&lt;'Données projet'!$A$36,$K$205^A11,IF(A11='Données projet'!$A$36,'Données projet'!$B$36,N10+M11-V10)))</f>
        <v>16.560126027847463</v>
      </c>
      <c r="O11" s="13">
        <f>N11*VLOOKUP('Données projet'!$B$9,Paramètres!$A$1:$I$89,3,0)*VLOOKUP('Données projet'!$B$9,Paramètres!$A$1:$I$89,5,0)</f>
        <v>9.902955364652783</v>
      </c>
      <c r="P11" s="13">
        <f t="shared" si="33"/>
        <v>3.4946996879677723</v>
      </c>
      <c r="Q11" s="20">
        <f t="shared" si="2"/>
        <v>23.334249216647464</v>
      </c>
      <c r="R11" s="59">
        <f t="shared" si="0"/>
        <v>316.66758254998081</v>
      </c>
      <c r="S11" s="59">
        <f ca="1">AVERAGE(OFFSET($R$3,0,0,'Données projet'!$E$9+1,1))-AVERAGE(OFFSET($H$3,0,0,'Données projet'!$E$9+1,1))</f>
        <v>235.23085498936467</v>
      </c>
      <c r="T11" s="59">
        <f t="shared" si="34"/>
        <v>344.45763019921577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5.6158333333333337</v>
      </c>
      <c r="N12" s="13">
        <f>IF('Données projet'!$A$36&gt;35,N11+M12-V11,IF(A12&lt;'Données projet'!$A$36,$K$205^A12,IF(A12='Données projet'!$A$36,'Données projet'!$B$36,N11+M12-V11)))</f>
        <v>23.520502302909332</v>
      </c>
      <c r="O12" s="13">
        <f>N12*VLOOKUP('Données projet'!$B$9,Paramètres!$A$1:$I$89,3,0)*VLOOKUP('Données projet'!$B$9,Paramètres!$A$1:$I$89,5,0)</f>
        <v>14.065260377139781</v>
      </c>
      <c r="P12" s="13">
        <f t="shared" si="33"/>
        <v>4.7649180961364657</v>
      </c>
      <c r="Q12" s="20">
        <f t="shared" si="2"/>
        <v>32.795894174289465</v>
      </c>
      <c r="R12" s="59">
        <f t="shared" si="0"/>
        <v>326.12922750762277</v>
      </c>
      <c r="S12" s="59">
        <f ca="1">AVERAGE(OFFSET($R$3,0,0,'Données projet'!$E$9+1,1))-AVERAGE(OFFSET($H$3,0,0,'Données projet'!$E$9+1,1))</f>
        <v>235.23085498936467</v>
      </c>
      <c r="T12" s="59">
        <f t="shared" si="34"/>
        <v>344.45763019921577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5.6158333333333337</v>
      </c>
      <c r="N13" s="13">
        <f>IF('Données projet'!$A$36&gt;35,N12+M13-V12,IF(A13&lt;'Données projet'!$A$36,$K$205^A13,IF(A13='Données projet'!$A$36,'Données projet'!$B$36,N12+M13-V12)))</f>
        <v>33.406390002762059</v>
      </c>
      <c r="O13" s="13">
        <f>N13*VLOOKUP('Données projet'!$B$9,Paramètres!$A$1:$I$89,3,0)*VLOOKUP('Données projet'!$B$9,Paramètres!$A$1:$I$89,5,0)</f>
        <v>19.977021221651714</v>
      </c>
      <c r="P13" s="13">
        <f t="shared" si="33"/>
        <v>6.4968227573487978</v>
      </c>
      <c r="Q13" s="20">
        <f t="shared" si="2"/>
        <v>46.108611596759225</v>
      </c>
      <c r="R13" s="59">
        <f t="shared" si="0"/>
        <v>339.44194493009252</v>
      </c>
      <c r="S13" s="59">
        <f ca="1">AVERAGE(OFFSET($R$3,0,0,'Données projet'!$E$9+1,1))-AVERAGE(OFFSET($H$3,0,0,'Données projet'!$E$9+1,1))</f>
        <v>235.23085498936467</v>
      </c>
      <c r="T13" s="59">
        <f t="shared" si="34"/>
        <v>344.45763019921577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5.6158333333333337</v>
      </c>
      <c r="N14" s="13">
        <f>IF('Données projet'!$A$36&gt;35,N13+M14-V13,IF(A14&lt;'Données projet'!$A$36,$K$205^A14,IF(A14='Données projet'!$A$36,'Données projet'!$B$36,N13+M14-V13)))</f>
        <v>47.447409015520911</v>
      </c>
      <c r="O14" s="13">
        <f>N14*VLOOKUP('Données projet'!$B$9,Paramètres!$A$1:$I$89,3,0)*VLOOKUP('Données projet'!$B$9,Paramètres!$A$1:$I$89,5,0)</f>
        <v>28.373550591281511</v>
      </c>
      <c r="P14" s="13">
        <f t="shared" si="33"/>
        <v>8.8582227624498397</v>
      </c>
      <c r="Q14" s="20">
        <f t="shared" si="2"/>
        <v>64.845338591082097</v>
      </c>
      <c r="R14" s="59">
        <f t="shared" si="0"/>
        <v>358.17867192441543</v>
      </c>
      <c r="S14" s="59">
        <f ca="1">AVERAGE(OFFSET($R$3,0,0,'Données projet'!$E$9+1,1))-AVERAGE(OFFSET($H$3,0,0,'Données projet'!$E$9+1,1))</f>
        <v>235.23085498936467</v>
      </c>
      <c r="T14" s="59">
        <f t="shared" si="34"/>
        <v>344.45763019921577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67.39</v>
      </c>
      <c r="L15" s="12">
        <f>VLOOKUP(A15,'Données projet'!$A$35:$I$55,9,0)</f>
        <v>5.6158333333333337</v>
      </c>
      <c r="M15" s="12">
        <f t="array" ref="M15">INDEX(L:L,MIN(IF(ISNUMBER(L15:L211),ROW(L15:L211),"")))</f>
        <v>5.6158333333333337</v>
      </c>
      <c r="N15" s="13">
        <f>IF('Données projet'!$A$36&gt;35,N14+M15-V14,IF(A15&lt;'Données projet'!$A$36,$K$205^A15,IF(A15='Données projet'!$A$36,'Données projet'!$B$36,N14+M15-V14)))</f>
        <v>67.39</v>
      </c>
      <c r="O15" s="13">
        <f>N15*VLOOKUP('Données projet'!$B$9,Paramètres!$A$1:$I$89,3,0)*VLOOKUP('Données projet'!$B$9,Paramètres!$A$1:$I$89,5,0)</f>
        <v>40.299220000000005</v>
      </c>
      <c r="P15" s="13">
        <f t="shared" si="33"/>
        <v>12.077920768336536</v>
      </c>
      <c r="Q15" s="20">
        <f t="shared" si="2"/>
        <v>91.223520171519496</v>
      </c>
      <c r="R15" s="59">
        <f t="shared" si="0"/>
        <v>384.55685350485282</v>
      </c>
      <c r="S15" s="59">
        <f ca="1">AVERAGE(OFFSET($R$3,0,0,'Données projet'!$E$9+1,1))-AVERAGE(OFFSET($H$3,0,0,'Données projet'!$E$9+1,1))</f>
        <v>235.23085498936467</v>
      </c>
      <c r="T15" s="59">
        <f t="shared" si="34"/>
        <v>344.45763019921577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20.395000000000003</v>
      </c>
      <c r="N16" s="13">
        <f>IF('Données projet'!$A$36&gt;35,N15+M16-V15,IF(A16&lt;'Données projet'!$A$36,$K$205^A16,IF(A16='Données projet'!$A$36,'Données projet'!$B$36,N15+M16-V15)))</f>
        <v>87.784999999999997</v>
      </c>
      <c r="O16" s="13">
        <f>N16*VLOOKUP('Données projet'!$B$9,Paramètres!$A$1:$I$89,3,0)*VLOOKUP('Données projet'!$B$9,Paramètres!$A$1:$I$89,5,0)</f>
        <v>52.495430000000006</v>
      </c>
      <c r="P16" s="13">
        <f t="shared" si="33"/>
        <v>15.256377281491064</v>
      </c>
      <c r="Q16" s="20">
        <f t="shared" si="2"/>
        <v>118.00106434859693</v>
      </c>
      <c r="R16" s="59">
        <f t="shared" si="0"/>
        <v>411.33439768193023</v>
      </c>
      <c r="S16" s="59">
        <f ca="1">AVERAGE(OFFSET($R$3,0,0,'Données projet'!$E$9+1,1))-AVERAGE(OFFSET($H$3,0,0,'Données projet'!$E$9+1,1))</f>
        <v>235.23085498936467</v>
      </c>
      <c r="T16" s="59">
        <f t="shared" si="34"/>
        <v>344.45763019921577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108.18</v>
      </c>
      <c r="L17" s="12">
        <f>VLOOKUP(A17,'Données projet'!$A$35:$I$55,9,0)</f>
        <v>20.395000000000003</v>
      </c>
      <c r="M17" s="12">
        <f t="array" ref="M17">INDEX(L:L,MIN(IF(ISNUMBER(L17:L213),ROW(L17:L213),"")))</f>
        <v>20.395000000000003</v>
      </c>
      <c r="N17" s="13">
        <f>IF('Données projet'!$A$36&gt;35,N16+M17-V16,IF(A17&lt;'Données projet'!$A$36,$K$205^A17,IF(A17='Données projet'!$A$36,'Données projet'!$B$36,N16+M17-V16)))</f>
        <v>108.18</v>
      </c>
      <c r="O17" s="13">
        <f>N17*VLOOKUP('Données projet'!$B$9,Paramètres!$A$1:$I$89,3,0)*VLOOKUP('Données projet'!$B$9,Paramètres!$A$1:$I$89,5,0)</f>
        <v>64.691640000000007</v>
      </c>
      <c r="P17" s="13">
        <f t="shared" si="33"/>
        <v>18.349215449215929</v>
      </c>
      <c r="Q17" s="20">
        <f t="shared" si="2"/>
        <v>144.62948990738442</v>
      </c>
      <c r="R17" s="59">
        <f t="shared" si="0"/>
        <v>437.96282324071774</v>
      </c>
      <c r="S17" s="59">
        <f ca="1">AVERAGE(OFFSET($R$3,0,0,'Données projet'!$E$9+1,1))-AVERAGE(OFFSET($H$3,0,0,'Données projet'!$E$9+1,1))</f>
        <v>235.23085498936467</v>
      </c>
      <c r="T17" s="59">
        <f t="shared" si="34"/>
        <v>344.45763019921577</v>
      </c>
      <c r="U17" s="15">
        <f>IF(ISNA(VLOOKUP(A17,'Données projet'!$A$35:$I$55,3,0)),0,VLOOKUP(A17,'Données projet'!$A$35:$I$55,3,0))</f>
        <v>2</v>
      </c>
      <c r="V17" s="15">
        <f>IF(ISNA(VLOOKUP(A17,'Données projet'!$A$35:$I$55,4,0)),0,VLOOKUP(A17,'Données projet'!$A$35:$I$55,4,0))</f>
        <v>34.25</v>
      </c>
      <c r="W17" s="16">
        <f>IF(ISNA(VLOOKUP(A17,'Données projet'!$A$35:$I$55,5,0)),0%,VLOOKUP(A17,'Données projet'!$A$35:$I$55,5,0)*VLOOKUP('Données projet'!$B$9,Paramètres!$A$1:$I$89,7,0))</f>
        <v>9.0000000000000011E-2</v>
      </c>
      <c r="X17" s="16">
        <f>IF(ISNA(VLOOKUP(A17,'Données projet'!$A$35:$I$55,6,0)),0%,VLOOKUP(A17,'Données projet'!$A$35:$I$55,6,0)*VLOOKUP('Données projet'!$B$9,Paramètres!$A$1:$I$89,7,0))</f>
        <v>0.20250000000000001</v>
      </c>
      <c r="Y17" s="16">
        <f>IF(ISNA(VLOOKUP(A17,'Données projet'!$A$35:$I$55,7,0)),0%,VLOOKUP(A17,'Données projet'!$A$35:$I$55,7,0))</f>
        <v>0.35</v>
      </c>
      <c r="Z17" s="21">
        <f>EXP(-LN(2)/35)*Z16+(1-EXP(-LN(2)/35))/(LN(2)/35)*V17*W17*VLOOKUP('Données projet'!$B$9,Paramètres!$A$1:$I$89,3,0)*0.475*44/12</f>
        <v>2.4453026904676456</v>
      </c>
      <c r="AA17" s="21">
        <f>EXP(-LN(2)/25)*AA16+(1-EXP(-LN(2)/25))/(LN(2)/25)*Calculateur!V17*Calculateur!X17*VLOOKUP('Données projet'!$B$9,Paramètres!$A$1:$I$89,3,0)*0.475*44/12</f>
        <v>5.4802678545942785</v>
      </c>
      <c r="AB17" s="21">
        <f>EXP(-LN(2)/2)*AB16+(1-EXP(-LN(2)/2))/(LN(2)/2)*V17*Y17*VLOOKUP('Données projet'!$B$9,Paramètres!$A$1:$I$89,3,0)*0.475*44/12</f>
        <v>8.1164355306259086</v>
      </c>
      <c r="AC17" s="22">
        <f t="shared" si="3"/>
        <v>16.042006075687834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21.968</v>
      </c>
      <c r="N18" s="13">
        <f>IF('Données projet'!$A$36&gt;35,N17+M18-V17,IF(A18&lt;'Données projet'!$A$36,$K$205^A18,IF(A18='Données projet'!$A$36,'Données projet'!$B$36,N17+M18-V17)))</f>
        <v>95.897999999999996</v>
      </c>
      <c r="O18" s="13">
        <f>N18*VLOOKUP('Données projet'!$B$9,Paramètres!$A$1:$I$89,3,0)*VLOOKUP('Données projet'!$B$9,Paramètres!$A$1:$I$89,5,0)</f>
        <v>57.347004000000005</v>
      </c>
      <c r="P18" s="13">
        <f t="shared" si="33"/>
        <v>16.49575316039088</v>
      </c>
      <c r="Q18" s="20">
        <f t="shared" si="2"/>
        <v>128.60946872101411</v>
      </c>
      <c r="R18" s="59">
        <f t="shared" si="0"/>
        <v>421.94280205434745</v>
      </c>
      <c r="S18" s="59">
        <f ca="1">AVERAGE(OFFSET($R$3,0,0,'Données projet'!$E$9+1,1))-AVERAGE(OFFSET($H$3,0,0,'Données projet'!$E$9+1,1))</f>
        <v>235.23085498936467</v>
      </c>
      <c r="T18" s="59">
        <f t="shared" si="34"/>
        <v>344.45763019921577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2.3973517961949442</v>
      </c>
      <c r="AA18" s="21">
        <f>EXP(-LN(2)/25)*AA17+(1-EXP(-LN(2)/25))/(LN(2)/25)*Calculateur!V18*Calculateur!X18*VLOOKUP('Données projet'!$B$9,Paramètres!$A$1:$I$89,3,0)*0.475*44/12</f>
        <v>5.3304096419156366</v>
      </c>
      <c r="AB18" s="21">
        <f>EXP(-LN(2)/2)*AB17+(1-EXP(-LN(2)/2))/(LN(2)/2)*V18*Y18*VLOOKUP('Données projet'!$B$9,Paramètres!$A$1:$I$89,3,0)*0.475*44/12</f>
        <v>5.7391866027690144</v>
      </c>
      <c r="AC18" s="22">
        <f t="shared" si="3"/>
        <v>13.466948040879595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21.968</v>
      </c>
      <c r="N19" s="13">
        <f>IF('Données projet'!$A$36&gt;35,N18+M19-V18,IF(A19&lt;'Données projet'!$A$36,$K$205^A19,IF(A19='Données projet'!$A$36,'Données projet'!$B$36,N18+M19-V18)))</f>
        <v>117.866</v>
      </c>
      <c r="O19" s="13">
        <f>N19*VLOOKUP('Données projet'!$B$9,Paramètres!$A$1:$I$89,3,0)*VLOOKUP('Données projet'!$B$9,Paramètres!$A$1:$I$89,5,0)</f>
        <v>70.483868000000001</v>
      </c>
      <c r="P19" s="13">
        <f t="shared" si="33"/>
        <v>19.793570832162988</v>
      </c>
      <c r="Q19" s="20">
        <f t="shared" si="2"/>
        <v>157.23320596601718</v>
      </c>
      <c r="R19" s="59">
        <f t="shared" si="0"/>
        <v>450.5665392993505</v>
      </c>
      <c r="S19" s="59">
        <f ca="1">AVERAGE(OFFSET($R$3,0,0,'Données projet'!$E$9+1,1))-AVERAGE(OFFSET($H$3,0,0,'Données projet'!$E$9+1,1))</f>
        <v>235.23085498936467</v>
      </c>
      <c r="T19" s="59">
        <f t="shared" si="34"/>
        <v>344.45763019921577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2.3503411897117727</v>
      </c>
      <c r="AA19" s="21">
        <f>EXP(-LN(2)/25)*AA18+(1-EXP(-LN(2)/25))/(LN(2)/25)*Calculateur!V19*Calculateur!X19*VLOOKUP('Données projet'!$B$9,Paramètres!$A$1:$I$89,3,0)*0.475*44/12</f>
        <v>5.184649309943393</v>
      </c>
      <c r="AB19" s="21">
        <f>EXP(-LN(2)/2)*AB18+(1-EXP(-LN(2)/2))/(LN(2)/2)*V19*Y19*VLOOKUP('Données projet'!$B$9,Paramètres!$A$1:$I$89,3,0)*0.475*44/12</f>
        <v>4.0582177653129552</v>
      </c>
      <c r="AC19" s="22">
        <f t="shared" si="3"/>
        <v>11.593208264968121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21.968</v>
      </c>
      <c r="N20" s="13">
        <f>IF('Données projet'!$A$36&gt;35,N19+M20-V19,IF(A20&lt;'Données projet'!$A$36,$K$205^A20,IF(A20='Données projet'!$A$36,'Données projet'!$B$36,N19+M20-V19)))</f>
        <v>139.834</v>
      </c>
      <c r="O20" s="13">
        <f>N20*VLOOKUP('Données projet'!$B$9,Paramètres!$A$1:$I$89,3,0)*VLOOKUP('Données projet'!$B$9,Paramètres!$A$1:$I$89,5,0)</f>
        <v>83.620732000000004</v>
      </c>
      <c r="P20" s="13">
        <f t="shared" si="33"/>
        <v>23.020178365106418</v>
      </c>
      <c r="Q20" s="20">
        <f t="shared" si="2"/>
        <v>185.73291888589367</v>
      </c>
      <c r="R20" s="59">
        <f t="shared" si="0"/>
        <v>479.06625221922695</v>
      </c>
      <c r="S20" s="59">
        <f ca="1">AVERAGE(OFFSET($R$3,0,0,'Données projet'!$E$9+1,1))-AVERAGE(OFFSET($H$3,0,0,'Données projet'!$E$9+1,1))</f>
        <v>235.23085498936467</v>
      </c>
      <c r="T20" s="59">
        <f t="shared" si="34"/>
        <v>344.45763019921577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2.3042524325480978</v>
      </c>
      <c r="AA20" s="21">
        <f>EXP(-LN(2)/25)*AA19+(1-EXP(-LN(2)/25))/(LN(2)/25)*Calculateur!V20*Calculateur!X20*VLOOKUP('Données projet'!$B$9,Paramètres!$A$1:$I$89,3,0)*0.475*44/12</f>
        <v>5.0428748019141336</v>
      </c>
      <c r="AB20" s="21">
        <f>EXP(-LN(2)/2)*AB19+(1-EXP(-LN(2)/2))/(LN(2)/2)*V20*Y20*VLOOKUP('Données projet'!$B$9,Paramètres!$A$1:$I$89,3,0)*0.475*44/12</f>
        <v>2.8695933013845081</v>
      </c>
      <c r="AC20" s="22">
        <f t="shared" si="3"/>
        <v>10.21672053584674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21.968</v>
      </c>
      <c r="N21" s="13">
        <f>IF('Données projet'!$A$36&gt;35,N20+M21-V20,IF(A21&lt;'Données projet'!$A$36,$K$205^A21,IF(A21='Données projet'!$A$36,'Données projet'!$B$36,N20+M21-V20)))</f>
        <v>161.80199999999999</v>
      </c>
      <c r="O21" s="13">
        <f>N21*VLOOKUP('Données projet'!$B$9,Paramètres!$A$1:$I$89,3,0)*VLOOKUP('Données projet'!$B$9,Paramètres!$A$1:$I$89,5,0)</f>
        <v>96.757596000000007</v>
      </c>
      <c r="P21" s="13">
        <f t="shared" si="33"/>
        <v>26.188063921005639</v>
      </c>
      <c r="Q21" s="20">
        <f t="shared" si="2"/>
        <v>214.13035769575148</v>
      </c>
      <c r="R21" s="59">
        <f t="shared" si="0"/>
        <v>507.46369102908477</v>
      </c>
      <c r="S21" s="59">
        <f ca="1">AVERAGE(OFFSET($R$3,0,0,'Données projet'!$E$9+1,1))-AVERAGE(OFFSET($H$3,0,0,'Données projet'!$E$9+1,1))</f>
        <v>235.23085498936467</v>
      </c>
      <c r="T21" s="59">
        <f t="shared" si="34"/>
        <v>344.45763019921577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2.2590674478010362</v>
      </c>
      <c r="AA21" s="21">
        <f>EXP(-LN(2)/25)*AA20+(1-EXP(-LN(2)/25))/(LN(2)/25)*Calculateur!V21*Calculateur!X21*VLOOKUP('Données projet'!$B$9,Paramètres!$A$1:$I$89,3,0)*0.475*44/12</f>
        <v>4.9049771252625316</v>
      </c>
      <c r="AB21" s="21">
        <f>EXP(-LN(2)/2)*AB20+(1-EXP(-LN(2)/2))/(LN(2)/2)*V21*Y21*VLOOKUP('Données projet'!$B$9,Paramètres!$A$1:$I$89,3,0)*0.475*44/12</f>
        <v>2.029108882656478</v>
      </c>
      <c r="AC21" s="22">
        <f t="shared" si="3"/>
        <v>9.1931534557200454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183.77</v>
      </c>
      <c r="L22" s="12">
        <f>VLOOKUP(A22,'Données projet'!$A$35:$I$55,9,0)</f>
        <v>21.968</v>
      </c>
      <c r="M22" s="12">
        <f t="array" ref="M22">INDEX(L:L,MIN(IF(ISNUMBER(L22:L218),ROW(L22:L218),"")))</f>
        <v>21.968</v>
      </c>
      <c r="N22" s="13">
        <f>IF('Données projet'!$A$36&gt;35,N21+M22-V21,IF(A22&lt;'Données projet'!$A$36,$K$205^A22,IF(A22='Données projet'!$A$36,'Données projet'!$B$36,N21+M22-V21)))</f>
        <v>183.76999999999998</v>
      </c>
      <c r="O22" s="13">
        <f>N22*VLOOKUP('Données projet'!$B$9,Paramètres!$A$1:$I$89,3,0)*VLOOKUP('Données projet'!$B$9,Paramètres!$A$1:$I$89,5,0)</f>
        <v>109.89446</v>
      </c>
      <c r="P22" s="13">
        <f t="shared" si="33"/>
        <v>29.30611713635502</v>
      </c>
      <c r="Q22" s="20">
        <f t="shared" si="2"/>
        <v>242.44100517915163</v>
      </c>
      <c r="R22" s="59">
        <f t="shared" si="0"/>
        <v>535.77433851248497</v>
      </c>
      <c r="S22" s="59">
        <f ca="1">AVERAGE(OFFSET($R$3,0,0,'Données projet'!$E$9+1,1))-AVERAGE(OFFSET($H$3,0,0,'Données projet'!$E$9+1,1))</f>
        <v>235.23085498936467</v>
      </c>
      <c r="T22" s="59">
        <f t="shared" si="34"/>
        <v>344.45763019921577</v>
      </c>
      <c r="U22" s="15">
        <f>IF(ISNA(VLOOKUP(A22,'Données projet'!$A$35:$I$55,3,0)),0,VLOOKUP(A22,'Données projet'!$A$35:$I$55,3,0))</f>
        <v>3</v>
      </c>
      <c r="V22" s="15">
        <f>IF(ISNA(VLOOKUP(A22,'Données projet'!$A$35:$I$55,4,0)),0,VLOOKUP(A22,'Données projet'!$A$35:$I$55,4,0))</f>
        <v>60</v>
      </c>
      <c r="W22" s="16">
        <f>IF(ISNA(VLOOKUP(A22,'Données projet'!$A$35:$I$55,5,0)),0%,VLOOKUP(A22,'Données projet'!$A$35:$I$55,5,0)*VLOOKUP('Données projet'!$B$9,Paramètres!$A$1:$I$89,7,0))</f>
        <v>0.13500000000000001</v>
      </c>
      <c r="X22" s="16">
        <f>IF(ISNA(VLOOKUP(A22,'Données projet'!$A$35:$I$55,6,0)),0%,VLOOKUP(A22,'Données projet'!$A$35:$I$55,6,0)*VLOOKUP('Données projet'!$B$9,Paramètres!$A$1:$I$89,7,0))</f>
        <v>0.17550000000000002</v>
      </c>
      <c r="Y22" s="16">
        <f>IF(ISNA(VLOOKUP(A22,'Données projet'!$A$35:$I$55,7,0)),0%,VLOOKUP(A22,'Données projet'!$A$35:$I$55,7,0))</f>
        <v>0.21</v>
      </c>
      <c r="Z22" s="21">
        <f>EXP(-LN(2)/35)*Z21+(1-EXP(-LN(2)/35))/(LN(2)/35)*V22*W22*VLOOKUP('Données projet'!$B$9,Paramètres!$A$1:$I$89,3,0)*0.475*44/12</f>
        <v>8.6403814223027915</v>
      </c>
      <c r="AA22" s="21">
        <f>EXP(-LN(2)/25)*AA21+(1-EXP(-LN(2)/25))/(LN(2)/25)*Calculateur!V22*Calculateur!X22*VLOOKUP('Données projet'!$B$9,Paramètres!$A$1:$I$89,3,0)*0.475*44/12</f>
        <v>13.091256937579669</v>
      </c>
      <c r="AB22" s="21">
        <f>EXP(-LN(2)/2)*AB21+(1-EXP(-LN(2)/2))/(LN(2)/2)*V22*Y22*VLOOKUP('Données projet'!$B$9,Paramètres!$A$1:$I$89,3,0)*0.475*44/12</f>
        <v>9.9659405660946696</v>
      </c>
      <c r="AC22" s="22">
        <f t="shared" si="3"/>
        <v>31.69757892597713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144.97999999999999</v>
      </c>
      <c r="L23" s="12">
        <f>VLOOKUP(A23,'Données projet'!$A$35:$I$55,9,0)</f>
        <v>21.20999999999998</v>
      </c>
      <c r="M23" s="12">
        <f t="array" ref="M23">INDEX(L:L,MIN(IF(ISNUMBER(L23:L219),ROW(L23:L219),"")))</f>
        <v>21.20999999999998</v>
      </c>
      <c r="N23" s="13">
        <f>IF('Données projet'!$A$36&gt;35,N22+M23-V22,IF(A23&lt;'Données projet'!$A$36,$K$205^A23,IF(A23='Données projet'!$A$36,'Données projet'!$B$36,N22+M23-V22)))</f>
        <v>144.97999999999996</v>
      </c>
      <c r="O23" s="13">
        <f>N23*VLOOKUP('Données projet'!$B$9,Paramètres!$A$1:$I$89,3,0)*VLOOKUP('Données projet'!$B$9,Paramètres!$A$1:$I$89,5,0)</f>
        <v>86.698039999999978</v>
      </c>
      <c r="P23" s="13">
        <f t="shared" si="33"/>
        <v>23.767147648612863</v>
      </c>
      <c r="Q23" s="20">
        <f t="shared" si="2"/>
        <v>192.39353515466735</v>
      </c>
      <c r="R23" s="59">
        <f t="shared" si="0"/>
        <v>485.72686848800066</v>
      </c>
      <c r="S23" s="59">
        <f ca="1">AVERAGE(OFFSET($R$3,0,0,'Données projet'!$E$9+1,1))-AVERAGE(OFFSET($H$3,0,0,'Données projet'!$E$9+1,1))</f>
        <v>235.23085498936467</v>
      </c>
      <c r="T23" s="59">
        <f t="shared" si="34"/>
        <v>344.45763019921577</v>
      </c>
      <c r="U23" s="15">
        <f>IF(ISNA(VLOOKUP(A23,'Données projet'!$A$35:$I$55,3,0)),0,VLOOKUP(A23,'Données projet'!$A$35:$I$55,3,0))</f>
        <v>4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8.4709488127237211</v>
      </c>
      <c r="AA23" s="21">
        <f>EXP(-LN(2)/25)*AA22+(1-EXP(-LN(2)/25))/(LN(2)/25)*Calculateur!V23*Calculateur!X23*VLOOKUP('Données projet'!$B$9,Paramètres!$A$1:$I$89,3,0)*0.475*44/12</f>
        <v>12.73327582818227</v>
      </c>
      <c r="AB23" s="21">
        <f>EXP(-LN(2)/2)*AB22+(1-EXP(-LN(2)/2))/(LN(2)/2)*V23*Y23*VLOOKUP('Données projet'!$B$9,Paramètres!$A$1:$I$89,3,0)*0.475*44/12</f>
        <v>7.0469841551876415</v>
      </c>
      <c r="AC23" s="22">
        <f t="shared" si="3"/>
        <v>28.251208796093632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21.542000000000002</v>
      </c>
      <c r="N24" s="13">
        <f>IF('Données projet'!$A$36&gt;35,N23+M24-V23,IF(A24&lt;'Données projet'!$A$36,$K$205^A24,IF(A24='Données projet'!$A$36,'Données projet'!$B$36,N23+M24-V23)))</f>
        <v>166.52199999999996</v>
      </c>
      <c r="O24" s="13">
        <f>N24*VLOOKUP('Données projet'!$B$9,Paramètres!$A$1:$I$89,3,0)*VLOOKUP('Données projet'!$B$9,Paramètres!$A$1:$I$89,5,0)</f>
        <v>99.580155999999988</v>
      </c>
      <c r="P24" s="13">
        <f t="shared" si="33"/>
        <v>26.861951026280966</v>
      </c>
      <c r="Q24" s="20">
        <f t="shared" si="2"/>
        <v>220.22000307077266</v>
      </c>
      <c r="R24" s="59">
        <f t="shared" si="0"/>
        <v>513.55333640410595</v>
      </c>
      <c r="S24" s="59">
        <f ca="1">AVERAGE(OFFSET($R$3,0,0,'Données projet'!$E$9+1,1))-AVERAGE(OFFSET($H$3,0,0,'Données projet'!$E$9+1,1))</f>
        <v>235.23085498936467</v>
      </c>
      <c r="T24" s="59">
        <f t="shared" si="34"/>
        <v>344.45763019921577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8.3048386732748085</v>
      </c>
      <c r="AA24" s="21">
        <f>EXP(-LN(2)/25)*AA23+(1-EXP(-LN(2)/25))/(LN(2)/25)*Calculateur!V24*Calculateur!X24*VLOOKUP('Données projet'!$B$9,Paramètres!$A$1:$I$89,3,0)*0.475*44/12</f>
        <v>12.385083731046752</v>
      </c>
      <c r="AB24" s="21">
        <f>EXP(-LN(2)/2)*AB23+(1-EXP(-LN(2)/2))/(LN(2)/2)*V24*Y24*VLOOKUP('Données projet'!$B$9,Paramètres!$A$1:$I$89,3,0)*0.475*44/12</f>
        <v>4.9829702830473357</v>
      </c>
      <c r="AC24" s="22">
        <f t="shared" si="3"/>
        <v>25.672892687368897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21.542000000000002</v>
      </c>
      <c r="N25" s="13">
        <f>IF('Données projet'!$A$36&gt;35,N24+M25-V24,IF(A25&lt;'Données projet'!$A$36,$K$205^A25,IF(A25='Données projet'!$A$36,'Données projet'!$B$36,N24+M25-V24)))</f>
        <v>188.06399999999996</v>
      </c>
      <c r="O25" s="13">
        <f>N25*VLOOKUP('Données projet'!$B$9,Paramètres!$A$1:$I$89,3,0)*VLOOKUP('Données projet'!$B$9,Paramètres!$A$1:$I$89,5,0)</f>
        <v>112.46227199999998</v>
      </c>
      <c r="P25" s="13">
        <f t="shared" si="33"/>
        <v>29.910365508668491</v>
      </c>
      <c r="Q25" s="20">
        <f t="shared" si="2"/>
        <v>247.96567699426421</v>
      </c>
      <c r="R25" s="59">
        <f t="shared" si="0"/>
        <v>541.29901032759756</v>
      </c>
      <c r="S25" s="59">
        <f ca="1">AVERAGE(OFFSET($R$3,0,0,'Données projet'!$E$9+1,1))-AVERAGE(OFFSET($H$3,0,0,'Données projet'!$E$9+1,1))</f>
        <v>235.23085498936467</v>
      </c>
      <c r="T25" s="59">
        <f t="shared" si="34"/>
        <v>344.45763019921577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8.1419858523433088</v>
      </c>
      <c r="AA25" s="21">
        <f>EXP(-LN(2)/25)*AA24+(1-EXP(-LN(2)/25))/(LN(2)/25)*Calculateur!V25*Calculateur!X25*VLOOKUP('Données projet'!$B$9,Paramètres!$A$1:$I$89,3,0)*0.475*44/12</f>
        <v>12.046412965118032</v>
      </c>
      <c r="AB25" s="21">
        <f>EXP(-LN(2)/2)*AB24+(1-EXP(-LN(2)/2))/(LN(2)/2)*V25*Y25*VLOOKUP('Données projet'!$B$9,Paramètres!$A$1:$I$89,3,0)*0.475*44/12</f>
        <v>3.5234920775938212</v>
      </c>
      <c r="AC25" s="22">
        <f t="shared" si="3"/>
        <v>23.711890895055163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21.542000000000002</v>
      </c>
      <c r="N26" s="13">
        <f>IF('Données projet'!$A$36&gt;35,N25+M26-V25,IF(A26&lt;'Données projet'!$A$36,$K$205^A26,IF(A26='Données projet'!$A$36,'Données projet'!$B$36,N25+M26-V25)))</f>
        <v>209.60599999999997</v>
      </c>
      <c r="O26" s="13">
        <f>N26*VLOOKUP('Données projet'!$B$9,Paramètres!$A$1:$I$89,3,0)*VLOOKUP('Données projet'!$B$9,Paramètres!$A$1:$I$89,5,0)</f>
        <v>125.344388</v>
      </c>
      <c r="P26" s="13">
        <f t="shared" si="33"/>
        <v>32.91831141146298</v>
      </c>
      <c r="Q26" s="20">
        <f t="shared" si="2"/>
        <v>275.6408681416313</v>
      </c>
      <c r="R26" s="59">
        <f t="shared" si="0"/>
        <v>568.97420147496462</v>
      </c>
      <c r="S26" s="59">
        <f ca="1">AVERAGE(OFFSET($R$3,0,0,'Données projet'!$E$9+1,1))-AVERAGE(OFFSET($H$3,0,0,'Données projet'!$E$9+1,1))</f>
        <v>235.23085498936467</v>
      </c>
      <c r="T26" s="59">
        <f t="shared" si="34"/>
        <v>344.45763019921577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7.9823264758998631</v>
      </c>
      <c r="AA26" s="21">
        <f>EXP(-LN(2)/25)*AA25+(1-EXP(-LN(2)/25))/(LN(2)/25)*Calculateur!V26*Calculateur!X26*VLOOKUP('Données projet'!$B$9,Paramètres!$A$1:$I$89,3,0)*0.475*44/12</f>
        <v>11.717003169093553</v>
      </c>
      <c r="AB26" s="21">
        <f>EXP(-LN(2)/2)*AB25+(1-EXP(-LN(2)/2))/(LN(2)/2)*V26*Y26*VLOOKUP('Données projet'!$B$9,Paramètres!$A$1:$I$89,3,0)*0.475*44/12</f>
        <v>2.4914851415236678</v>
      </c>
      <c r="AC26" s="22">
        <f t="shared" si="3"/>
        <v>22.190814786517084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21.542000000000002</v>
      </c>
      <c r="N27" s="13">
        <f>IF('Données projet'!$A$36&gt;35,N26+M27-V26,IF(A27&lt;'Données projet'!$A$36,$K$205^A27,IF(A27='Données projet'!$A$36,'Données projet'!$B$36,N26+M27-V26)))</f>
        <v>231.14799999999997</v>
      </c>
      <c r="O27" s="13">
        <f>N27*VLOOKUP('Données projet'!$B$9,Paramètres!$A$1:$I$89,3,0)*VLOOKUP('Données projet'!$B$9,Paramètres!$A$1:$I$89,5,0)</f>
        <v>138.22650399999998</v>
      </c>
      <c r="P27" s="13">
        <f t="shared" si="33"/>
        <v>35.890421504729531</v>
      </c>
      <c r="Q27" s="20">
        <f t="shared" si="2"/>
        <v>303.25364525407053</v>
      </c>
      <c r="R27" s="59">
        <f t="shared" si="0"/>
        <v>596.58697858740379</v>
      </c>
      <c r="S27" s="59">
        <f ca="1">AVERAGE(OFFSET($R$3,0,0,'Données projet'!$E$9+1,1))-AVERAGE(OFFSET($H$3,0,0,'Données projet'!$E$9+1,1))</f>
        <v>235.23085498936467</v>
      </c>
      <c r="T27" s="59">
        <f t="shared" si="34"/>
        <v>344.45763019921577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7.8257979224458687</v>
      </c>
      <c r="AA27" s="21">
        <f>EXP(-LN(2)/25)*AA26+(1-EXP(-LN(2)/25))/(LN(2)/25)*Calculateur!V27*Calculateur!X27*VLOOKUP('Données projet'!$B$9,Paramètres!$A$1:$I$89,3,0)*0.475*44/12</f>
        <v>11.396601101264274</v>
      </c>
      <c r="AB27" s="21">
        <f>EXP(-LN(2)/2)*AB26+(1-EXP(-LN(2)/2))/(LN(2)/2)*V27*Y27*VLOOKUP('Données projet'!$B$9,Paramètres!$A$1:$I$89,3,0)*0.475*44/12</f>
        <v>1.7617460387969106</v>
      </c>
      <c r="AC27" s="22">
        <f t="shared" si="3"/>
        <v>20.984145062507054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252.69</v>
      </c>
      <c r="L28" s="12">
        <f>VLOOKUP(A28,'Données projet'!$A$35:$I$55,9,0)</f>
        <v>21.542000000000002</v>
      </c>
      <c r="M28" s="12">
        <f t="array" ref="M28">INDEX(L:L,MIN(IF(ISNUMBER(L28:L224),ROW(L28:L224),"")))</f>
        <v>21.542000000000002</v>
      </c>
      <c r="N28" s="13">
        <f>IF('Données projet'!$A$36&gt;35,N27+M28-V27,IF(A28&lt;'Données projet'!$A$36,$K$205^A28,IF(A28='Données projet'!$A$36,'Données projet'!$B$36,N27+M28-V27)))</f>
        <v>252.68999999999997</v>
      </c>
      <c r="O28" s="13">
        <f>N28*VLOOKUP('Données projet'!$B$9,Paramètres!$A$1:$I$89,3,0)*VLOOKUP('Données projet'!$B$9,Paramètres!$A$1:$I$89,5,0)</f>
        <v>151.10862</v>
      </c>
      <c r="P28" s="13">
        <f t="shared" si="33"/>
        <v>38.830415421175942</v>
      </c>
      <c r="Q28" s="20">
        <f t="shared" si="2"/>
        <v>330.81048669188147</v>
      </c>
      <c r="R28" s="59">
        <f t="shared" si="0"/>
        <v>624.14382002521484</v>
      </c>
      <c r="S28" s="59">
        <f ca="1">AVERAGE(OFFSET($R$3,0,0,'Données projet'!$E$9+1,1))-AVERAGE(OFFSET($H$3,0,0,'Données projet'!$E$9+1,1))</f>
        <v>235.23085498936467</v>
      </c>
      <c r="T28" s="59">
        <f t="shared" si="34"/>
        <v>344.45763019921577</v>
      </c>
      <c r="U28" s="15">
        <f>IF(ISNA(VLOOKUP(A28,'Données projet'!$A$35:$I$55,3,0)),0,VLOOKUP(A28,'Données projet'!$A$35:$I$55,3,0))</f>
        <v>5</v>
      </c>
      <c r="V28" s="15">
        <f>IF(ISNA(VLOOKUP(A28,'Données projet'!$A$35:$I$55,4,0)),0,VLOOKUP(A28,'Données projet'!$A$35:$I$55,4,0))</f>
        <v>60.96</v>
      </c>
      <c r="W28" s="16">
        <f>IF(ISNA(VLOOKUP(A28,'Données projet'!$A$35:$I$55,5,0)),0%,VLOOKUP(A28,'Données projet'!$A$35:$I$55,5,0)*VLOOKUP('Données projet'!$B$9,Paramètres!$A$1:$I$89,7,0))</f>
        <v>0.18000000000000002</v>
      </c>
      <c r="X28" s="16">
        <f>IF(ISNA(VLOOKUP(A28,'Données projet'!$A$35:$I$55,6,0)),0%,VLOOKUP(A28,'Données projet'!$A$35:$I$55,6,0)*VLOOKUP('Données projet'!$B$9,Paramètres!$A$1:$I$89,7,0))</f>
        <v>0.15300000000000002</v>
      </c>
      <c r="Y28" s="16">
        <f>IF(ISNA(VLOOKUP(A28,'Données projet'!$A$35:$I$55,7,0)),0%,VLOOKUP(A28,'Données projet'!$A$35:$I$55,7,0))</f>
        <v>0.26</v>
      </c>
      <c r="Z28" s="21">
        <f>EXP(-LN(2)/35)*Z27+(1-EXP(-LN(2)/35))/(LN(2)/35)*V28*W28*VLOOKUP('Données projet'!$B$9,Paramètres!$A$1:$I$89,3,0)*0.475*44/12</f>
        <v>16.376902419527013</v>
      </c>
      <c r="AA28" s="21">
        <f>EXP(-LN(2)/25)*AA27+(1-EXP(-LN(2)/25))/(LN(2)/25)*Calculateur!V28*Calculateur!X28*VLOOKUP('Données projet'!$B$9,Paramètres!$A$1:$I$89,3,0)*0.475*44/12</f>
        <v>18.454707316618965</v>
      </c>
      <c r="AB28" s="21">
        <f>EXP(-LN(2)/2)*AB27+(1-EXP(-LN(2)/2))/(LN(2)/2)*V28*Y28*VLOOKUP('Données projet'!$B$9,Paramètres!$A$1:$I$89,3,0)*0.475*44/12</f>
        <v>11.977109126441368</v>
      </c>
      <c r="AC28" s="22">
        <f t="shared" si="3"/>
        <v>46.808718862587348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20.042499999999997</v>
      </c>
      <c r="N29" s="13">
        <f>IF('Données projet'!$A$36&gt;35,N28+M29-V28,IF(A29&lt;'Données projet'!$A$36,$K$205^A29,IF(A29='Données projet'!$A$36,'Données projet'!$B$36,N28+M29-V28)))</f>
        <v>211.77249999999995</v>
      </c>
      <c r="O29" s="13">
        <f>N29*VLOOKUP('Données projet'!$B$9,Paramètres!$A$1:$I$89,3,0)*VLOOKUP('Données projet'!$B$9,Paramètres!$A$1:$I$89,5,0)</f>
        <v>126.63995499999997</v>
      </c>
      <c r="P29" s="13">
        <f t="shared" si="33"/>
        <v>33.21877227255429</v>
      </c>
      <c r="Q29" s="20">
        <f t="shared" si="2"/>
        <v>278.42061666636533</v>
      </c>
      <c r="R29" s="59">
        <f t="shared" si="0"/>
        <v>571.75394999969865</v>
      </c>
      <c r="S29" s="59">
        <f ca="1">AVERAGE(OFFSET($R$3,0,0,'Données projet'!$E$9+1,1))-AVERAGE(OFFSET($H$3,0,0,'Données projet'!$E$9+1,1))</f>
        <v>235.23085498936467</v>
      </c>
      <c r="T29" s="59">
        <f t="shared" si="34"/>
        <v>344.45763019921577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16.055761352004239</v>
      </c>
      <c r="AA29" s="21">
        <f>EXP(-LN(2)/25)*AA28+(1-EXP(-LN(2)/25))/(LN(2)/25)*Calculateur!V29*Calculateur!X29*VLOOKUP('Données projet'!$B$9,Paramètres!$A$1:$I$89,3,0)*0.475*44/12</f>
        <v>17.950062374555142</v>
      </c>
      <c r="AB29" s="21">
        <f>EXP(-LN(2)/2)*AB28+(1-EXP(-LN(2)/2))/(LN(2)/2)*V29*Y29*VLOOKUP('Données projet'!$B$9,Paramètres!$A$1:$I$89,3,0)*0.475*44/12</f>
        <v>8.4690950823179776</v>
      </c>
      <c r="AC29" s="22">
        <f t="shared" si="3"/>
        <v>42.474918808877362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20.042499999999997</v>
      </c>
      <c r="N30" s="13">
        <f>IF('Données projet'!$A$36&gt;35,N29+M30-V29,IF(A30&lt;'Données projet'!$A$36,$K$205^A30,IF(A30='Données projet'!$A$36,'Données projet'!$B$36,N29+M30-V29)))</f>
        <v>231.81499999999994</v>
      </c>
      <c r="O30" s="13">
        <f>N30*VLOOKUP('Données projet'!$B$9,Paramètres!$A$1:$I$89,3,0)*VLOOKUP('Données projet'!$B$9,Paramètres!$A$1:$I$89,5,0)</f>
        <v>138.62536999999998</v>
      </c>
      <c r="P30" s="13">
        <f t="shared" si="33"/>
        <v>35.981916448750567</v>
      </c>
      <c r="Q30" s="20">
        <f t="shared" si="2"/>
        <v>304.10769056490716</v>
      </c>
      <c r="R30" s="59">
        <f t="shared" si="0"/>
        <v>597.44102389824047</v>
      </c>
      <c r="S30" s="59">
        <f ca="1">AVERAGE(OFFSET($R$3,0,0,'Données projet'!$E$9+1,1))-AVERAGE(OFFSET($H$3,0,0,'Données projet'!$E$9+1,1))</f>
        <v>235.23085498936467</v>
      </c>
      <c r="T30" s="59">
        <f t="shared" si="34"/>
        <v>344.45763019921577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15.740917664938879</v>
      </c>
      <c r="AA30" s="21">
        <f>EXP(-LN(2)/25)*AA29+(1-EXP(-LN(2)/25))/(LN(2)/25)*Calculateur!V30*Calculateur!X30*VLOOKUP('Données projet'!$B$9,Paramètres!$A$1:$I$89,3,0)*0.475*44/12</f>
        <v>17.459216974970175</v>
      </c>
      <c r="AB30" s="21">
        <f>EXP(-LN(2)/2)*AB29+(1-EXP(-LN(2)/2))/(LN(2)/2)*V30*Y30*VLOOKUP('Données projet'!$B$9,Paramètres!$A$1:$I$89,3,0)*0.475*44/12</f>
        <v>5.988554563220684</v>
      </c>
      <c r="AC30" s="22">
        <f t="shared" si="3"/>
        <v>39.188689203129734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20.042499999999997</v>
      </c>
      <c r="N31" s="13">
        <f>IF('Données projet'!$A$36&gt;35,N30+M31-V30,IF(A31&lt;'Données projet'!$A$36,$K$205^A31,IF(A31='Données projet'!$A$36,'Données projet'!$B$36,N30+M31-V30)))</f>
        <v>251.85749999999993</v>
      </c>
      <c r="O31" s="13">
        <f>N31*VLOOKUP('Données projet'!$B$9,Paramètres!$A$1:$I$89,3,0)*VLOOKUP('Données projet'!$B$9,Paramètres!$A$1:$I$89,5,0)</f>
        <v>150.61078499999996</v>
      </c>
      <c r="P31" s="13">
        <f t="shared" si="33"/>
        <v>38.71735585936932</v>
      </c>
      <c r="Q31" s="20">
        <f t="shared" si="2"/>
        <v>329.7465119967348</v>
      </c>
      <c r="R31" s="59">
        <f t="shared" si="0"/>
        <v>623.07984533006811</v>
      </c>
      <c r="S31" s="59">
        <f ca="1">AVERAGE(OFFSET($R$3,0,0,'Données projet'!$E$9+1,1))-AVERAGE(OFFSET($H$3,0,0,'Données projet'!$E$9+1,1))</f>
        <v>235.23085498936467</v>
      </c>
      <c r="T31" s="59">
        <f t="shared" si="34"/>
        <v>344.45763019921577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15.432247870541183</v>
      </c>
      <c r="AA31" s="21">
        <f>EXP(-LN(2)/25)*AA30+(1-EXP(-LN(2)/25))/(LN(2)/25)*Calculateur!V31*Calculateur!X31*VLOOKUP('Données projet'!$B$9,Paramètres!$A$1:$I$89,3,0)*0.475*44/12</f>
        <v>16.9817937686493</v>
      </c>
      <c r="AB31" s="21">
        <f>EXP(-LN(2)/2)*AB30+(1-EXP(-LN(2)/2))/(LN(2)/2)*V31*Y31*VLOOKUP('Données projet'!$B$9,Paramètres!$A$1:$I$89,3,0)*0.475*44/12</f>
        <v>4.2345475411589888</v>
      </c>
      <c r="AC31" s="22">
        <f t="shared" si="3"/>
        <v>36.648589180349475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271.89999999999998</v>
      </c>
      <c r="L32" s="12">
        <f>VLOOKUP(A32,'Données projet'!$A$35:$I$55,9,0)</f>
        <v>20.042499999999997</v>
      </c>
      <c r="M32" s="12">
        <f t="array" ref="M32">INDEX(L:L,MIN(IF(ISNUMBER(L32:L228),ROW(L32:L228),"")))</f>
        <v>20.042499999999997</v>
      </c>
      <c r="N32" s="13">
        <f>IF('Données projet'!$A$36&gt;35,N31+M32-V31,IF(A32&lt;'Données projet'!$A$36,$K$205^A32,IF(A32='Données projet'!$A$36,'Données projet'!$B$36,N31+M32-V31)))</f>
        <v>271.89999999999992</v>
      </c>
      <c r="O32" s="13">
        <f>N32*VLOOKUP('Données projet'!$B$9,Paramètres!$A$1:$I$89,3,0)*VLOOKUP('Données projet'!$B$9,Paramètres!$A$1:$I$89,5,0)</f>
        <v>162.59619999999995</v>
      </c>
      <c r="P32" s="13">
        <f t="shared" si="33"/>
        <v>41.427545871373056</v>
      </c>
      <c r="Q32" s="20">
        <f t="shared" si="2"/>
        <v>355.34135739264133</v>
      </c>
      <c r="R32" s="59">
        <f t="shared" si="0"/>
        <v>648.67469072597464</v>
      </c>
      <c r="S32" s="59">
        <f ca="1">AVERAGE(OFFSET($R$3,0,0,'Données projet'!$E$9+1,1))-AVERAGE(OFFSET($H$3,0,0,'Données projet'!$E$9+1,1))</f>
        <v>235.23085498936467</v>
      </c>
      <c r="T32" s="59">
        <f t="shared" si="34"/>
        <v>344.45763019921577</v>
      </c>
      <c r="U32" s="15">
        <f>IF(ISNA(VLOOKUP(A32,'Données projet'!$A$35:$I$55,3,0)),0,VLOOKUP(A32,'Données projet'!$A$35:$I$55,3,0))</f>
        <v>6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15.12963090254164</v>
      </c>
      <c r="AA32" s="21">
        <f>EXP(-LN(2)/25)*AA31+(1-EXP(-LN(2)/25))/(LN(2)/25)*Calculateur!V32*Calculateur!X32*VLOOKUP('Données projet'!$B$9,Paramètres!$A$1:$I$89,3,0)*0.475*44/12</f>
        <v>16.517425725011865</v>
      </c>
      <c r="AB32" s="21">
        <f>EXP(-LN(2)/2)*AB31+(1-EXP(-LN(2)/2))/(LN(2)/2)*V32*Y32*VLOOKUP('Données projet'!$B$9,Paramètres!$A$1:$I$89,3,0)*0.475*44/12</f>
        <v>2.994277281610342</v>
      </c>
      <c r="AC32" s="22">
        <f t="shared" si="3"/>
        <v>34.641333909163848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21.286666666666672</v>
      </c>
      <c r="N33" s="13">
        <f>IF('Données projet'!$A$36&gt;35,N32+M33-V32,IF(A33&lt;'Données projet'!$A$36,$K$205^A33,IF(A33='Données projet'!$A$36,'Données projet'!$B$36,N32+M33-V32)))</f>
        <v>293.18666666666661</v>
      </c>
      <c r="O33" s="13">
        <f>N33*VLOOKUP('Données projet'!$B$9,Paramètres!$A$1:$I$89,3,0)*VLOOKUP('Données projet'!$B$9,Paramètres!$A$1:$I$89,5,0)</f>
        <v>175.32562666666664</v>
      </c>
      <c r="P33" s="13">
        <f t="shared" si="33"/>
        <v>44.280637040141215</v>
      </c>
      <c r="Q33" s="20">
        <f t="shared" si="2"/>
        <v>382.48090928935699</v>
      </c>
      <c r="R33" s="59">
        <f t="shared" si="0"/>
        <v>675.81424262269024</v>
      </c>
      <c r="S33" s="59">
        <f ca="1">AVERAGE(OFFSET($R$3,0,0,'Données projet'!$E$9+1,1))-AVERAGE(OFFSET($H$3,0,0,'Données projet'!$E$9+1,1))</f>
        <v>235.23085498936467</v>
      </c>
      <c r="T33" s="59">
        <f t="shared" si="34"/>
        <v>344.45763019921577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14.832948068706443</v>
      </c>
      <c r="AA33" s="21">
        <f>EXP(-LN(2)/25)*AA32+(1-EXP(-LN(2)/25))/(LN(2)/25)*Calculateur!V33*Calculateur!X33*VLOOKUP('Données projet'!$B$9,Paramètres!$A$1:$I$89,3,0)*0.475*44/12</f>
        <v>16.065755849947749</v>
      </c>
      <c r="AB33" s="21">
        <f>EXP(-LN(2)/2)*AB32+(1-EXP(-LN(2)/2))/(LN(2)/2)*V33*Y33*VLOOKUP('Données projet'!$B$9,Paramètres!$A$1:$I$89,3,0)*0.475*44/12</f>
        <v>2.1172737705794944</v>
      </c>
      <c r="AC33" s="22">
        <f t="shared" si="3"/>
        <v>33.015977689233686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21.286666666666672</v>
      </c>
      <c r="N34" s="13">
        <f>IF('Données projet'!$A$36&gt;35,N33+M34-V33,IF(A34&lt;'Données projet'!$A$36,$K$205^A34,IF(A34='Données projet'!$A$36,'Données projet'!$B$36,N33+M34-V33)))</f>
        <v>314.4733333333333</v>
      </c>
      <c r="O34" s="13">
        <f>N34*VLOOKUP('Données projet'!$B$9,Paramètres!$A$1:$I$89,3,0)*VLOOKUP('Données projet'!$B$9,Paramètres!$A$1:$I$89,5,0)</f>
        <v>188.05505333333332</v>
      </c>
      <c r="P34" s="13">
        <f t="shared" si="33"/>
        <v>47.109695596552015</v>
      </c>
      <c r="Q34" s="20">
        <f t="shared" si="2"/>
        <v>409.57860438621697</v>
      </c>
      <c r="R34" s="59">
        <f t="shared" si="0"/>
        <v>702.91193771955022</v>
      </c>
      <c r="S34" s="59">
        <f ca="1">AVERAGE(OFFSET($R$3,0,0,'Données projet'!$E$9+1,1))-AVERAGE(OFFSET($H$3,0,0,'Données projet'!$E$9+1,1))</f>
        <v>235.23085498936467</v>
      </c>
      <c r="T34" s="59">
        <f t="shared" si="34"/>
        <v>344.45763019921577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14.542083004284095</v>
      </c>
      <c r="AA34" s="21">
        <f>EXP(-LN(2)/25)*AA33+(1-EXP(-LN(2)/25))/(LN(2)/25)*Calculateur!V34*Calculateur!X34*VLOOKUP('Données projet'!$B$9,Paramètres!$A$1:$I$89,3,0)*0.475*44/12</f>
        <v>15.626436911369547</v>
      </c>
      <c r="AB34" s="21">
        <f>EXP(-LN(2)/2)*AB33+(1-EXP(-LN(2)/2))/(LN(2)/2)*V34*Y34*VLOOKUP('Données projet'!$B$9,Paramètres!$A$1:$I$89,3,0)*0.475*44/12</f>
        <v>1.497138640805171</v>
      </c>
      <c r="AC34" s="22">
        <f t="shared" si="3"/>
        <v>31.665658556458812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>
        <f>VLOOKUP(A35,'Données projet'!$A$35:$I$55,2,0)</f>
        <v>335.76</v>
      </c>
      <c r="L35" s="12">
        <f>VLOOKUP(A35,'Données projet'!$A$35:$I$55,9,0)</f>
        <v>21.286666666666672</v>
      </c>
      <c r="M35" s="12">
        <f t="array" ref="M35">INDEX(L:L,MIN(IF(ISNUMBER(L35:L231),ROW(L35:L231),"")))</f>
        <v>21.286666666666672</v>
      </c>
      <c r="N35" s="13">
        <f>IF('Données projet'!$A$36&gt;35,N34+M35-V34,IF(A35&lt;'Données projet'!$A$36,$K$205^A35,IF(A35='Données projet'!$A$36,'Données projet'!$B$36,N34+M35-V34)))</f>
        <v>335.76</v>
      </c>
      <c r="O35" s="13">
        <f>N35*VLOOKUP('Données projet'!$B$9,Paramètres!$A$1:$I$89,3,0)*VLOOKUP('Données projet'!$B$9,Paramètres!$A$1:$I$89,5,0)</f>
        <v>200.78448</v>
      </c>
      <c r="P35" s="13">
        <f t="shared" si="33"/>
        <v>49.916533385625819</v>
      </c>
      <c r="Q35" s="20">
        <f t="shared" ref="Q35:Q66" si="53">(O35+P35)*0.475*44/12</f>
        <v>436.63759831329827</v>
      </c>
      <c r="R35" s="59">
        <f t="shared" si="0"/>
        <v>729.97093164663158</v>
      </c>
      <c r="S35" s="59">
        <f ca="1">AVERAGE(OFFSET($R$3,0,0,'Données projet'!$E$9+1,1))-AVERAGE(OFFSET($H$3,0,0,'Données projet'!$E$9+1,1))</f>
        <v>235.23085498936467</v>
      </c>
      <c r="T35" s="59">
        <f t="shared" si="34"/>
        <v>344.45763019921577</v>
      </c>
      <c r="U35" s="15">
        <f>IF(ISNA(VLOOKUP(A35,'Données projet'!$A$35:$I$55,3,0)),0,VLOOKUP(A35,'Données projet'!$A$35:$I$55,3,0))</f>
        <v>7</v>
      </c>
      <c r="V35" s="15">
        <f>IF(ISNA(VLOOKUP(A35,'Données projet'!$A$35:$I$55,4,0)),0,VLOOKUP(A35,'Données projet'!$A$35:$I$55,4,0))</f>
        <v>76.42</v>
      </c>
      <c r="W35" s="16">
        <f>IF(ISNA(VLOOKUP(A35,'Données projet'!$A$35:$I$55,5,0)),0%,VLOOKUP(A35,'Données projet'!$A$35:$I$55,5,0)*VLOOKUP('Données projet'!$B$9,Paramètres!$A$1:$I$89,7,0))</f>
        <v>0.27</v>
      </c>
      <c r="X35" s="16">
        <f>IF(ISNA(VLOOKUP(A35,'Données projet'!$A$35:$I$55,6,0)),0%,VLOOKUP(A35,'Données projet'!$A$35:$I$55,6,0)*VLOOKUP('Données projet'!$B$9,Paramètres!$A$1:$I$89,7,0))</f>
        <v>9.9000000000000005E-2</v>
      </c>
      <c r="Y35" s="16">
        <f>IF(ISNA(VLOOKUP(A35,'Données projet'!$A$35:$I$55,7,0)),0%,VLOOKUP(A35,'Données projet'!$A$35:$I$55,7,0))</f>
        <v>0.18</v>
      </c>
      <c r="Z35" s="21">
        <f>EXP(-LN(2)/35)*Z34+(1-EXP(-LN(2)/35))/(LN(2)/35)*V35*W35*VLOOKUP('Données projet'!$B$9,Paramètres!$A$1:$I$89,3,0)*0.475*44/12</f>
        <v>30.62509957721489</v>
      </c>
      <c r="AA35" s="21">
        <f>EXP(-LN(2)/25)*AA34+(1-EXP(-LN(2)/25))/(LN(2)/25)*Calculateur!V35*Calculateur!X35*VLOOKUP('Données projet'!$B$9,Paramètres!$A$1:$I$89,3,0)*0.475*44/12</f>
        <v>21.177165578016883</v>
      </c>
      <c r="AB35" s="21">
        <f>EXP(-LN(2)/2)*AB34+(1-EXP(-LN(2)/2))/(LN(2)/2)*V35*Y35*VLOOKUP('Données projet'!$B$9,Paramètres!$A$1:$I$89,3,0)*0.475*44/12</f>
        <v>10.372208571219071</v>
      </c>
      <c r="AC35" s="22">
        <f t="shared" si="3"/>
        <v>62.174473726450842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18.466666666666669</v>
      </c>
      <c r="N36" s="13">
        <f>IF('Données projet'!$A$36&gt;35,N35+M36-V35,IF(A36&lt;'Données projet'!$A$36,$K$205^A36,IF(A36='Données projet'!$A$36,'Données projet'!$B$36,N35+M36-V35)))</f>
        <v>277.80666666666667</v>
      </c>
      <c r="O36" s="13">
        <f>N36*VLOOKUP('Données projet'!$B$9,Paramètres!$A$1:$I$89,3,0)*VLOOKUP('Données projet'!$B$9,Paramètres!$A$1:$I$89,5,0)</f>
        <v>166.1283866666667</v>
      </c>
      <c r="P36" s="13">
        <f t="shared" si="33"/>
        <v>42.221751809251792</v>
      </c>
      <c r="Q36" s="20">
        <f t="shared" si="53"/>
        <v>362.8764911788914</v>
      </c>
      <c r="R36" s="59">
        <f t="shared" si="0"/>
        <v>656.20982451222471</v>
      </c>
      <c r="S36" s="59">
        <f ca="1">AVERAGE(OFFSET($R$3,0,0,'Données projet'!$E$9+1,1))-AVERAGE(OFFSET($H$3,0,0,'Données projet'!$E$9+1,1))</f>
        <v>235.23085498936467</v>
      </c>
      <c r="T36" s="59">
        <f t="shared" si="34"/>
        <v>344.45763019921577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30.024560053972003</v>
      </c>
      <c r="AA36" s="21">
        <f>EXP(-LN(2)/25)*AA35+(1-EXP(-LN(2)/25))/(LN(2)/25)*Calculateur!V36*Calculateur!X36*VLOOKUP('Données projet'!$B$9,Paramètres!$A$1:$I$89,3,0)*0.475*44/12</f>
        <v>20.598074871627276</v>
      </c>
      <c r="AB36" s="21">
        <f>EXP(-LN(2)/2)*AB35+(1-EXP(-LN(2)/2))/(LN(2)/2)*V36*Y36*VLOOKUP('Données projet'!$B$9,Paramètres!$A$1:$I$89,3,0)*0.475*44/12</f>
        <v>7.334259016590237</v>
      </c>
      <c r="AC36" s="22">
        <f t="shared" si="3"/>
        <v>57.956893942189517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18.466666666666669</v>
      </c>
      <c r="N37" s="13">
        <f>IF('Données projet'!$A$36&gt;35,N36+M37-V36,IF(A37&lt;'Données projet'!$A$36,$K$205^A37,IF(A37='Données projet'!$A$36,'Données projet'!$B$36,N36+M37-V36)))</f>
        <v>296.27333333333331</v>
      </c>
      <c r="O37" s="13">
        <f>N37*VLOOKUP('Données projet'!$B$9,Paramètres!$A$1:$I$89,3,0)*VLOOKUP('Données projet'!$B$9,Paramètres!$A$1:$I$89,5,0)</f>
        <v>177.17145333333332</v>
      </c>
      <c r="P37" s="13">
        <f t="shared" si="33"/>
        <v>44.692307717942441</v>
      </c>
      <c r="Q37" s="20">
        <f t="shared" si="53"/>
        <v>386.41271716430532</v>
      </c>
      <c r="R37" s="59">
        <f t="shared" si="0"/>
        <v>679.74605049763863</v>
      </c>
      <c r="S37" s="59">
        <f ca="1">AVERAGE(OFFSET($R$3,0,0,'Données projet'!$E$9+1,1))-AVERAGE(OFFSET($H$3,0,0,'Données projet'!$E$9+1,1))</f>
        <v>235.23085498936467</v>
      </c>
      <c r="T37" s="59">
        <f t="shared" si="34"/>
        <v>344.45763019921577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29.435796744486968</v>
      </c>
      <c r="AA37" s="21">
        <f>EXP(-LN(2)/25)*AA36+(1-EXP(-LN(2)/25))/(LN(2)/25)*Calculateur!V37*Calculateur!X37*VLOOKUP('Données projet'!$B$9,Paramètres!$A$1:$I$89,3,0)*0.475*44/12</f>
        <v>20.034819431056949</v>
      </c>
      <c r="AB37" s="21">
        <f>EXP(-LN(2)/2)*AB36+(1-EXP(-LN(2)/2))/(LN(2)/2)*V37*Y37*VLOOKUP('Données projet'!$B$9,Paramètres!$A$1:$I$89,3,0)*0.475*44/12</f>
        <v>5.1861042856095363</v>
      </c>
      <c r="AC37" s="22">
        <f t="shared" si="3"/>
        <v>54.656720461153455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18.466666666666669</v>
      </c>
      <c r="N38" s="13">
        <f>IF('Données projet'!$A$36&gt;35,N37+M38-V37,IF(A38&lt;'Données projet'!$A$36,$K$205^A38,IF(A38='Données projet'!$A$36,'Données projet'!$B$36,N37+M38-V37)))</f>
        <v>314.74</v>
      </c>
      <c r="O38" s="13">
        <f>N38*VLOOKUP('Données projet'!$B$9,Paramètres!$A$1:$I$89,3,0)*VLOOKUP('Données projet'!$B$9,Paramètres!$A$1:$I$89,5,0)</f>
        <v>188.21452000000002</v>
      </c>
      <c r="P38" s="13">
        <f t="shared" si="33"/>
        <v>47.144991921268172</v>
      </c>
      <c r="Q38" s="20">
        <f t="shared" si="53"/>
        <v>409.91781659620875</v>
      </c>
      <c r="R38" s="59">
        <f t="shared" si="0"/>
        <v>703.25114992954207</v>
      </c>
      <c r="S38" s="59">
        <f ca="1">AVERAGE(OFFSET($R$3,0,0,'Données projet'!$E$9+1,1))-AVERAGE(OFFSET($H$3,0,0,'Données projet'!$E$9+1,1))</f>
        <v>235.23085498936467</v>
      </c>
      <c r="T38" s="59">
        <f t="shared" si="34"/>
        <v>344.45763019921577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28.858578724390775</v>
      </c>
      <c r="AA38" s="21">
        <f>EXP(-LN(2)/25)*AA37+(1-EXP(-LN(2)/25))/(LN(2)/25)*Calculateur!V38*Calculateur!X38*VLOOKUP('Données projet'!$B$9,Paramètres!$A$1:$I$89,3,0)*0.475*44/12</f>
        <v>19.486966240129334</v>
      </c>
      <c r="AB38" s="21">
        <f>EXP(-LN(2)/2)*AB37+(1-EXP(-LN(2)/2))/(LN(2)/2)*V38*Y38*VLOOKUP('Données projet'!$B$9,Paramètres!$A$1:$I$89,3,0)*0.475*44/12</f>
        <v>3.667129508295119</v>
      </c>
      <c r="AC38" s="22">
        <f t="shared" si="3"/>
        <v>52.012674472815227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18.466666666666669</v>
      </c>
      <c r="N39" s="13">
        <f>IF('Données projet'!$A$36&gt;35,N38+M39-V38,IF(A39&lt;'Données projet'!$A$36,$K$205^A39,IF(A39='Données projet'!$A$36,'Données projet'!$B$36,N38+M39-V38)))</f>
        <v>333.20666666666671</v>
      </c>
      <c r="O39" s="13">
        <f>N39*VLOOKUP('Données projet'!$B$9,Paramètres!$A$1:$I$89,3,0)*VLOOKUP('Données projet'!$B$9,Paramètres!$A$1:$I$89,5,0)</f>
        <v>199.25758666666673</v>
      </c>
      <c r="P39" s="13">
        <f t="shared" si="33"/>
        <v>49.580972447089898</v>
      </c>
      <c r="Q39" s="20">
        <f t="shared" si="53"/>
        <v>433.39382378979275</v>
      </c>
      <c r="R39" s="59">
        <f t="shared" si="0"/>
        <v>726.72715712312606</v>
      </c>
      <c r="S39" s="59">
        <f ca="1">AVERAGE(OFFSET($R$3,0,0,'Données projet'!$E$9+1,1))-AVERAGE(OFFSET($H$3,0,0,'Données projet'!$E$9+1,1))</f>
        <v>235.23085498936467</v>
      </c>
      <c r="T39" s="59">
        <f t="shared" si="34"/>
        <v>344.45763019921577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28.29267959760044</v>
      </c>
      <c r="AA39" s="21">
        <f>EXP(-LN(2)/25)*AA38+(1-EXP(-LN(2)/25))/(LN(2)/25)*Calculateur!V39*Calculateur!X39*VLOOKUP('Données projet'!$B$9,Paramètres!$A$1:$I$89,3,0)*0.475*44/12</f>
        <v>18.954094123517979</v>
      </c>
      <c r="AB39" s="21">
        <f>EXP(-LN(2)/2)*AB38+(1-EXP(-LN(2)/2))/(LN(2)/2)*V39*Y39*VLOOKUP('Données projet'!$B$9,Paramètres!$A$1:$I$89,3,0)*0.475*44/12</f>
        <v>2.5930521428047686</v>
      </c>
      <c r="AC39" s="22">
        <f t="shared" si="3"/>
        <v>49.839825863923181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18.466666666666669</v>
      </c>
      <c r="N40" s="13">
        <f>IF('Données projet'!$A$36&gt;35,N39+M40-V39,IF(A40&lt;'Données projet'!$A$36,$K$205^A40,IF(A40='Données projet'!$A$36,'Données projet'!$B$36,N39+M40-V39)))</f>
        <v>351.6733333333334</v>
      </c>
      <c r="O40" s="13">
        <f>N40*VLOOKUP('Données projet'!$B$9,Paramètres!$A$1:$I$89,3,0)*VLOOKUP('Données projet'!$B$9,Paramètres!$A$1:$I$89,5,0)</f>
        <v>210.30065333333337</v>
      </c>
      <c r="P40" s="13">
        <f t="shared" si="33"/>
        <v>52.001280544468123</v>
      </c>
      <c r="Q40" s="20">
        <f t="shared" si="53"/>
        <v>456.84253483717094</v>
      </c>
      <c r="R40" s="59">
        <f t="shared" si="0"/>
        <v>750.17586817050426</v>
      </c>
      <c r="S40" s="59">
        <f ca="1">AVERAGE(OFFSET($R$3,0,0,'Données projet'!$E$9+1,1))-AVERAGE(OFFSET($H$3,0,0,'Données projet'!$E$9+1,1))</f>
        <v>235.23085498936467</v>
      </c>
      <c r="T40" s="59">
        <f t="shared" si="34"/>
        <v>344.45763019921577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27.737877407522081</v>
      </c>
      <c r="AA40" s="21">
        <f>EXP(-LN(2)/25)*AA39+(1-EXP(-LN(2)/25))/(LN(2)/25)*Calculateur!V40*Calculateur!X40*VLOOKUP('Données projet'!$B$9,Paramètres!$A$1:$I$89,3,0)*0.475*44/12</f>
        <v>18.435793422957889</v>
      </c>
      <c r="AB40" s="21">
        <f>EXP(-LN(2)/2)*AB39+(1-EXP(-LN(2)/2))/(LN(2)/2)*V40*Y40*VLOOKUP('Données projet'!$B$9,Paramètres!$A$1:$I$89,3,0)*0.475*44/12</f>
        <v>1.8335647541475597</v>
      </c>
      <c r="AC40" s="22">
        <f t="shared" si="3"/>
        <v>48.00723558462753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>
        <f>VLOOKUP(A41,'Données projet'!$A$35:$I$55,2,0)</f>
        <v>370.14</v>
      </c>
      <c r="L41" s="12">
        <f>VLOOKUP(A41,'Données projet'!$A$35:$I$55,9,0)</f>
        <v>18.466666666666669</v>
      </c>
      <c r="M41" s="12">
        <f t="array" ref="M41">INDEX(L:L,MIN(IF(ISNUMBER(L41:L237),ROW(L41:L237),"")))</f>
        <v>18.466666666666669</v>
      </c>
      <c r="N41" s="13">
        <f>IF('Données projet'!$A$36&gt;35,N40+M41-V40,IF(A41&lt;'Données projet'!$A$36,$K$205^A41,IF(A41='Données projet'!$A$36,'Données projet'!$B$36,N40+M41-V40)))</f>
        <v>370.1400000000001</v>
      </c>
      <c r="O41" s="13">
        <f>N41*VLOOKUP('Données projet'!$B$9,Paramètres!$A$1:$I$89,3,0)*VLOOKUP('Données projet'!$B$9,Paramètres!$A$1:$I$89,5,0)</f>
        <v>221.34372000000008</v>
      </c>
      <c r="P41" s="13">
        <f t="shared" si="33"/>
        <v>54.406833041944296</v>
      </c>
      <c r="Q41" s="20">
        <f t="shared" si="53"/>
        <v>480.26554654805312</v>
      </c>
      <c r="R41" s="59">
        <f t="shared" si="0"/>
        <v>773.59887988138644</v>
      </c>
      <c r="S41" s="59">
        <f ca="1">AVERAGE(OFFSET($R$3,0,0,'Données projet'!$E$9+1,1))-AVERAGE(OFFSET($H$3,0,0,'Données projet'!$E$9+1,1))</f>
        <v>235.23085498936467</v>
      </c>
      <c r="T41" s="59">
        <f t="shared" si="34"/>
        <v>344.45763019921577</v>
      </c>
      <c r="U41" s="15">
        <f>IF(ISNA(VLOOKUP(A41,'Données projet'!$A$35:$I$55,3,0)),0,VLOOKUP(A41,'Données projet'!$A$35:$I$55,3,0))</f>
        <v>8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27.193954549995237</v>
      </c>
      <c r="AA41" s="21">
        <f>EXP(-LN(2)/25)*AA40+(1-EXP(-LN(2)/25))/(LN(2)/25)*Calculateur!V41*Calculateur!X41*VLOOKUP('Données projet'!$B$9,Paramètres!$A$1:$I$89,3,0)*0.475*44/12</f>
        <v>17.931665682310864</v>
      </c>
      <c r="AB41" s="21">
        <f>EXP(-LN(2)/2)*AB40+(1-EXP(-LN(2)/2))/(LN(2)/2)*V41*Y41*VLOOKUP('Données projet'!$B$9,Paramètres!$A$1:$I$89,3,0)*0.475*44/12</f>
        <v>1.2965260714023843</v>
      </c>
      <c r="AC41" s="22">
        <f t="shared" si="3"/>
        <v>46.422146303708487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19.107142857142858</v>
      </c>
      <c r="N42" s="13">
        <f>IF('Données projet'!$A$36&gt;35,N41+M42-V41,IF(A42&lt;'Données projet'!$A$36,$K$205^A42,IF(A42='Données projet'!$A$36,'Données projet'!$B$36,N41+M42-V41)))</f>
        <v>389.24714285714293</v>
      </c>
      <c r="O42" s="13">
        <f>N42*VLOOKUP('Données projet'!$B$9,Paramètres!$A$1:$I$89,3,0)*VLOOKUP('Données projet'!$B$9,Paramètres!$A$1:$I$89,5,0)</f>
        <v>232.76979142857149</v>
      </c>
      <c r="P42" s="13">
        <f t="shared" si="33"/>
        <v>56.881157313738449</v>
      </c>
      <c r="Q42" s="20">
        <f t="shared" si="53"/>
        <v>504.47540239285649</v>
      </c>
      <c r="R42" s="59">
        <f t="shared" si="0"/>
        <v>797.80873572618975</v>
      </c>
      <c r="S42" s="59">
        <f ca="1">AVERAGE(OFFSET($R$3,0,0,'Données projet'!$E$9+1,1))-AVERAGE(OFFSET($H$3,0,0,'Données projet'!$E$9+1,1))</f>
        <v>235.23085498936467</v>
      </c>
      <c r="T42" s="59">
        <f t="shared" si="34"/>
        <v>344.45763019921577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26.660697687944307</v>
      </c>
      <c r="AA42" s="21">
        <f>EXP(-LN(2)/25)*AA41+(1-EXP(-LN(2)/25))/(LN(2)/25)*Calculateur!V42*Calculateur!X42*VLOOKUP('Données projet'!$B$9,Paramètres!$A$1:$I$89,3,0)*0.475*44/12</f>
        <v>17.441323341242757</v>
      </c>
      <c r="AB42" s="21">
        <f>EXP(-LN(2)/2)*AB41+(1-EXP(-LN(2)/2))/(LN(2)/2)*V42*Y42*VLOOKUP('Données projet'!$B$9,Paramètres!$A$1:$I$89,3,0)*0.475*44/12</f>
        <v>0.91678237707377985</v>
      </c>
      <c r="AC42" s="22">
        <f t="shared" si="3"/>
        <v>45.018803406260844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19.107142857142858</v>
      </c>
      <c r="N43" s="13">
        <f>IF('Données projet'!$A$36&gt;35,N42+M43-V42,IF(A43&lt;'Données projet'!$A$36,$K$205^A43,IF(A43='Données projet'!$A$36,'Données projet'!$B$36,N42+M43-V42)))</f>
        <v>408.35428571428577</v>
      </c>
      <c r="O43" s="13">
        <f>N43*VLOOKUP('Données projet'!$B$9,Paramètres!$A$1:$I$89,3,0)*VLOOKUP('Données projet'!$B$9,Paramètres!$A$1:$I$89,5,0)</f>
        <v>244.19586285714291</v>
      </c>
      <c r="P43" s="13">
        <f t="shared" si="33"/>
        <v>59.34137818128729</v>
      </c>
      <c r="Q43" s="20">
        <f t="shared" si="53"/>
        <v>528.66069480859915</v>
      </c>
      <c r="R43" s="59">
        <f t="shared" si="0"/>
        <v>821.9940281419324</v>
      </c>
      <c r="S43" s="59">
        <f ca="1">AVERAGE(OFFSET($R$3,0,0,'Données projet'!$E$9+1,1))-AVERAGE(OFFSET($H$3,0,0,'Données projet'!$E$9+1,1))</f>
        <v>235.23085498936467</v>
      </c>
      <c r="T43" s="59">
        <f t="shared" si="34"/>
        <v>344.45763019921577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26.137897667703626</v>
      </c>
      <c r="AA43" s="21">
        <f>EXP(-LN(2)/25)*AA42+(1-EXP(-LN(2)/25))/(LN(2)/25)*Calculateur!V43*Calculateur!X43*VLOOKUP('Données projet'!$B$9,Paramètres!$A$1:$I$89,3,0)*0.475*44/12</f>
        <v>16.964389437277141</v>
      </c>
      <c r="AB43" s="21">
        <f>EXP(-LN(2)/2)*AB42+(1-EXP(-LN(2)/2))/(LN(2)/2)*V43*Y43*VLOOKUP('Données projet'!$B$9,Paramètres!$A$1:$I$89,3,0)*0.475*44/12</f>
        <v>0.64826303570119215</v>
      </c>
      <c r="AC43" s="22">
        <f t="shared" si="3"/>
        <v>43.750550140681959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19.107142857142858</v>
      </c>
      <c r="N44" s="13">
        <f>IF('Données projet'!$A$36&gt;35,N43+M44-V43,IF(A44&lt;'Données projet'!$A$36,$K$205^A44,IF(A44='Données projet'!$A$36,'Données projet'!$B$36,N43+M44-V43)))</f>
        <v>427.4614285714286</v>
      </c>
      <c r="O44" s="13">
        <f>N44*VLOOKUP('Données projet'!$B$9,Paramètres!$A$1:$I$89,3,0)*VLOOKUP('Données projet'!$B$9,Paramètres!$A$1:$I$89,5,0)</f>
        <v>255.6219342857143</v>
      </c>
      <c r="P44" s="13">
        <f t="shared" si="33"/>
        <v>61.788230910521683</v>
      </c>
      <c r="Q44" s="20">
        <f t="shared" si="53"/>
        <v>552.82270438344437</v>
      </c>
      <c r="R44" s="59">
        <f t="shared" si="0"/>
        <v>846.15603771677775</v>
      </c>
      <c r="S44" s="59">
        <f ca="1">AVERAGE(OFFSET($R$3,0,0,'Données projet'!$E$9+1,1))-AVERAGE(OFFSET($H$3,0,0,'Données projet'!$E$9+1,1))</f>
        <v>235.23085498936467</v>
      </c>
      <c r="T44" s="59">
        <f t="shared" si="34"/>
        <v>344.45763019921577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25.625349436983338</v>
      </c>
      <c r="AA44" s="21">
        <f>EXP(-LN(2)/25)*AA43+(1-EXP(-LN(2)/25))/(LN(2)/25)*Calculateur!V44*Calculateur!X44*VLOOKUP('Données projet'!$B$9,Paramètres!$A$1:$I$89,3,0)*0.475*44/12</f>
        <v>16.500497315996331</v>
      </c>
      <c r="AB44" s="21">
        <f>EXP(-LN(2)/2)*AB43+(1-EXP(-LN(2)/2))/(LN(2)/2)*V44*Y44*VLOOKUP('Données projet'!$B$9,Paramètres!$A$1:$I$89,3,0)*0.475*44/12</f>
        <v>0.45839118853688993</v>
      </c>
      <c r="AC44" s="22">
        <f t="shared" si="3"/>
        <v>42.584237941516562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19.107142857142858</v>
      </c>
      <c r="N45" s="13">
        <f>IF('Données projet'!$A$36&gt;35,N44+M45-V44,IF(A45&lt;'Données projet'!$A$36,$K$205^A45,IF(A45='Données projet'!$A$36,'Données projet'!$B$36,N44+M45-V44)))</f>
        <v>446.56857142857143</v>
      </c>
      <c r="O45" s="13">
        <f>N45*VLOOKUP('Données projet'!$B$9,Paramètres!$A$1:$I$89,3,0)*VLOOKUP('Données projet'!$B$9,Paramètres!$A$1:$I$89,5,0)</f>
        <v>267.04800571428575</v>
      </c>
      <c r="P45" s="13">
        <f t="shared" si="33"/>
        <v>64.22238131980049</v>
      </c>
      <c r="Q45" s="20">
        <f t="shared" si="53"/>
        <v>576.96259075103353</v>
      </c>
      <c r="R45" s="59">
        <f t="shared" si="0"/>
        <v>870.29592408436679</v>
      </c>
      <c r="S45" s="59">
        <f ca="1">AVERAGE(OFFSET($R$3,0,0,'Données projet'!$E$9+1,1))-AVERAGE(OFFSET($H$3,0,0,'Données projet'!$E$9+1,1))</f>
        <v>235.23085498936467</v>
      </c>
      <c r="T45" s="59">
        <f t="shared" si="34"/>
        <v>344.45763019921577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25.122851964443925</v>
      </c>
      <c r="AA45" s="21">
        <f>EXP(-LN(2)/25)*AA44+(1-EXP(-LN(2)/25))/(LN(2)/25)*Calculateur!V45*Calculateur!X45*VLOOKUP('Données projet'!$B$9,Paramètres!$A$1:$I$89,3,0)*0.475*44/12</f>
        <v>16.04929034916697</v>
      </c>
      <c r="AB45" s="21">
        <f>EXP(-LN(2)/2)*AB44+(1-EXP(-LN(2)/2))/(LN(2)/2)*V45*Y45*VLOOKUP('Données projet'!$B$9,Paramètres!$A$1:$I$89,3,0)*0.475*44/12</f>
        <v>0.32413151785059607</v>
      </c>
      <c r="AC45" s="22">
        <f t="shared" si="3"/>
        <v>41.496273831461487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19.107142857142858</v>
      </c>
      <c r="N46" s="13">
        <f>IF('Données projet'!$A$36&gt;35,N45+M46-V45,IF(A46&lt;'Données projet'!$A$36,$K$205^A46,IF(A46='Données projet'!$A$36,'Données projet'!$B$36,N45+M46-V45)))</f>
        <v>465.67571428571426</v>
      </c>
      <c r="O46" s="13">
        <f>N46*VLOOKUP('Données projet'!$B$9,Paramètres!$A$1:$I$89,3,0)*VLOOKUP('Données projet'!$B$9,Paramètres!$A$1:$I$89,5,0)</f>
        <v>278.47407714285714</v>
      </c>
      <c r="P46" s="13">
        <f t="shared" si="33"/>
        <v>66.644435028756277</v>
      </c>
      <c r="Q46" s="20">
        <f t="shared" si="53"/>
        <v>601.08140869889337</v>
      </c>
      <c r="R46" s="59">
        <f t="shared" si="0"/>
        <v>894.41474203222674</v>
      </c>
      <c r="S46" s="59">
        <f ca="1">AVERAGE(OFFSET($R$3,0,0,'Données projet'!$E$9+1,1))-AVERAGE(OFFSET($H$3,0,0,'Données projet'!$E$9+1,1))</f>
        <v>235.23085498936467</v>
      </c>
      <c r="T46" s="59">
        <f t="shared" si="34"/>
        <v>344.45763019921577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24.630208160847815</v>
      </c>
      <c r="AA46" s="21">
        <f>EXP(-LN(2)/25)*AA45+(1-EXP(-LN(2)/25))/(LN(2)/25)*Calculateur!V46*Calculateur!X46*VLOOKUP('Données projet'!$B$9,Paramètres!$A$1:$I$89,3,0)*0.475*44/12</f>
        <v>15.6104216605735</v>
      </c>
      <c r="AB46" s="21">
        <f>EXP(-LN(2)/2)*AB45+(1-EXP(-LN(2)/2))/(LN(2)/2)*V46*Y46*VLOOKUP('Données projet'!$B$9,Paramètres!$A$1:$I$89,3,0)*0.475*44/12</f>
        <v>0.22919559426844496</v>
      </c>
      <c r="AC46" s="22">
        <f t="shared" si="3"/>
        <v>40.469825415689762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19.107142857142858</v>
      </c>
      <c r="N47" s="13">
        <f>IF('Données projet'!$A$36&gt;35,N46+M47-V46,IF(A47&lt;'Données projet'!$A$36,$K$205^A47,IF(A47='Données projet'!$A$36,'Données projet'!$B$36,N46+M47-V46)))</f>
        <v>484.7828571428571</v>
      </c>
      <c r="O47" s="13">
        <f>N47*VLOOKUP('Données projet'!$B$9,Paramètres!$A$1:$I$89,3,0)*VLOOKUP('Données projet'!$B$9,Paramètres!$A$1:$I$89,5,0)</f>
        <v>289.90014857142853</v>
      </c>
      <c r="P47" s="13">
        <f t="shared" si="33"/>
        <v>69.054945146427841</v>
      </c>
      <c r="Q47" s="20">
        <f t="shared" si="53"/>
        <v>625.18012155859981</v>
      </c>
      <c r="R47" s="59">
        <f t="shared" si="0"/>
        <v>918.51345489193318</v>
      </c>
      <c r="S47" s="59">
        <f ca="1">AVERAGE(OFFSET($R$3,0,0,'Données projet'!$E$9+1,1))-AVERAGE(OFFSET($H$3,0,0,'Données projet'!$E$9+1,1))</f>
        <v>235.23085498936467</v>
      </c>
      <c r="T47" s="59">
        <f t="shared" si="34"/>
        <v>344.45763019921577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24.147224801757176</v>
      </c>
      <c r="AA47" s="21">
        <f>EXP(-LN(2)/25)*AA46+(1-EXP(-LN(2)/25))/(LN(2)/25)*Calculateur!V47*Calculateur!X47*VLOOKUP('Données projet'!$B$9,Paramètres!$A$1:$I$89,3,0)*0.475*44/12</f>
        <v>15.183553859348722</v>
      </c>
      <c r="AB47" s="21">
        <f>EXP(-LN(2)/2)*AB46+(1-EXP(-LN(2)/2))/(LN(2)/2)*V47*Y47*VLOOKUP('Données projet'!$B$9,Paramètres!$A$1:$I$89,3,0)*0.475*44/12</f>
        <v>0.16206575892529804</v>
      </c>
      <c r="AC47" s="22">
        <f t="shared" si="3"/>
        <v>39.492844420031197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503.89</v>
      </c>
      <c r="L48" s="12">
        <f>VLOOKUP(A48,'Données projet'!$A$35:$I$55,9,0)</f>
        <v>19.107142857142858</v>
      </c>
      <c r="M48" s="12">
        <f t="array" ref="M48">INDEX(L:L,MIN(IF(ISNUMBER(L48:L244),ROW(L48:L244),"")))</f>
        <v>19.107142857142858</v>
      </c>
      <c r="N48" s="13">
        <f>IF('Données projet'!$A$36&gt;35,N47+M48-V47,IF(A48&lt;'Données projet'!$A$36,$K$205^A48,IF(A48='Données projet'!$A$36,'Données projet'!$B$36,N47+M48-V47)))</f>
        <v>503.88999999999993</v>
      </c>
      <c r="O48" s="13">
        <f>N48*VLOOKUP('Données projet'!$B$9,Paramètres!$A$1:$I$89,3,0)*VLOOKUP('Données projet'!$B$9,Paramètres!$A$1:$I$89,5,0)</f>
        <v>301.32621999999998</v>
      </c>
      <c r="P48" s="13">
        <f t="shared" si="33"/>
        <v>71.45441871320989</v>
      </c>
      <c r="Q48" s="20">
        <f t="shared" si="53"/>
        <v>649.25961242550727</v>
      </c>
      <c r="R48" s="59">
        <f t="shared" si="0"/>
        <v>942.59294575884064</v>
      </c>
      <c r="S48" s="59">
        <f ca="1">AVERAGE(OFFSET($R$3,0,0,'Données projet'!$E$9+1,1))-AVERAGE(OFFSET($H$3,0,0,'Données projet'!$E$9+1,1))</f>
        <v>235.23085498936467</v>
      </c>
      <c r="T48" s="59">
        <f t="shared" si="34"/>
        <v>344.45763019921577</v>
      </c>
      <c r="U48" s="15">
        <f>IF(ISNA(VLOOKUP(A48,'Données projet'!$A$35:$I$55,3,0)),0,VLOOKUP(A48,'Données projet'!$A$35:$I$55,3,0))</f>
        <v>9</v>
      </c>
      <c r="V48" s="15">
        <f>IF(ISNA(VLOOKUP(A48,'Données projet'!$A$35:$I$55,4,0)),0,VLOOKUP(A48,'Données projet'!$A$35:$I$55,4,0))</f>
        <v>503.89</v>
      </c>
      <c r="W48" s="16">
        <f>IF(ISNA(VLOOKUP(A48,'Données projet'!$A$35:$I$55,5,0)),0%,VLOOKUP(A48,'Données projet'!$A$35:$I$55,5,0)*VLOOKUP('Données projet'!$B$9,Paramètres!$A$1:$I$89,7,0))</f>
        <v>0.36000000000000004</v>
      </c>
      <c r="X48" s="16">
        <f>IF(ISNA(VLOOKUP(A48,'Données projet'!$A$35:$I$55,6,0)),0%,VLOOKUP(A48,'Données projet'!$A$35:$I$55,6,0)*VLOOKUP('Données projet'!$B$9,Paramètres!$A$1:$I$89,7,0))</f>
        <v>4.9500000000000002E-2</v>
      </c>
      <c r="Y48" s="16">
        <f>IF(ISNA(VLOOKUP(A48,'Données projet'!$A$35:$I$55,7,0)),0%,VLOOKUP(A48,'Données projet'!$A$35:$I$55,7,0))</f>
        <v>0.09</v>
      </c>
      <c r="Z48" s="21">
        <f>EXP(-LN(2)/35)*Z47+(1-EXP(-LN(2)/35))/(LN(2)/35)*V48*W48*VLOOKUP('Données projet'!$B$9,Paramètres!$A$1:$I$89,3,0)*0.475*44/12</f>
        <v>167.5760275115714</v>
      </c>
      <c r="AA48" s="21">
        <f>EXP(-LN(2)/25)*AA47+(1-EXP(-LN(2)/25))/(LN(2)/25)*Calculateur!V48*Calculateur!X48*VLOOKUP('Données projet'!$B$9,Paramètres!$A$1:$I$89,3,0)*0.475*44/12</f>
        <v>34.477019842569916</v>
      </c>
      <c r="AB48" s="21">
        <f>EXP(-LN(2)/2)*AB47+(1-EXP(-LN(2)/2))/(LN(2)/2)*V48*Y48*VLOOKUP('Données projet'!$B$9,Paramètres!$A$1:$I$89,3,0)*0.475*44/12</f>
        <v>30.8200128509351</v>
      </c>
      <c r="AC48" s="22">
        <f t="shared" si="3"/>
        <v>232.8730602050764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-5.6843418860808015E-14</v>
      </c>
      <c r="O49" s="13">
        <f>N49*VLOOKUP('Données projet'!$B$9,Paramètres!$A$1:$I$89,3,0)*VLOOKUP('Données projet'!$B$9,Paramètres!$A$1:$I$89,5,0)</f>
        <v>-3.3992364478763198E-14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235.23085498936467</v>
      </c>
      <c r="T49" s="59">
        <f t="shared" si="34"/>
        <v>344.45763019921577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164.28996382335373</v>
      </c>
      <c r="AA49" s="21">
        <f>EXP(-LN(2)/25)*AA48+(1-EXP(-LN(2)/25))/(LN(2)/25)*Calculateur!V49*Calculateur!X49*VLOOKUP('Données projet'!$B$9,Paramètres!$A$1:$I$89,3,0)*0.475*44/12</f>
        <v>33.534243921907169</v>
      </c>
      <c r="AB49" s="21">
        <f>EXP(-LN(2)/2)*AB48+(1-EXP(-LN(2)/2))/(LN(2)/2)*V49*Y49*VLOOKUP('Données projet'!$B$9,Paramètres!$A$1:$I$89,3,0)*0.475*44/12</f>
        <v>21.79304008315275</v>
      </c>
      <c r="AC49" s="22">
        <f t="shared" si="3"/>
        <v>219.61724782841367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-5.6843418860808015E-14</v>
      </c>
      <c r="O50" s="13">
        <f>N50*VLOOKUP('Données projet'!$B$9,Paramètres!$A$1:$I$89,3,0)*VLOOKUP('Données projet'!$B$9,Paramètres!$A$1:$I$89,5,0)</f>
        <v>-3.3992364478763198E-14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235.23085498936467</v>
      </c>
      <c r="T50" s="59">
        <f t="shared" si="34"/>
        <v>344.45763019921577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161.06833783976109</v>
      </c>
      <c r="AA50" s="21">
        <f>EXP(-LN(2)/25)*AA49+(1-EXP(-LN(2)/25))/(LN(2)/25)*Calculateur!V50*Calculateur!X50*VLOOKUP('Données projet'!$B$9,Paramètres!$A$1:$I$89,3,0)*0.475*44/12</f>
        <v>32.617248258373372</v>
      </c>
      <c r="AB50" s="21">
        <f>EXP(-LN(2)/2)*AB49+(1-EXP(-LN(2)/2))/(LN(2)/2)*V50*Y50*VLOOKUP('Données projet'!$B$9,Paramètres!$A$1:$I$89,3,0)*0.475*44/12</f>
        <v>15.410006425467552</v>
      </c>
      <c r="AC50" s="22">
        <f t="shared" si="3"/>
        <v>209.09559252360199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-5.6843418860808015E-14</v>
      </c>
      <c r="O51" s="13">
        <f>N51*VLOOKUP('Données projet'!$B$9,Paramètres!$A$1:$I$89,3,0)*VLOOKUP('Données projet'!$B$9,Paramètres!$A$1:$I$89,5,0)</f>
        <v>-3.3992364478763198E-14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235.23085498936467</v>
      </c>
      <c r="T51" s="59">
        <f t="shared" si="34"/>
        <v>344.45763019921577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157.90988597670886</v>
      </c>
      <c r="AA51" s="21">
        <f>EXP(-LN(2)/25)*AA50+(1-EXP(-LN(2)/25))/(LN(2)/25)*Calculateur!V51*Calculateur!X51*VLOOKUP('Données projet'!$B$9,Paramètres!$A$1:$I$89,3,0)*0.475*44/12</f>
        <v>31.725327889481616</v>
      </c>
      <c r="AB51" s="21">
        <f>EXP(-LN(2)/2)*AB50+(1-EXP(-LN(2)/2))/(LN(2)/2)*V51*Y51*VLOOKUP('Données projet'!$B$9,Paramètres!$A$1:$I$89,3,0)*0.475*44/12</f>
        <v>10.896520041576377</v>
      </c>
      <c r="AC51" s="22">
        <f t="shared" si="3"/>
        <v>200.53173390776684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-5.6843418860808015E-14</v>
      </c>
      <c r="O52" s="13">
        <f>N52*VLOOKUP('Données projet'!$B$9,Paramètres!$A$1:$I$89,3,0)*VLOOKUP('Données projet'!$B$9,Paramètres!$A$1:$I$89,5,0)</f>
        <v>-3.3992364478763198E-14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235.23085498936467</v>
      </c>
      <c r="T52" s="59">
        <f t="shared" si="34"/>
        <v>344.45763019921577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154.81336942822568</v>
      </c>
      <c r="AA52" s="21">
        <f>EXP(-LN(2)/25)*AA51+(1-EXP(-LN(2)/25))/(LN(2)/25)*Calculateur!V52*Calculateur!X52*VLOOKUP('Données projet'!$B$9,Paramètres!$A$1:$I$89,3,0)*0.475*44/12</f>
        <v>30.857797129981257</v>
      </c>
      <c r="AB52" s="21">
        <f>EXP(-LN(2)/2)*AB51+(1-EXP(-LN(2)/2))/(LN(2)/2)*V52*Y52*VLOOKUP('Données projet'!$B$9,Paramètres!$A$1:$I$89,3,0)*0.475*44/12</f>
        <v>7.7050032127337778</v>
      </c>
      <c r="AC52" s="22">
        <f t="shared" si="3"/>
        <v>193.37616977094072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-5.6843418860808015E-14</v>
      </c>
      <c r="O53" s="13">
        <f>N53*VLOOKUP('Données projet'!$B$9,Paramètres!$A$1:$I$89,3,0)*VLOOKUP('Données projet'!$B$9,Paramètres!$A$1:$I$89,5,0)</f>
        <v>-3.3992364478763198E-14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235.23085498936467</v>
      </c>
      <c r="T53" s="59">
        <f t="shared" si="34"/>
        <v>344.45763019921577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151.77757368056965</v>
      </c>
      <c r="AA53" s="21">
        <f>EXP(-LN(2)/25)*AA52+(1-EXP(-LN(2)/25))/(LN(2)/25)*Calculateur!V53*Calculateur!X53*VLOOKUP('Données projet'!$B$9,Paramètres!$A$1:$I$89,3,0)*0.475*44/12</f>
        <v>30.013989044720894</v>
      </c>
      <c r="AB53" s="21">
        <f>EXP(-LN(2)/2)*AB52+(1-EXP(-LN(2)/2))/(LN(2)/2)*V53*Y53*VLOOKUP('Données projet'!$B$9,Paramètres!$A$1:$I$89,3,0)*0.475*44/12</f>
        <v>5.4482600207881893</v>
      </c>
      <c r="AC53" s="22">
        <f t="shared" si="3"/>
        <v>187.23982274607872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-5.6843418860808015E-14</v>
      </c>
      <c r="O54" s="13">
        <f>N54*VLOOKUP('Données projet'!$B$9,Paramètres!$A$1:$I$89,3,0)*VLOOKUP('Données projet'!$B$9,Paramètres!$A$1:$I$89,5,0)</f>
        <v>-3.3992364478763198E-14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235.23085498936467</v>
      </c>
      <c r="T54" s="59">
        <f t="shared" si="34"/>
        <v>344.45763019921577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148.80130803587258</v>
      </c>
      <c r="AA54" s="21">
        <f>EXP(-LN(2)/25)*AA53+(1-EXP(-LN(2)/25))/(LN(2)/25)*Calculateur!V54*Calculateur!X54*VLOOKUP('Données projet'!$B$9,Paramètres!$A$1:$I$89,3,0)*0.475*44/12</f>
        <v>29.193254935925914</v>
      </c>
      <c r="AB54" s="21">
        <f>EXP(-LN(2)/2)*AB53+(1-EXP(-LN(2)/2))/(LN(2)/2)*V54*Y54*VLOOKUP('Données projet'!$B$9,Paramètres!$A$1:$I$89,3,0)*0.475*44/12</f>
        <v>3.8525016063668893</v>
      </c>
      <c r="AC54" s="22">
        <f t="shared" si="3"/>
        <v>181.8470645781654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-5.6843418860808015E-14</v>
      </c>
      <c r="O55" s="13">
        <f>N55*VLOOKUP('Données projet'!$B$9,Paramètres!$A$1:$I$89,3,0)*VLOOKUP('Données projet'!$B$9,Paramètres!$A$1:$I$89,5,0)</f>
        <v>-3.3992364478763198E-14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235.23085498936467</v>
      </c>
      <c r="T55" s="59">
        <f t="shared" si="34"/>
        <v>344.45763019921577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145.88340514512524</v>
      </c>
      <c r="AA55" s="21">
        <f>EXP(-LN(2)/25)*AA54+(1-EXP(-LN(2)/25))/(LN(2)/25)*Calculateur!V55*Calculateur!X55*VLOOKUP('Données projet'!$B$9,Paramètres!$A$1:$I$89,3,0)*0.475*44/12</f>
        <v>28.394963844496466</v>
      </c>
      <c r="AB55" s="21">
        <f>EXP(-LN(2)/2)*AB54+(1-EXP(-LN(2)/2))/(LN(2)/2)*V55*Y55*VLOOKUP('Données projet'!$B$9,Paramètres!$A$1:$I$89,3,0)*0.475*44/12</f>
        <v>2.7241300103940951</v>
      </c>
      <c r="AC55" s="22">
        <f t="shared" si="3"/>
        <v>177.0024990000158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-5.6843418860808015E-14</v>
      </c>
      <c r="O56" s="13">
        <f>N56*VLOOKUP('Données projet'!$B$9,Paramètres!$A$1:$I$89,3,0)*VLOOKUP('Données projet'!$B$9,Paramètres!$A$1:$I$89,5,0)</f>
        <v>-3.3992364478763198E-14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235.23085498936467</v>
      </c>
      <c r="T56" s="59">
        <f t="shared" si="34"/>
        <v>344.45763019921577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143.02272055032043</v>
      </c>
      <c r="AA56" s="21">
        <f>EXP(-LN(2)/25)*AA55+(1-EXP(-LN(2)/25))/(LN(2)/25)*Calculateur!V56*Calculateur!X56*VLOOKUP('Données projet'!$B$9,Paramètres!$A$1:$I$89,3,0)*0.475*44/12</f>
        <v>27.618502064942458</v>
      </c>
      <c r="AB56" s="21">
        <f>EXP(-LN(2)/2)*AB55+(1-EXP(-LN(2)/2))/(LN(2)/2)*V56*Y56*VLOOKUP('Données projet'!$B$9,Paramètres!$A$1:$I$89,3,0)*0.475*44/12</f>
        <v>1.9262508031834449</v>
      </c>
      <c r="AC56" s="22">
        <f t="shared" si="3"/>
        <v>172.56747341844633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-5.6843418860808015E-14</v>
      </c>
      <c r="O57" s="13">
        <f>N57*VLOOKUP('Données projet'!$B$9,Paramètres!$A$1:$I$89,3,0)*VLOOKUP('Données projet'!$B$9,Paramètres!$A$1:$I$89,5,0)</f>
        <v>-3.3992364478763198E-14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235.23085498936467</v>
      </c>
      <c r="T57" s="59">
        <f t="shared" si="34"/>
        <v>344.45763019921577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140.21813223557442</v>
      </c>
      <c r="AA57" s="21">
        <f>EXP(-LN(2)/25)*AA56+(1-EXP(-LN(2)/25))/(LN(2)/25)*Calculateur!V57*Calculateur!X57*VLOOKUP('Données projet'!$B$9,Paramètres!$A$1:$I$89,3,0)*0.475*44/12</f>
        <v>26.863272673582706</v>
      </c>
      <c r="AB57" s="21">
        <f>EXP(-LN(2)/2)*AB56+(1-EXP(-LN(2)/2))/(LN(2)/2)*V57*Y57*VLOOKUP('Données projet'!$B$9,Paramètres!$A$1:$I$89,3,0)*0.475*44/12</f>
        <v>1.3620650051970478</v>
      </c>
      <c r="AC57" s="22">
        <f t="shared" si="3"/>
        <v>168.44346991435418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-5.6843418860808015E-14</v>
      </c>
      <c r="O58" s="13">
        <f>N58*VLOOKUP('Données projet'!$B$9,Paramètres!$A$1:$I$89,3,0)*VLOOKUP('Données projet'!$B$9,Paramètres!$A$1:$I$89,5,0)</f>
        <v>-3.3992364478763198E-14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235.23085498936467</v>
      </c>
      <c r="T58" s="59">
        <f t="shared" si="34"/>
        <v>344.45763019921577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137.46854018705062</v>
      </c>
      <c r="AA58" s="21">
        <f>EXP(-LN(2)/25)*AA57+(1-EXP(-LN(2)/25))/(LN(2)/25)*Calculateur!V58*Calculateur!X58*VLOOKUP('Données projet'!$B$9,Paramètres!$A$1:$I$89,3,0)*0.475*44/12</f>
        <v>26.128695069645474</v>
      </c>
      <c r="AB58" s="21">
        <f>EXP(-LN(2)/2)*AB57+(1-EXP(-LN(2)/2))/(LN(2)/2)*V58*Y58*VLOOKUP('Données projet'!$B$9,Paramètres!$A$1:$I$89,3,0)*0.475*44/12</f>
        <v>0.96312540159172266</v>
      </c>
      <c r="AC58" s="22">
        <f t="shared" si="3"/>
        <v>164.56036065828781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-5.6843418860808015E-14</v>
      </c>
      <c r="O59" s="13">
        <f>N59*VLOOKUP('Données projet'!$B$9,Paramètres!$A$1:$I$89,3,0)*VLOOKUP('Données projet'!$B$9,Paramètres!$A$1:$I$89,5,0)</f>
        <v>-3.3992364478763198E-14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235.23085498936467</v>
      </c>
      <c r="T59" s="59">
        <f t="shared" si="34"/>
        <v>344.45763019921577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134.77286596151282</v>
      </c>
      <c r="AA59" s="21">
        <f>EXP(-LN(2)/25)*AA58+(1-EXP(-LN(2)/25))/(LN(2)/25)*Calculateur!V59*Calculateur!X59*VLOOKUP('Données projet'!$B$9,Paramètres!$A$1:$I$89,3,0)*0.475*44/12</f>
        <v>25.414204528917661</v>
      </c>
      <c r="AB59" s="21">
        <f>EXP(-LN(2)/2)*AB58+(1-EXP(-LN(2)/2))/(LN(2)/2)*V59*Y59*VLOOKUP('Données projet'!$B$9,Paramètres!$A$1:$I$89,3,0)*0.475*44/12</f>
        <v>0.68103250259852399</v>
      </c>
      <c r="AC59" s="22">
        <f t="shared" si="3"/>
        <v>160.868102993029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-5.6843418860808015E-14</v>
      </c>
      <c r="O60" s="13">
        <f>N60*VLOOKUP('Données projet'!$B$9,Paramètres!$A$1:$I$89,3,0)*VLOOKUP('Données projet'!$B$9,Paramètres!$A$1:$I$89,5,0)</f>
        <v>-3.3992364478763198E-14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235.23085498936467</v>
      </c>
      <c r="T60" s="59">
        <f t="shared" si="34"/>
        <v>344.45763019921577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132.13005226333888</v>
      </c>
      <c r="AA60" s="21">
        <f>EXP(-LN(2)/25)*AA59+(1-EXP(-LN(2)/25))/(LN(2)/25)*Calculateur!V60*Calculateur!X60*VLOOKUP('Données projet'!$B$9,Paramètres!$A$1:$I$89,3,0)*0.475*44/12</f>
        <v>24.719251769599477</v>
      </c>
      <c r="AB60" s="21">
        <f>EXP(-LN(2)/2)*AB59+(1-EXP(-LN(2)/2))/(LN(2)/2)*V60*Y60*VLOOKUP('Données projet'!$B$9,Paramètres!$A$1:$I$89,3,0)*0.475*44/12</f>
        <v>0.48156270079586139</v>
      </c>
      <c r="AC60" s="22">
        <f t="shared" si="3"/>
        <v>157.33086673373421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-5.6843418860808015E-14</v>
      </c>
      <c r="O61" s="13">
        <f>N61*VLOOKUP('Données projet'!$B$9,Paramètres!$A$1:$I$89,3,0)*VLOOKUP('Données projet'!$B$9,Paramètres!$A$1:$I$89,5,0)</f>
        <v>-3.3992364478763198E-14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235.23085498936467</v>
      </c>
      <c r="T61" s="59">
        <f t="shared" si="34"/>
        <v>344.45763019921577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129.53906252982895</v>
      </c>
      <c r="AA61" s="21">
        <f>EXP(-LN(2)/25)*AA60+(1-EXP(-LN(2)/25))/(LN(2)/25)*Calculateur!V61*Calculateur!X61*VLOOKUP('Données projet'!$B$9,Paramètres!$A$1:$I$89,3,0)*0.475*44/12</f>
        <v>24.043302530030825</v>
      </c>
      <c r="AB61" s="21">
        <f>EXP(-LN(2)/2)*AB60+(1-EXP(-LN(2)/2))/(LN(2)/2)*V61*Y61*VLOOKUP('Données projet'!$B$9,Paramètres!$A$1:$I$89,3,0)*0.475*44/12</f>
        <v>0.34051625129926205</v>
      </c>
      <c r="AC61" s="22">
        <f t="shared" si="3"/>
        <v>153.92288131115902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-5.6843418860808015E-14</v>
      </c>
      <c r="O62" s="13">
        <f>N62*VLOOKUP('Données projet'!$B$9,Paramètres!$A$1:$I$89,3,0)*VLOOKUP('Données projet'!$B$9,Paramètres!$A$1:$I$89,5,0)</f>
        <v>-3.3992364478763198E-14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235.23085498936467</v>
      </c>
      <c r="T62" s="59">
        <f t="shared" si="34"/>
        <v>344.45763019921577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126.99888052464546</v>
      </c>
      <c r="AA62" s="21">
        <f>EXP(-LN(2)/25)*AA61+(1-EXP(-LN(2)/25))/(LN(2)/25)*Calculateur!V62*Calculateur!X62*VLOOKUP('Données projet'!$B$9,Paramètres!$A$1:$I$89,3,0)*0.475*44/12</f>
        <v>23.385837157964804</v>
      </c>
      <c r="AB62" s="21">
        <f>EXP(-LN(2)/2)*AB61+(1-EXP(-LN(2)/2))/(LN(2)/2)*V62*Y62*VLOOKUP('Données projet'!$B$9,Paramètres!$A$1:$I$89,3,0)*0.475*44/12</f>
        <v>0.24078135039793075</v>
      </c>
      <c r="AC62" s="22">
        <f t="shared" si="3"/>
        <v>150.6254990330082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-5.6843418860808015E-14</v>
      </c>
      <c r="O63" s="13">
        <f>N63*VLOOKUP('Données projet'!$B$9,Paramètres!$A$1:$I$89,3,0)*VLOOKUP('Données projet'!$B$9,Paramètres!$A$1:$I$89,5,0)</f>
        <v>-3.3992364478763198E-14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235.23085498936467</v>
      </c>
      <c r="T63" s="59">
        <f t="shared" si="34"/>
        <v>344.45763019921577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124.50850993922558</v>
      </c>
      <c r="AA63" s="21">
        <f>EXP(-LN(2)/25)*AA62+(1-EXP(-LN(2)/25))/(LN(2)/25)*Calculateur!V63*Calculateur!X63*VLOOKUP('Données projet'!$B$9,Paramètres!$A$1:$I$89,3,0)*0.475*44/12</f>
        <v>22.746350211072528</v>
      </c>
      <c r="AB63" s="21">
        <f>EXP(-LN(2)/2)*AB62+(1-EXP(-LN(2)/2))/(LN(2)/2)*V63*Y63*VLOOKUP('Données projet'!$B$9,Paramètres!$A$1:$I$89,3,0)*0.475*44/12</f>
        <v>0.17025812564963105</v>
      </c>
      <c r="AC63" s="22">
        <f t="shared" si="3"/>
        <v>147.42511827594774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-5.6843418860808015E-14</v>
      </c>
      <c r="O64" s="13">
        <f>N64*VLOOKUP('Données projet'!$B$9,Paramètres!$A$1:$I$89,3,0)*VLOOKUP('Données projet'!$B$9,Paramètres!$A$1:$I$89,5,0)</f>
        <v>-3.3992364478763198E-14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235.23085498936467</v>
      </c>
      <c r="T64" s="59">
        <f t="shared" si="34"/>
        <v>344.45763019921577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122.0669740020097</v>
      </c>
      <c r="AA64" s="21">
        <f>EXP(-LN(2)/25)*AA63+(1-EXP(-LN(2)/25))/(LN(2)/25)*Calculateur!V64*Calculateur!X64*VLOOKUP('Données projet'!$B$9,Paramètres!$A$1:$I$89,3,0)*0.475*44/12</f>
        <v>22.124350068372181</v>
      </c>
      <c r="AB64" s="21">
        <f>EXP(-LN(2)/2)*AB63+(1-EXP(-LN(2)/2))/(LN(2)/2)*V64*Y64*VLOOKUP('Données projet'!$B$9,Paramètres!$A$1:$I$89,3,0)*0.475*44/12</f>
        <v>0.12039067519896539</v>
      </c>
      <c r="AC64" s="22">
        <f t="shared" si="3"/>
        <v>144.31171474558084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-5.6843418860808015E-14</v>
      </c>
      <c r="O65" s="13">
        <f>N65*VLOOKUP('Données projet'!$B$9,Paramètres!$A$1:$I$89,3,0)*VLOOKUP('Données projet'!$B$9,Paramètres!$A$1:$I$89,5,0)</f>
        <v>-3.3992364478763198E-14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235.23085498936467</v>
      </c>
      <c r="T65" s="59">
        <f t="shared" si="34"/>
        <v>344.45763019921577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119.67331509533275</v>
      </c>
      <c r="AA65" s="21">
        <f>EXP(-LN(2)/25)*AA64+(1-EXP(-LN(2)/25))/(LN(2)/25)*Calculateur!V65*Calculateur!X65*VLOOKUP('Données projet'!$B$9,Paramètres!$A$1:$I$89,3,0)*0.475*44/12</f>
        <v>21.519358552283538</v>
      </c>
      <c r="AB65" s="21">
        <f>EXP(-LN(2)/2)*AB64+(1-EXP(-LN(2)/2))/(LN(2)/2)*V65*Y65*VLOOKUP('Données projet'!$B$9,Paramètres!$A$1:$I$89,3,0)*0.475*44/12</f>
        <v>8.5129062824815541E-2</v>
      </c>
      <c r="AC65" s="22">
        <f t="shared" si="3"/>
        <v>141.27780271044111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-5.6843418860808015E-14</v>
      </c>
      <c r="O66" s="13">
        <f>N66*VLOOKUP('Données projet'!$B$9,Paramètres!$A$1:$I$89,3,0)*VLOOKUP('Données projet'!$B$9,Paramètres!$A$1:$I$89,5,0)</f>
        <v>-3.3992364478763198E-14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235.23085498936467</v>
      </c>
      <c r="T66" s="59">
        <f t="shared" si="34"/>
        <v>344.45763019921577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117.32659437982798</v>
      </c>
      <c r="AA66" s="21">
        <f>EXP(-LN(2)/25)*AA65+(1-EXP(-LN(2)/25))/(LN(2)/25)*Calculateur!V66*Calculateur!X66*VLOOKUP('Données projet'!$B$9,Paramètres!$A$1:$I$89,3,0)*0.475*44/12</f>
        <v>20.930910561017463</v>
      </c>
      <c r="AB66" s="21">
        <f>EXP(-LN(2)/2)*AB65+(1-EXP(-LN(2)/2))/(LN(2)/2)*V66*Y66*VLOOKUP('Données projet'!$B$9,Paramètres!$A$1:$I$89,3,0)*0.475*44/12</f>
        <v>6.0195337599482701E-2</v>
      </c>
      <c r="AC66" s="22">
        <f t="shared" si="3"/>
        <v>138.31770027844493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-5.6843418860808015E-14</v>
      </c>
      <c r="O67" s="13">
        <f>N67*VLOOKUP('Données projet'!$B$9,Paramètres!$A$1:$I$89,3,0)*VLOOKUP('Données projet'!$B$9,Paramètres!$A$1:$I$89,5,0)</f>
        <v>-3.3992364478763198E-14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235.23085498936467</v>
      </c>
      <c r="T67" s="59">
        <f t="shared" si="34"/>
        <v>344.45763019921577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115.02589142619595</v>
      </c>
      <c r="AA67" s="21">
        <f>EXP(-LN(2)/25)*AA66+(1-EXP(-LN(2)/25))/(LN(2)/25)*Calculateur!V67*Calculateur!X67*VLOOKUP('Données projet'!$B$9,Paramètres!$A$1:$I$89,3,0)*0.475*44/12</f>
        <v>20.358553711017692</v>
      </c>
      <c r="AB67" s="21">
        <f>EXP(-LN(2)/2)*AB66+(1-EXP(-LN(2)/2))/(LN(2)/2)*V67*Y67*VLOOKUP('Données projet'!$B$9,Paramètres!$A$1:$I$89,3,0)*0.475*44/12</f>
        <v>4.2564531412407777E-2</v>
      </c>
      <c r="AC67" s="22">
        <f t="shared" si="3"/>
        <v>135.42700966862606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-5.6843418860808015E-14</v>
      </c>
      <c r="O68" s="13">
        <f>N68*VLOOKUP('Données projet'!$B$9,Paramètres!$A$1:$I$89,3,0)*VLOOKUP('Données projet'!$B$9,Paramètres!$A$1:$I$89,5,0)</f>
        <v>-3.3992364478763198E-14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235.23085498936467</v>
      </c>
      <c r="T68" s="59">
        <f t="shared" si="34"/>
        <v>344.45763019921577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112.77030385419441</v>
      </c>
      <c r="AA68" s="21">
        <f>EXP(-LN(2)/25)*AA67+(1-EXP(-LN(2)/25))/(LN(2)/25)*Calculateur!V68*Calculateur!X68*VLOOKUP('Données projet'!$B$9,Paramètres!$A$1:$I$89,3,0)*0.475*44/12</f>
        <v>19.801847989180104</v>
      </c>
      <c r="AB68" s="21">
        <f>EXP(-LN(2)/2)*AB67+(1-EXP(-LN(2)/2))/(LN(2)/2)*V68*Y68*VLOOKUP('Données projet'!$B$9,Paramètres!$A$1:$I$89,3,0)*0.475*44/12</f>
        <v>3.0097668799741358E-2</v>
      </c>
      <c r="AC68" s="22">
        <f t="shared" ref="AC68:AC131" si="57">SUM(Z68:AB68)</f>
        <v>132.60224951217427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-5.6843418860808015E-14</v>
      </c>
      <c r="O69" s="13">
        <f>N69*VLOOKUP('Données projet'!$B$9,Paramètres!$A$1:$I$89,3,0)*VLOOKUP('Données projet'!$B$9,Paramètres!$A$1:$I$89,5,0)</f>
        <v>-3.3992364478763198E-14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235.23085498936467</v>
      </c>
      <c r="T69" s="59">
        <f t="shared" ref="T69:T132" si="88">$T$3</f>
        <v>344.45763019921577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110.55894697870724</v>
      </c>
      <c r="AA69" s="21">
        <f>EXP(-LN(2)/25)*AA68+(1-EXP(-LN(2)/25))/(LN(2)/25)*Calculateur!V69*Calculateur!X69*VLOOKUP('Données projet'!$B$9,Paramètres!$A$1:$I$89,3,0)*0.475*44/12</f>
        <v>19.260365414582047</v>
      </c>
      <c r="AB69" s="21">
        <f>EXP(-LN(2)/2)*AB68+(1-EXP(-LN(2)/2))/(LN(2)/2)*V69*Y69*VLOOKUP('Données projet'!$B$9,Paramètres!$A$1:$I$89,3,0)*0.475*44/12</f>
        <v>2.1282265706203892E-2</v>
      </c>
      <c r="AC69" s="22">
        <f t="shared" si="57"/>
        <v>129.84059465899549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-5.6843418860808015E-14</v>
      </c>
      <c r="O70" s="13">
        <f>N70*VLOOKUP('Données projet'!$B$9,Paramètres!$A$1:$I$89,3,0)*VLOOKUP('Données projet'!$B$9,Paramètres!$A$1:$I$89,5,0)</f>
        <v>-3.3992364478763198E-14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235.23085498936467</v>
      </c>
      <c r="T70" s="59">
        <f t="shared" si="88"/>
        <v>344.45763019921577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108.39095346275387</v>
      </c>
      <c r="AA70" s="21">
        <f>EXP(-LN(2)/25)*AA69+(1-EXP(-LN(2)/25))/(LN(2)/25)*Calculateur!V70*Calculateur!X70*VLOOKUP('Données projet'!$B$9,Paramètres!$A$1:$I$89,3,0)*0.475*44/12</f>
        <v>18.733689709461704</v>
      </c>
      <c r="AB70" s="21">
        <f>EXP(-LN(2)/2)*AB69+(1-EXP(-LN(2)/2))/(LN(2)/2)*V70*Y70*VLOOKUP('Données projet'!$B$9,Paramètres!$A$1:$I$89,3,0)*0.475*44/12</f>
        <v>1.504883439987068E-2</v>
      </c>
      <c r="AC70" s="22">
        <f t="shared" si="57"/>
        <v>127.13969200661545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-5.6843418860808015E-14</v>
      </c>
      <c r="O71" s="13">
        <f>N71*VLOOKUP('Données projet'!$B$9,Paramètres!$A$1:$I$89,3,0)*VLOOKUP('Données projet'!$B$9,Paramètres!$A$1:$I$89,5,0)</f>
        <v>-3.3992364478763198E-14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235.23085498936467</v>
      </c>
      <c r="T71" s="59">
        <f t="shared" si="88"/>
        <v>344.45763019921577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106.26547297730286</v>
      </c>
      <c r="AA71" s="21">
        <f>EXP(-LN(2)/25)*AA70+(1-EXP(-LN(2)/25))/(LN(2)/25)*Calculateur!V71*Calculateur!X71*VLOOKUP('Données projet'!$B$9,Paramètres!$A$1:$I$89,3,0)*0.475*44/12</f>
        <v>18.221415979194546</v>
      </c>
      <c r="AB71" s="21">
        <f>EXP(-LN(2)/2)*AB70+(1-EXP(-LN(2)/2))/(LN(2)/2)*V71*Y71*VLOOKUP('Données projet'!$B$9,Paramètres!$A$1:$I$89,3,0)*0.475*44/12</f>
        <v>1.0641132853101948E-2</v>
      </c>
      <c r="AC71" s="22">
        <f t="shared" si="57"/>
        <v>124.49753008935051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-5.6843418860808015E-14</v>
      </c>
      <c r="O72" s="13">
        <f>N72*VLOOKUP('Données projet'!$B$9,Paramètres!$A$1:$I$89,3,0)*VLOOKUP('Données projet'!$B$9,Paramètres!$A$1:$I$89,5,0)</f>
        <v>-3.3992364478763198E-14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235.23085498936467</v>
      </c>
      <c r="T72" s="59">
        <f t="shared" si="88"/>
        <v>344.45763019921577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104.18167186775646</v>
      </c>
      <c r="AA72" s="21">
        <f>EXP(-LN(2)/25)*AA71+(1-EXP(-LN(2)/25))/(LN(2)/25)*Calculateur!V72*Calculateur!X72*VLOOKUP('Données projet'!$B$9,Paramètres!$A$1:$I$89,3,0)*0.475*44/12</f>
        <v>17.723150401020849</v>
      </c>
      <c r="AB72" s="21">
        <f>EXP(-LN(2)/2)*AB71+(1-EXP(-LN(2)/2))/(LN(2)/2)*V72*Y72*VLOOKUP('Données projet'!$B$9,Paramètres!$A$1:$I$89,3,0)*0.475*44/12</f>
        <v>7.524417199935342E-3</v>
      </c>
      <c r="AC72" s="22">
        <f t="shared" si="57"/>
        <v>121.91234668597724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-5.6843418860808015E-14</v>
      </c>
      <c r="O73" s="13">
        <f>N73*VLOOKUP('Données projet'!$B$9,Paramètres!$A$1:$I$89,3,0)*VLOOKUP('Données projet'!$B$9,Paramètres!$A$1:$I$89,5,0)</f>
        <v>-3.3992364478763198E-14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235.23085498936467</v>
      </c>
      <c r="T73" s="59">
        <f t="shared" si="88"/>
        <v>344.45763019921577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102.1387328269751</v>
      </c>
      <c r="AA73" s="21">
        <f>EXP(-LN(2)/25)*AA72+(1-EXP(-LN(2)/25))/(LN(2)/25)*Calculateur!V73*Calculateur!X73*VLOOKUP('Données projet'!$B$9,Paramètres!$A$1:$I$89,3,0)*0.475*44/12</f>
        <v>17.238509921284962</v>
      </c>
      <c r="AB73" s="21">
        <f>EXP(-LN(2)/2)*AB72+(1-EXP(-LN(2)/2))/(LN(2)/2)*V73*Y73*VLOOKUP('Données projet'!$B$9,Paramètres!$A$1:$I$89,3,0)*0.475*44/12</f>
        <v>5.3205664265509748E-3</v>
      </c>
      <c r="AC73" s="22">
        <f t="shared" si="57"/>
        <v>119.38256331468661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-5.6843418860808015E-14</v>
      </c>
      <c r="O74" s="13">
        <f>N74*VLOOKUP('Données projet'!$B$9,Paramètres!$A$1:$I$89,3,0)*VLOOKUP('Données projet'!$B$9,Paramètres!$A$1:$I$89,5,0)</f>
        <v>-3.3992364478763198E-14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235.23085498936467</v>
      </c>
      <c r="T74" s="59">
        <f t="shared" si="88"/>
        <v>344.45763019921577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100.13585457471368</v>
      </c>
      <c r="AA74" s="21">
        <f>EXP(-LN(2)/25)*AA73+(1-EXP(-LN(2)/25))/(LN(2)/25)*Calculateur!V74*Calculateur!X74*VLOOKUP('Données projet'!$B$9,Paramètres!$A$1:$I$89,3,0)*0.475*44/12</f>
        <v>16.767121960953588</v>
      </c>
      <c r="AB74" s="21">
        <f>EXP(-LN(2)/2)*AB73+(1-EXP(-LN(2)/2))/(LN(2)/2)*V74*Y74*VLOOKUP('Données projet'!$B$9,Paramètres!$A$1:$I$89,3,0)*0.475*44/12</f>
        <v>3.7622085999676714E-3</v>
      </c>
      <c r="AC74" s="22">
        <f t="shared" si="57"/>
        <v>116.90673874426723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-5.6843418860808015E-14</v>
      </c>
      <c r="O75" s="13">
        <f>N75*VLOOKUP('Données projet'!$B$9,Paramètres!$A$1:$I$89,3,0)*VLOOKUP('Données projet'!$B$9,Paramètres!$A$1:$I$89,5,0)</f>
        <v>-3.3992364478763198E-14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235.23085498936467</v>
      </c>
      <c r="T75" s="59">
        <f t="shared" si="88"/>
        <v>344.45763019921577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98.17225154334399</v>
      </c>
      <c r="AA75" s="21">
        <f>EXP(-LN(2)/25)*AA74+(1-EXP(-LN(2)/25))/(LN(2)/25)*Calculateur!V75*Calculateur!X75*VLOOKUP('Données projet'!$B$9,Paramètres!$A$1:$I$89,3,0)*0.475*44/12</f>
        <v>16.30862412918669</v>
      </c>
      <c r="AB75" s="21">
        <f>EXP(-LN(2)/2)*AB74+(1-EXP(-LN(2)/2))/(LN(2)/2)*V75*Y75*VLOOKUP('Données projet'!$B$9,Paramètres!$A$1:$I$89,3,0)*0.475*44/12</f>
        <v>2.6602832132754878E-3</v>
      </c>
      <c r="AC75" s="22">
        <f t="shared" si="57"/>
        <v>114.48353595574396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-5.6843418860808015E-14</v>
      </c>
      <c r="O76" s="13">
        <f>N76*VLOOKUP('Données projet'!$B$9,Paramètres!$A$1:$I$89,3,0)*VLOOKUP('Données projet'!$B$9,Paramètres!$A$1:$I$89,5,0)</f>
        <v>-3.3992364478763198E-14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235.23085498936467</v>
      </c>
      <c r="T76" s="59">
        <f t="shared" si="88"/>
        <v>344.45763019921577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96.247153569739879</v>
      </c>
      <c r="AA76" s="21">
        <f>EXP(-LN(2)/25)*AA75+(1-EXP(-LN(2)/25))/(LN(2)/25)*Calculateur!V76*Calculateur!X76*VLOOKUP('Données projet'!$B$9,Paramètres!$A$1:$I$89,3,0)*0.475*44/12</f>
        <v>15.862663944740811</v>
      </c>
      <c r="AB76" s="21">
        <f>EXP(-LN(2)/2)*AB75+(1-EXP(-LN(2)/2))/(LN(2)/2)*V76*Y76*VLOOKUP('Données projet'!$B$9,Paramètres!$A$1:$I$89,3,0)*0.475*44/12</f>
        <v>1.8811042999838359E-3</v>
      </c>
      <c r="AC76" s="22">
        <f t="shared" si="57"/>
        <v>112.11169861878068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-5.6843418860808015E-14</v>
      </c>
      <c r="O77" s="13">
        <f>N77*VLOOKUP('Données projet'!$B$9,Paramètres!$A$1:$I$89,3,0)*VLOOKUP('Données projet'!$B$9,Paramètres!$A$1:$I$89,5,0)</f>
        <v>-3.3992364478763198E-14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235.23085498936467</v>
      </c>
      <c r="T77" s="59">
        <f t="shared" si="88"/>
        <v>344.45763019921577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94.359805593204328</v>
      </c>
      <c r="AA77" s="21">
        <f>EXP(-LN(2)/25)*AA76+(1-EXP(-LN(2)/25))/(LN(2)/25)*Calculateur!V77*Calculateur!X77*VLOOKUP('Données projet'!$B$9,Paramètres!$A$1:$I$89,3,0)*0.475*44/12</f>
        <v>15.428898564990632</v>
      </c>
      <c r="AB77" s="21">
        <f>EXP(-LN(2)/2)*AB76+(1-EXP(-LN(2)/2))/(LN(2)/2)*V77*Y77*VLOOKUP('Données projet'!$B$9,Paramètres!$A$1:$I$89,3,0)*0.475*44/12</f>
        <v>1.3301416066377441E-3</v>
      </c>
      <c r="AC77" s="22">
        <f t="shared" si="57"/>
        <v>109.7900342998016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-5.6843418860808015E-14</v>
      </c>
      <c r="O78" s="13">
        <f>N78*VLOOKUP('Données projet'!$B$9,Paramètres!$A$1:$I$89,3,0)*VLOOKUP('Données projet'!$B$9,Paramètres!$A$1:$I$89,5,0)</f>
        <v>-3.3992364478763198E-14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235.23085498936467</v>
      </c>
      <c r="T78" s="59">
        <f t="shared" si="88"/>
        <v>344.45763019921577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92.509467359320041</v>
      </c>
      <c r="AA78" s="21">
        <f>EXP(-LN(2)/25)*AA77+(1-EXP(-LN(2)/25))/(LN(2)/25)*Calculateur!V78*Calculateur!X78*VLOOKUP('Données projet'!$B$9,Paramètres!$A$1:$I$89,3,0)*0.475*44/12</f>
        <v>15.006994522360451</v>
      </c>
      <c r="AB78" s="21">
        <f>EXP(-LN(2)/2)*AB77+(1-EXP(-LN(2)/2))/(LN(2)/2)*V78*Y78*VLOOKUP('Données projet'!$B$9,Paramètres!$A$1:$I$89,3,0)*0.475*44/12</f>
        <v>9.4055214999191818E-4</v>
      </c>
      <c r="AC78" s="22">
        <f t="shared" si="57"/>
        <v>107.5174024338305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-5.6843418860808015E-14</v>
      </c>
      <c r="O79" s="13">
        <f>N79*VLOOKUP('Données projet'!$B$9,Paramètres!$A$1:$I$89,3,0)*VLOOKUP('Données projet'!$B$9,Paramètres!$A$1:$I$89,5,0)</f>
        <v>-3.3992364478763198E-14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235.23085498936467</v>
      </c>
      <c r="T79" s="59">
        <f t="shared" si="88"/>
        <v>344.45763019921577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90.695413129607331</v>
      </c>
      <c r="AA79" s="21">
        <f>EXP(-LN(2)/25)*AA78+(1-EXP(-LN(2)/25))/(LN(2)/25)*Calculateur!V79*Calculateur!X79*VLOOKUP('Données projet'!$B$9,Paramètres!$A$1:$I$89,3,0)*0.475*44/12</f>
        <v>14.596627467962961</v>
      </c>
      <c r="AB79" s="21">
        <f>EXP(-LN(2)/2)*AB78+(1-EXP(-LN(2)/2))/(LN(2)/2)*V79*Y79*VLOOKUP('Données projet'!$B$9,Paramètres!$A$1:$I$89,3,0)*0.475*44/12</f>
        <v>6.6507080331887217E-4</v>
      </c>
      <c r="AC79" s="22">
        <f t="shared" si="57"/>
        <v>105.29270566837361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-5.6843418860808015E-14</v>
      </c>
      <c r="O80" s="13">
        <f>N80*VLOOKUP('Données projet'!$B$9,Paramètres!$A$1:$I$89,3,0)*VLOOKUP('Données projet'!$B$9,Paramètres!$A$1:$I$89,5,0)</f>
        <v>-3.3992364478763198E-14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235.23085498936467</v>
      </c>
      <c r="T80" s="59">
        <f t="shared" si="88"/>
        <v>344.45763019921577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88.916931396875469</v>
      </c>
      <c r="AA80" s="21">
        <f>EXP(-LN(2)/25)*AA79+(1-EXP(-LN(2)/25))/(LN(2)/25)*Calculateur!V80*Calculateur!X80*VLOOKUP('Données projet'!$B$9,Paramètres!$A$1:$I$89,3,0)*0.475*44/12</f>
        <v>14.197481922248237</v>
      </c>
      <c r="AB80" s="21">
        <f>EXP(-LN(2)/2)*AB79+(1-EXP(-LN(2)/2))/(LN(2)/2)*V80*Y80*VLOOKUP('Données projet'!$B$9,Paramètres!$A$1:$I$89,3,0)*0.475*44/12</f>
        <v>4.7027607499595914E-4</v>
      </c>
      <c r="AC80" s="22">
        <f t="shared" si="57"/>
        <v>103.11488359519871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-5.6843418860808015E-14</v>
      </c>
      <c r="O81" s="13">
        <f>N81*VLOOKUP('Données projet'!$B$9,Paramètres!$A$1:$I$89,3,0)*VLOOKUP('Données projet'!$B$9,Paramètres!$A$1:$I$89,5,0)</f>
        <v>-3.3992364478763198E-14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235.23085498936467</v>
      </c>
      <c r="T81" s="59">
        <f t="shared" si="88"/>
        <v>344.45763019921577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87.173324606155731</v>
      </c>
      <c r="AA81" s="21">
        <f>EXP(-LN(2)/25)*AA80+(1-EXP(-LN(2)/25))/(LN(2)/25)*Calculateur!V81*Calculateur!X81*VLOOKUP('Données projet'!$B$9,Paramètres!$A$1:$I$89,3,0)*0.475*44/12</f>
        <v>13.809251032471233</v>
      </c>
      <c r="AB81" s="21">
        <f>EXP(-LN(2)/2)*AB80+(1-EXP(-LN(2)/2))/(LN(2)/2)*V81*Y81*VLOOKUP('Données projet'!$B$9,Paramètres!$A$1:$I$89,3,0)*0.475*44/12</f>
        <v>3.3253540165943614E-4</v>
      </c>
      <c r="AC81" s="22">
        <f t="shared" si="57"/>
        <v>100.98290817402862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-5.6843418860808015E-14</v>
      </c>
      <c r="O82" s="13">
        <f>N82*VLOOKUP('Données projet'!$B$9,Paramètres!$A$1:$I$89,3,0)*VLOOKUP('Données projet'!$B$9,Paramètres!$A$1:$I$89,5,0)</f>
        <v>-3.3992364478763198E-14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235.23085498936467</v>
      </c>
      <c r="T82" s="59">
        <f t="shared" si="88"/>
        <v>344.45763019921577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85.463908881106875</v>
      </c>
      <c r="AA82" s="21">
        <f>EXP(-LN(2)/25)*AA81+(1-EXP(-LN(2)/25))/(LN(2)/25)*Calculateur!V82*Calculateur!X82*VLOOKUP('Données projet'!$B$9,Paramètres!$A$1:$I$89,3,0)*0.475*44/12</f>
        <v>13.431636336791357</v>
      </c>
      <c r="AB82" s="21">
        <f>EXP(-LN(2)/2)*AB81+(1-EXP(-LN(2)/2))/(LN(2)/2)*V82*Y82*VLOOKUP('Données projet'!$B$9,Paramètres!$A$1:$I$89,3,0)*0.475*44/12</f>
        <v>2.3513803749797963E-4</v>
      </c>
      <c r="AC82" s="22">
        <f t="shared" si="57"/>
        <v>98.895780355935727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-5.6843418860808015E-14</v>
      </c>
      <c r="O83" s="13">
        <f>N83*VLOOKUP('Données projet'!$B$9,Paramètres!$A$1:$I$89,3,0)*VLOOKUP('Données projet'!$B$9,Paramètres!$A$1:$I$89,5,0)</f>
        <v>-3.3992364478763198E-14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235.23085498936467</v>
      </c>
      <c r="T83" s="59">
        <f t="shared" si="88"/>
        <v>344.45763019921577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83.788013755785585</v>
      </c>
      <c r="AA83" s="21">
        <f>EXP(-LN(2)/25)*AA82+(1-EXP(-LN(2)/25))/(LN(2)/25)*Calculateur!V83*Calculateur!X83*VLOOKUP('Données projet'!$B$9,Paramètres!$A$1:$I$89,3,0)*0.475*44/12</f>
        <v>13.06434753482274</v>
      </c>
      <c r="AB83" s="21">
        <f>EXP(-LN(2)/2)*AB82+(1-EXP(-LN(2)/2))/(LN(2)/2)*V83*Y83*VLOOKUP('Données projet'!$B$9,Paramètres!$A$1:$I$89,3,0)*0.475*44/12</f>
        <v>1.662677008297181E-4</v>
      </c>
      <c r="AC83" s="22">
        <f t="shared" si="57"/>
        <v>96.852527558309163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-5.6843418860808015E-14</v>
      </c>
      <c r="O84" s="13">
        <f>N84*VLOOKUP('Données projet'!$B$9,Paramètres!$A$1:$I$89,3,0)*VLOOKUP('Données projet'!$B$9,Paramètres!$A$1:$I$89,5,0)</f>
        <v>-3.3992364478763198E-14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235.23085498936467</v>
      </c>
      <c r="T84" s="59">
        <f t="shared" si="88"/>
        <v>344.45763019921577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82.144981911676751</v>
      </c>
      <c r="AA84" s="21">
        <f>EXP(-LN(2)/25)*AA83+(1-EXP(-LN(2)/25))/(LN(2)/25)*Calculateur!V84*Calculateur!X84*VLOOKUP('Données projet'!$B$9,Paramètres!$A$1:$I$89,3,0)*0.475*44/12</f>
        <v>12.707102264458834</v>
      </c>
      <c r="AB84" s="21">
        <f>EXP(-LN(2)/2)*AB83+(1-EXP(-LN(2)/2))/(LN(2)/2)*V84*Y84*VLOOKUP('Données projet'!$B$9,Paramètres!$A$1:$I$89,3,0)*0.475*44/12</f>
        <v>1.1756901874898983E-4</v>
      </c>
      <c r="AC84" s="22">
        <f t="shared" si="57"/>
        <v>94.852201745154346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-5.6843418860808015E-14</v>
      </c>
      <c r="O85" s="13">
        <f>N85*VLOOKUP('Données projet'!$B$9,Paramètres!$A$1:$I$89,3,0)*VLOOKUP('Données projet'!$B$9,Paramètres!$A$1:$I$89,5,0)</f>
        <v>-3.3992364478763198E-14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235.23085498936467</v>
      </c>
      <c r="T85" s="59">
        <f t="shared" si="88"/>
        <v>344.45763019921577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80.534168919880429</v>
      </c>
      <c r="AA85" s="21">
        <f>EXP(-LN(2)/25)*AA84+(1-EXP(-LN(2)/25))/(LN(2)/25)*Calculateur!V85*Calculateur!X85*VLOOKUP('Données projet'!$B$9,Paramètres!$A$1:$I$89,3,0)*0.475*44/12</f>
        <v>12.359625884799742</v>
      </c>
      <c r="AB85" s="21">
        <f>EXP(-LN(2)/2)*AB84+(1-EXP(-LN(2)/2))/(LN(2)/2)*V85*Y85*VLOOKUP('Données projet'!$B$9,Paramètres!$A$1:$I$89,3,0)*0.475*44/12</f>
        <v>8.3133850414859062E-5</v>
      </c>
      <c r="AC85" s="22">
        <f t="shared" si="57"/>
        <v>92.893877938530579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-5.6843418860808015E-14</v>
      </c>
      <c r="O86" s="13">
        <f>N86*VLOOKUP('Données projet'!$B$9,Paramètres!$A$1:$I$89,3,0)*VLOOKUP('Données projet'!$B$9,Paramètres!$A$1:$I$89,5,0)</f>
        <v>-3.3992364478763198E-14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235.23085498936467</v>
      </c>
      <c r="T86" s="59">
        <f t="shared" si="88"/>
        <v>344.45763019921577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78.954942988354318</v>
      </c>
      <c r="AA86" s="21">
        <f>EXP(-LN(2)/25)*AA85+(1-EXP(-LN(2)/25))/(LN(2)/25)*Calculateur!V86*Calculateur!X86*VLOOKUP('Données projet'!$B$9,Paramètres!$A$1:$I$89,3,0)*0.475*44/12</f>
        <v>12.021651265015416</v>
      </c>
      <c r="AB86" s="21">
        <f>EXP(-LN(2)/2)*AB85+(1-EXP(-LN(2)/2))/(LN(2)/2)*V86*Y86*VLOOKUP('Données projet'!$B$9,Paramètres!$A$1:$I$89,3,0)*0.475*44/12</f>
        <v>5.8784509374494927E-5</v>
      </c>
      <c r="AC86" s="22">
        <f t="shared" si="57"/>
        <v>90.976653037879117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-5.6843418860808015E-14</v>
      </c>
      <c r="O87" s="13">
        <f>N87*VLOOKUP('Données projet'!$B$9,Paramètres!$A$1:$I$89,3,0)*VLOOKUP('Données projet'!$B$9,Paramètres!$A$1:$I$89,5,0)</f>
        <v>-3.3992364478763198E-14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235.23085498936467</v>
      </c>
      <c r="T87" s="59">
        <f t="shared" si="88"/>
        <v>344.45763019921577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77.406684714112728</v>
      </c>
      <c r="AA87" s="21">
        <f>EXP(-LN(2)/25)*AA86+(1-EXP(-LN(2)/25))/(LN(2)/25)*Calculateur!V87*Calculateur!X87*VLOOKUP('Données projet'!$B$9,Paramètres!$A$1:$I$89,3,0)*0.475*44/12</f>
        <v>11.692918578982406</v>
      </c>
      <c r="AB87" s="21">
        <f>EXP(-LN(2)/2)*AB86+(1-EXP(-LN(2)/2))/(LN(2)/2)*V87*Y87*VLOOKUP('Données projet'!$B$9,Paramètres!$A$1:$I$89,3,0)*0.475*44/12</f>
        <v>4.1566925207429538E-5</v>
      </c>
      <c r="AC87" s="22">
        <f t="shared" si="57"/>
        <v>89.099644860020334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-5.6843418860808015E-14</v>
      </c>
      <c r="O88" s="13">
        <f>N88*VLOOKUP('Données projet'!$B$9,Paramètres!$A$1:$I$89,3,0)*VLOOKUP('Données projet'!$B$9,Paramètres!$A$1:$I$89,5,0)</f>
        <v>-3.3992364478763198E-14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235.23085498936467</v>
      </c>
      <c r="T88" s="59">
        <f t="shared" si="88"/>
        <v>344.45763019921577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75.888786840284709</v>
      </c>
      <c r="AA88" s="21">
        <f>EXP(-LN(2)/25)*AA87+(1-EXP(-LN(2)/25))/(LN(2)/25)*Calculateur!V88*Calculateur!X88*VLOOKUP('Données projet'!$B$9,Paramètres!$A$1:$I$89,3,0)*0.475*44/12</f>
        <v>11.373175105536268</v>
      </c>
      <c r="AB88" s="21">
        <f>EXP(-LN(2)/2)*AB87+(1-EXP(-LN(2)/2))/(LN(2)/2)*V88*Y88*VLOOKUP('Données projet'!$B$9,Paramètres!$A$1:$I$89,3,0)*0.475*44/12</f>
        <v>2.9392254687247467E-5</v>
      </c>
      <c r="AC88" s="22">
        <f t="shared" si="57"/>
        <v>87.26199133807566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-5.6843418860808015E-14</v>
      </c>
      <c r="O89" s="13">
        <f>N89*VLOOKUP('Données projet'!$B$9,Paramètres!$A$1:$I$89,3,0)*VLOOKUP('Données projet'!$B$9,Paramètres!$A$1:$I$89,5,0)</f>
        <v>-3.3992364478763198E-14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235.23085498936467</v>
      </c>
      <c r="T89" s="59">
        <f t="shared" si="88"/>
        <v>344.45763019921577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74.400654017936176</v>
      </c>
      <c r="AA89" s="21">
        <f>EXP(-LN(2)/25)*AA88+(1-EXP(-LN(2)/25))/(LN(2)/25)*Calculateur!V89*Calculateur!X89*VLOOKUP('Données projet'!$B$9,Paramètres!$A$1:$I$89,3,0)*0.475*44/12</f>
        <v>11.062175034186094</v>
      </c>
      <c r="AB89" s="21">
        <f>EXP(-LN(2)/2)*AB88+(1-EXP(-LN(2)/2))/(LN(2)/2)*V89*Y89*VLOOKUP('Données projet'!$B$9,Paramètres!$A$1:$I$89,3,0)*0.475*44/12</f>
        <v>2.0783462603714772E-5</v>
      </c>
      <c r="AC89" s="22">
        <f t="shared" si="57"/>
        <v>85.462849835584876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-5.6843418860808015E-14</v>
      </c>
      <c r="O90" s="13">
        <f>N90*VLOOKUP('Données projet'!$B$9,Paramètres!$A$1:$I$89,3,0)*VLOOKUP('Données projet'!$B$9,Paramètres!$A$1:$I$89,5,0)</f>
        <v>-3.3992364478763198E-14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235.23085498936467</v>
      </c>
      <c r="T90" s="59">
        <f t="shared" si="88"/>
        <v>344.45763019921577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72.941702572562505</v>
      </c>
      <c r="AA90" s="21">
        <f>EXP(-LN(2)/25)*AA89+(1-EXP(-LN(2)/25))/(LN(2)/25)*Calculateur!V90*Calculateur!X90*VLOOKUP('Données projet'!$B$9,Paramètres!$A$1:$I$89,3,0)*0.475*44/12</f>
        <v>10.759679276141773</v>
      </c>
      <c r="AB90" s="21">
        <f>EXP(-LN(2)/2)*AB89+(1-EXP(-LN(2)/2))/(LN(2)/2)*V90*Y90*VLOOKUP('Données projet'!$B$9,Paramètres!$A$1:$I$89,3,0)*0.475*44/12</f>
        <v>1.4696127343623735E-5</v>
      </c>
      <c r="AC90" s="22">
        <f t="shared" si="57"/>
        <v>83.70139654483161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-5.6843418860808015E-14</v>
      </c>
      <c r="O91" s="13">
        <f>N91*VLOOKUP('Données projet'!$B$9,Paramètres!$A$1:$I$89,3,0)*VLOOKUP('Données projet'!$B$9,Paramètres!$A$1:$I$89,5,0)</f>
        <v>-3.3992364478763198E-14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235.23085498936467</v>
      </c>
      <c r="T91" s="59">
        <f t="shared" si="88"/>
        <v>344.45763019921577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71.511360275160101</v>
      </c>
      <c r="AA91" s="21">
        <f>EXP(-LN(2)/25)*AA90+(1-EXP(-LN(2)/25))/(LN(2)/25)*Calculateur!V91*Calculateur!X91*VLOOKUP('Données projet'!$B$9,Paramètres!$A$1:$I$89,3,0)*0.475*44/12</f>
        <v>10.465455280508735</v>
      </c>
      <c r="AB91" s="21">
        <f>EXP(-LN(2)/2)*AB90+(1-EXP(-LN(2)/2))/(LN(2)/2)*V91*Y91*VLOOKUP('Données projet'!$B$9,Paramètres!$A$1:$I$89,3,0)*0.475*44/12</f>
        <v>1.0391731301857388E-5</v>
      </c>
      <c r="AC91" s="22">
        <f t="shared" si="57"/>
        <v>81.976825947400144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-5.6843418860808015E-14</v>
      </c>
      <c r="O92" s="13">
        <f>N92*VLOOKUP('Données projet'!$B$9,Paramètres!$A$1:$I$89,3,0)*VLOOKUP('Données projet'!$B$9,Paramètres!$A$1:$I$89,5,0)</f>
        <v>-3.3992364478763198E-14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235.23085498936467</v>
      </c>
      <c r="T92" s="59">
        <f t="shared" si="88"/>
        <v>344.45763019921577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70.109066117787094</v>
      </c>
      <c r="AA92" s="21">
        <f>EXP(-LN(2)/25)*AA91+(1-EXP(-LN(2)/25))/(LN(2)/25)*Calculateur!V92*Calculateur!X92*VLOOKUP('Données projet'!$B$9,Paramètres!$A$1:$I$89,3,0)*0.475*44/12</f>
        <v>10.179276855508849</v>
      </c>
      <c r="AB92" s="21">
        <f>EXP(-LN(2)/2)*AB91+(1-EXP(-LN(2)/2))/(LN(2)/2)*V92*Y92*VLOOKUP('Données projet'!$B$9,Paramètres!$A$1:$I$89,3,0)*0.475*44/12</f>
        <v>7.3480636718118693E-6</v>
      </c>
      <c r="AC92" s="22">
        <f t="shared" si="57"/>
        <v>80.288350321359616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-5.6843418860808015E-14</v>
      </c>
      <c r="O93" s="13">
        <f>N93*VLOOKUP('Données projet'!$B$9,Paramètres!$A$1:$I$89,3,0)*VLOOKUP('Données projet'!$B$9,Paramètres!$A$1:$I$89,5,0)</f>
        <v>-3.3992364478763198E-14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235.23085498936467</v>
      </c>
      <c r="T93" s="59">
        <f t="shared" si="88"/>
        <v>344.45763019921577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68.734270093525197</v>
      </c>
      <c r="AA93" s="21">
        <f>EXP(-LN(2)/25)*AA92+(1-EXP(-LN(2)/25))/(LN(2)/25)*Calculateur!V93*Calculateur!X93*VLOOKUP('Données projet'!$B$9,Paramètres!$A$1:$I$89,3,0)*0.475*44/12</f>
        <v>9.9009239945900553</v>
      </c>
      <c r="AB93" s="21">
        <f>EXP(-LN(2)/2)*AB92+(1-EXP(-LN(2)/2))/(LN(2)/2)*V93*Y93*VLOOKUP('Données projet'!$B$9,Paramètres!$A$1:$I$89,3,0)*0.475*44/12</f>
        <v>5.1958656509286948E-6</v>
      </c>
      <c r="AC93" s="22">
        <f t="shared" si="57"/>
        <v>78.63519928398091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-5.6843418860808015E-14</v>
      </c>
      <c r="O94" s="13">
        <f>N94*VLOOKUP('Données projet'!$B$9,Paramètres!$A$1:$I$89,3,0)*VLOOKUP('Données projet'!$B$9,Paramètres!$A$1:$I$89,5,0)</f>
        <v>-3.3992364478763198E-14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235.23085498936467</v>
      </c>
      <c r="T94" s="59">
        <f t="shared" si="88"/>
        <v>344.45763019921577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67.386432980756297</v>
      </c>
      <c r="AA94" s="21">
        <f>EXP(-LN(2)/25)*AA93+(1-EXP(-LN(2)/25))/(LN(2)/25)*Calculateur!V94*Calculateur!X94*VLOOKUP('Données projet'!$B$9,Paramètres!$A$1:$I$89,3,0)*0.475*44/12</f>
        <v>9.6301827072910271</v>
      </c>
      <c r="AB94" s="21">
        <f>EXP(-LN(2)/2)*AB93+(1-EXP(-LN(2)/2))/(LN(2)/2)*V94*Y94*VLOOKUP('Données projet'!$B$9,Paramètres!$A$1:$I$89,3,0)*0.475*44/12</f>
        <v>3.6740318359059351E-6</v>
      </c>
      <c r="AC94" s="22">
        <f t="shared" si="57"/>
        <v>77.016619362079155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-5.6843418860808015E-14</v>
      </c>
      <c r="O95" s="13">
        <f>N95*VLOOKUP('Données projet'!$B$9,Paramètres!$A$1:$I$89,3,0)*VLOOKUP('Données projet'!$B$9,Paramètres!$A$1:$I$89,5,0)</f>
        <v>-3.3992364478763198E-14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235.23085498936467</v>
      </c>
      <c r="T95" s="59">
        <f t="shared" si="88"/>
        <v>344.45763019921577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66.065026131669327</v>
      </c>
      <c r="AA95" s="21">
        <f>EXP(-LN(2)/25)*AA94+(1-EXP(-LN(2)/25))/(LN(2)/25)*Calculateur!V95*Calculateur!X95*VLOOKUP('Données projet'!$B$9,Paramètres!$A$1:$I$89,3,0)*0.475*44/12</f>
        <v>9.3668448547308554</v>
      </c>
      <c r="AB95" s="21">
        <f>EXP(-LN(2)/2)*AB94+(1-EXP(-LN(2)/2))/(LN(2)/2)*V95*Y95*VLOOKUP('Données projet'!$B$9,Paramètres!$A$1:$I$89,3,0)*0.475*44/12</f>
        <v>2.5979328254643478E-6</v>
      </c>
      <c r="AC95" s="22">
        <f t="shared" si="57"/>
        <v>75.431873584333005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-5.6843418860808015E-14</v>
      </c>
      <c r="O96" s="13">
        <f>N96*VLOOKUP('Données projet'!$B$9,Paramètres!$A$1:$I$89,3,0)*VLOOKUP('Données projet'!$B$9,Paramètres!$A$1:$I$89,5,0)</f>
        <v>-3.3992364478763198E-14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235.23085498936467</v>
      </c>
      <c r="T96" s="59">
        <f t="shared" si="88"/>
        <v>344.45763019921577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64.769531264914363</v>
      </c>
      <c r="AA96" s="21">
        <f>EXP(-LN(2)/25)*AA95+(1-EXP(-LN(2)/25))/(LN(2)/25)*Calculateur!V96*Calculateur!X96*VLOOKUP('Données projet'!$B$9,Paramètres!$A$1:$I$89,3,0)*0.475*44/12</f>
        <v>9.1107079895972767</v>
      </c>
      <c r="AB96" s="21">
        <f>EXP(-LN(2)/2)*AB95+(1-EXP(-LN(2)/2))/(LN(2)/2)*V96*Y96*VLOOKUP('Données projet'!$B$9,Paramètres!$A$1:$I$89,3,0)*0.475*44/12</f>
        <v>1.8370159179529679E-6</v>
      </c>
      <c r="AC96" s="22">
        <f t="shared" si="57"/>
        <v>73.880241091527552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-5.6843418860808015E-14</v>
      </c>
      <c r="O97" s="13">
        <f>N97*VLOOKUP('Données projet'!$B$9,Paramètres!$A$1:$I$89,3,0)*VLOOKUP('Données projet'!$B$9,Paramètres!$A$1:$I$89,5,0)</f>
        <v>-3.3992364478763198E-14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235.23085498936467</v>
      </c>
      <c r="T97" s="59">
        <f t="shared" si="88"/>
        <v>344.45763019921577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63.499440262322615</v>
      </c>
      <c r="AA97" s="21">
        <f>EXP(-LN(2)/25)*AA96+(1-EXP(-LN(2)/25))/(LN(2)/25)*Calculateur!V97*Calculateur!X97*VLOOKUP('Données projet'!$B$9,Paramètres!$A$1:$I$89,3,0)*0.475*44/12</f>
        <v>8.861575200510428</v>
      </c>
      <c r="AB97" s="21">
        <f>EXP(-LN(2)/2)*AB96+(1-EXP(-LN(2)/2))/(LN(2)/2)*V97*Y97*VLOOKUP('Données projet'!$B$9,Paramètres!$A$1:$I$89,3,0)*0.475*44/12</f>
        <v>1.2989664127321741E-6</v>
      </c>
      <c r="AC97" s="22">
        <f t="shared" si="57"/>
        <v>72.361016761799448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-5.6843418860808015E-14</v>
      </c>
      <c r="O98" s="13">
        <f>N98*VLOOKUP('Données projet'!$B$9,Paramètres!$A$1:$I$89,3,0)*VLOOKUP('Données projet'!$B$9,Paramètres!$A$1:$I$89,5,0)</f>
        <v>-3.3992364478763198E-14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235.23085498936467</v>
      </c>
      <c r="T98" s="59">
        <f t="shared" si="88"/>
        <v>344.45763019921577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62.254254969612674</v>
      </c>
      <c r="AA98" s="21">
        <f>EXP(-LN(2)/25)*AA97+(1-EXP(-LN(2)/25))/(LN(2)/25)*Calculateur!V98*Calculateur!X98*VLOOKUP('Données projet'!$B$9,Paramètres!$A$1:$I$89,3,0)*0.475*44/12</f>
        <v>8.6192549606424844</v>
      </c>
      <c r="AB98" s="21">
        <f>EXP(-LN(2)/2)*AB97+(1-EXP(-LN(2)/2))/(LN(2)/2)*V98*Y98*VLOOKUP('Données projet'!$B$9,Paramètres!$A$1:$I$89,3,0)*0.475*44/12</f>
        <v>9.1850795897648408E-7</v>
      </c>
      <c r="AC98" s="22">
        <f t="shared" si="57"/>
        <v>70.873510848763118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-5.6843418860808015E-14</v>
      </c>
      <c r="O99" s="13">
        <f>N99*VLOOKUP('Données projet'!$B$9,Paramètres!$A$1:$I$89,3,0)*VLOOKUP('Données projet'!$B$9,Paramètres!$A$1:$I$89,5,0)</f>
        <v>-3.3992364478763198E-14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235.23085498936467</v>
      </c>
      <c r="T99" s="59">
        <f t="shared" si="88"/>
        <v>344.45763019921577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61.033487001004744</v>
      </c>
      <c r="AA99" s="21">
        <f>EXP(-LN(2)/25)*AA98+(1-EXP(-LN(2)/25))/(LN(2)/25)*Calculateur!V99*Calculateur!X99*VLOOKUP('Données projet'!$B$9,Paramètres!$A$1:$I$89,3,0)*0.475*44/12</f>
        <v>8.3835609804767977</v>
      </c>
      <c r="AB99" s="21">
        <f>EXP(-LN(2)/2)*AB98+(1-EXP(-LN(2)/2))/(LN(2)/2)*V99*Y99*VLOOKUP('Données projet'!$B$9,Paramètres!$A$1:$I$89,3,0)*0.475*44/12</f>
        <v>6.4948320636608716E-7</v>
      </c>
      <c r="AC99" s="22">
        <f t="shared" si="57"/>
        <v>69.417048630964757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-5.6843418860808015E-14</v>
      </c>
      <c r="O100" s="13">
        <f>N100*VLOOKUP('Données projet'!$B$9,Paramètres!$A$1:$I$89,3,0)*VLOOKUP('Données projet'!$B$9,Paramètres!$A$1:$I$89,5,0)</f>
        <v>-3.3992364478763198E-14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235.23085498936467</v>
      </c>
      <c r="T100" s="59">
        <f t="shared" si="88"/>
        <v>344.45763019921577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59.836657547666277</v>
      </c>
      <c r="AA100" s="21">
        <f>EXP(-LN(2)/25)*AA99+(1-EXP(-LN(2)/25))/(LN(2)/25)*Calculateur!V100*Calculateur!X100*VLOOKUP('Données projet'!$B$9,Paramètres!$A$1:$I$89,3,0)*0.475*44/12</f>
        <v>8.1543120645933485</v>
      </c>
      <c r="AB100" s="21">
        <f>EXP(-LN(2)/2)*AB99+(1-EXP(-LN(2)/2))/(LN(2)/2)*V100*Y100*VLOOKUP('Données projet'!$B$9,Paramètres!$A$1:$I$89,3,0)*0.475*44/12</f>
        <v>4.5925397948824209E-7</v>
      </c>
      <c r="AC100" s="22">
        <f t="shared" si="57"/>
        <v>67.990970071513601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-5.6843418860808015E-14</v>
      </c>
      <c r="O101" s="13">
        <f>N101*VLOOKUP('Données projet'!$B$9,Paramètres!$A$1:$I$89,3,0)*VLOOKUP('Données projet'!$B$9,Paramètres!$A$1:$I$89,5,0)</f>
        <v>-3.3992364478763198E-14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235.23085498936467</v>
      </c>
      <c r="T101" s="59">
        <f t="shared" si="88"/>
        <v>344.45763019921577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58.663297189913891</v>
      </c>
      <c r="AA101" s="21">
        <f>EXP(-LN(2)/25)*AA100+(1-EXP(-LN(2)/25))/(LN(2)/25)*Calculateur!V101*Calculateur!X101*VLOOKUP('Données projet'!$B$9,Paramètres!$A$1:$I$89,3,0)*0.475*44/12</f>
        <v>7.9313319723704092</v>
      </c>
      <c r="AB101" s="21">
        <f>EXP(-LN(2)/2)*AB100+(1-EXP(-LN(2)/2))/(LN(2)/2)*V101*Y101*VLOOKUP('Données projet'!$B$9,Paramètres!$A$1:$I$89,3,0)*0.475*44/12</f>
        <v>3.2474160318304363E-7</v>
      </c>
      <c r="AC101" s="22">
        <f t="shared" si="57"/>
        <v>66.594629487025912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-5.6843418860808015E-14</v>
      </c>
      <c r="O102" s="13">
        <f>N102*VLOOKUP('Données projet'!$B$9,Paramètres!$A$1:$I$89,3,0)*VLOOKUP('Données projet'!$B$9,Paramètres!$A$1:$I$89,5,0)</f>
        <v>-3.3992364478763198E-14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235.23085498936467</v>
      </c>
      <c r="T102" s="59">
        <f t="shared" si="88"/>
        <v>344.45763019921577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57.512945713097878</v>
      </c>
      <c r="AA102" s="21">
        <f>EXP(-LN(2)/25)*AA101+(1-EXP(-LN(2)/25))/(LN(2)/25)*Calculateur!V102*Calculateur!X102*VLOOKUP('Données projet'!$B$9,Paramètres!$A$1:$I$89,3,0)*0.475*44/12</f>
        <v>7.7144492824953197</v>
      </c>
      <c r="AB102" s="21">
        <f>EXP(-LN(2)/2)*AB101+(1-EXP(-LN(2)/2))/(LN(2)/2)*V102*Y102*VLOOKUP('Données projet'!$B$9,Paramètres!$A$1:$I$89,3,0)*0.475*44/12</f>
        <v>2.296269897441211E-7</v>
      </c>
      <c r="AC102" s="22">
        <f t="shared" si="57"/>
        <v>65.227395225220192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-5.6843418860808015E-14</v>
      </c>
      <c r="O103" s="13">
        <f>N103*VLOOKUP('Données projet'!$B$9,Paramètres!$A$1:$I$89,3,0)*VLOOKUP('Données projet'!$B$9,Paramètres!$A$1:$I$89,5,0)</f>
        <v>-3.3992364478763198E-14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235.23085498936467</v>
      </c>
      <c r="T103" s="59">
        <f t="shared" si="88"/>
        <v>344.45763019921577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56.385151927097105</v>
      </c>
      <c r="AA103" s="21">
        <f>EXP(-LN(2)/25)*AA102+(1-EXP(-LN(2)/25))/(LN(2)/25)*Calculateur!V103*Calculateur!X103*VLOOKUP('Données projet'!$B$9,Paramètres!$A$1:$I$89,3,0)*0.475*44/12</f>
        <v>7.5034972611802289</v>
      </c>
      <c r="AB103" s="21">
        <f>EXP(-LN(2)/2)*AB102+(1-EXP(-LN(2)/2))/(LN(2)/2)*V103*Y103*VLOOKUP('Données projet'!$B$9,Paramètres!$A$1:$I$89,3,0)*0.475*44/12</f>
        <v>1.6237080159152184E-7</v>
      </c>
      <c r="AC103" s="22">
        <f t="shared" si="57"/>
        <v>63.888649350648137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-5.6843418860808015E-14</v>
      </c>
      <c r="O104" s="13">
        <f>N104*VLOOKUP('Données projet'!$B$9,Paramètres!$A$1:$I$89,3,0)*VLOOKUP('Données projet'!$B$9,Paramètres!$A$1:$I$89,5,0)</f>
        <v>-3.3992364478763198E-14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235.23085498936467</v>
      </c>
      <c r="T104" s="59">
        <f t="shared" si="88"/>
        <v>344.45763019921577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55.279473489353521</v>
      </c>
      <c r="AA104" s="21">
        <f>EXP(-LN(2)/25)*AA103+(1-EXP(-LN(2)/25))/(LN(2)/25)*Calculateur!V104*Calculateur!X104*VLOOKUP('Données projet'!$B$9,Paramètres!$A$1:$I$89,3,0)*0.475*44/12</f>
        <v>7.2983137339814839</v>
      </c>
      <c r="AB104" s="21">
        <f>EXP(-LN(2)/2)*AB103+(1-EXP(-LN(2)/2))/(LN(2)/2)*V104*Y104*VLOOKUP('Données projet'!$B$9,Paramètres!$A$1:$I$89,3,0)*0.475*44/12</f>
        <v>1.1481349487206056E-7</v>
      </c>
      <c r="AC104" s="22">
        <f t="shared" si="57"/>
        <v>62.577787338148504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-5.6843418860808015E-14</v>
      </c>
      <c r="O105" s="13">
        <f>N105*VLOOKUP('Données projet'!$B$9,Paramètres!$A$1:$I$89,3,0)*VLOOKUP('Données projet'!$B$9,Paramètres!$A$1:$I$89,5,0)</f>
        <v>-3.3992364478763198E-14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235.23085498936467</v>
      </c>
      <c r="T105" s="59">
        <f t="shared" si="88"/>
        <v>344.45763019921577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54.195476731376836</v>
      </c>
      <c r="AA105" s="21">
        <f>EXP(-LN(2)/25)*AA104+(1-EXP(-LN(2)/25))/(LN(2)/25)*Calculateur!V105*Calculateur!X105*VLOOKUP('Données projet'!$B$9,Paramètres!$A$1:$I$89,3,0)*0.475*44/12</f>
        <v>7.098740961124121</v>
      </c>
      <c r="AB105" s="21">
        <f>EXP(-LN(2)/2)*AB104+(1-EXP(-LN(2)/2))/(LN(2)/2)*V105*Y105*VLOOKUP('Données projet'!$B$9,Paramètres!$A$1:$I$89,3,0)*0.475*44/12</f>
        <v>8.1185400795760935E-8</v>
      </c>
      <c r="AC105" s="22">
        <f t="shared" si="57"/>
        <v>61.294217773686356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-5.6843418860808015E-14</v>
      </c>
      <c r="O106" s="13">
        <f>N106*VLOOKUP('Données projet'!$B$9,Paramètres!$A$1:$I$89,3,0)*VLOOKUP('Données projet'!$B$9,Paramètres!$A$1:$I$89,5,0)</f>
        <v>-3.3992364478763198E-14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235.23085498936467</v>
      </c>
      <c r="T106" s="59">
        <f t="shared" si="88"/>
        <v>344.45763019921577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53.132736488651332</v>
      </c>
      <c r="AA106" s="21">
        <f>EXP(-LN(2)/25)*AA105+(1-EXP(-LN(2)/25))/(LN(2)/25)*Calculateur!V106*Calculateur!X106*VLOOKUP('Données projet'!$B$9,Paramètres!$A$1:$I$89,3,0)*0.475*44/12</f>
        <v>6.9046255162356189</v>
      </c>
      <c r="AB106" s="21">
        <f>EXP(-LN(2)/2)*AB105+(1-EXP(-LN(2)/2))/(LN(2)/2)*V106*Y106*VLOOKUP('Données projet'!$B$9,Paramètres!$A$1:$I$89,3,0)*0.475*44/12</f>
        <v>5.7406747436030295E-8</v>
      </c>
      <c r="AC106" s="22">
        <f t="shared" si="57"/>
        <v>60.037362062293695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-5.6843418860808015E-14</v>
      </c>
      <c r="O107" s="13">
        <f>N107*VLOOKUP('Données projet'!$B$9,Paramètres!$A$1:$I$89,3,0)*VLOOKUP('Données projet'!$B$9,Paramètres!$A$1:$I$89,5,0)</f>
        <v>-3.3992364478763198E-14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235.23085498936467</v>
      </c>
      <c r="T107" s="59">
        <f t="shared" si="88"/>
        <v>344.45763019921577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52.090835933878139</v>
      </c>
      <c r="AA107" s="21">
        <f>EXP(-LN(2)/25)*AA106+(1-EXP(-LN(2)/25))/(LN(2)/25)*Calculateur!V107*Calculateur!X107*VLOOKUP('Données projet'!$B$9,Paramètres!$A$1:$I$89,3,0)*0.475*44/12</f>
        <v>6.715818168395681</v>
      </c>
      <c r="AB107" s="21">
        <f>EXP(-LN(2)/2)*AB106+(1-EXP(-LN(2)/2))/(LN(2)/2)*V107*Y107*VLOOKUP('Données projet'!$B$9,Paramètres!$A$1:$I$89,3,0)*0.475*44/12</f>
        <v>4.0592700397880474E-8</v>
      </c>
      <c r="AC107" s="22">
        <f t="shared" si="57"/>
        <v>58.80665414286652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-5.6843418860808015E-14</v>
      </c>
      <c r="O108" s="13">
        <f>N108*VLOOKUP('Données projet'!$B$9,Paramètres!$A$1:$I$89,3,0)*VLOOKUP('Données projet'!$B$9,Paramètres!$A$1:$I$89,5,0)</f>
        <v>-3.3992364478763198E-14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235.23085498936467</v>
      </c>
      <c r="T108" s="59">
        <f t="shared" si="88"/>
        <v>344.45763019921577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51.069366413487458</v>
      </c>
      <c r="AA108" s="21">
        <f>EXP(-LN(2)/25)*AA107+(1-EXP(-LN(2)/25))/(LN(2)/25)*Calculateur!V108*Calculateur!X108*VLOOKUP('Données projet'!$B$9,Paramètres!$A$1:$I$89,3,0)*0.475*44/12</f>
        <v>6.5321737674113729</v>
      </c>
      <c r="AB108" s="21">
        <f>EXP(-LN(2)/2)*AB107+(1-EXP(-LN(2)/2))/(LN(2)/2)*V108*Y108*VLOOKUP('Données projet'!$B$9,Paramètres!$A$1:$I$89,3,0)*0.475*44/12</f>
        <v>2.8703373718015151E-8</v>
      </c>
      <c r="AC108" s="22">
        <f t="shared" si="57"/>
        <v>57.601540209602206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-5.6843418860808015E-14</v>
      </c>
      <c r="O109" s="13">
        <f>N109*VLOOKUP('Données projet'!$B$9,Paramètres!$A$1:$I$89,3,0)*VLOOKUP('Données projet'!$B$9,Paramètres!$A$1:$I$89,5,0)</f>
        <v>-3.3992364478763198E-14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235.23085498936467</v>
      </c>
      <c r="T109" s="59">
        <f t="shared" si="88"/>
        <v>344.45763019921577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50.067927287356753</v>
      </c>
      <c r="AA109" s="21">
        <f>EXP(-LN(2)/25)*AA108+(1-EXP(-LN(2)/25))/(LN(2)/25)*Calculateur!V109*Calculateur!X109*VLOOKUP('Données projet'!$B$9,Paramètres!$A$1:$I$89,3,0)*0.475*44/12</f>
        <v>6.3535511322294198</v>
      </c>
      <c r="AB109" s="21">
        <f>EXP(-LN(2)/2)*AB108+(1-EXP(-LN(2)/2))/(LN(2)/2)*V109*Y109*VLOOKUP('Données projet'!$B$9,Paramètres!$A$1:$I$89,3,0)*0.475*44/12</f>
        <v>2.029635019894024E-8</v>
      </c>
      <c r="AC109" s="22">
        <f t="shared" si="57"/>
        <v>56.42147843988252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-5.6843418860808015E-14</v>
      </c>
      <c r="O110" s="13">
        <f>N110*VLOOKUP('Données projet'!$B$9,Paramètres!$A$1:$I$89,3,0)*VLOOKUP('Données projet'!$B$9,Paramètres!$A$1:$I$89,5,0)</f>
        <v>-3.3992364478763198E-14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235.23085498936467</v>
      </c>
      <c r="T110" s="59">
        <f t="shared" si="88"/>
        <v>344.45763019921577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49.086125771671917</v>
      </c>
      <c r="AA110" s="21">
        <f>EXP(-LN(2)/25)*AA109+(1-EXP(-LN(2)/25))/(LN(2)/25)*Calculateur!V110*Calculateur!X110*VLOOKUP('Données projet'!$B$9,Paramètres!$A$1:$I$89,3,0)*0.475*44/12</f>
        <v>6.1798129423998738</v>
      </c>
      <c r="AB110" s="21">
        <f>EXP(-LN(2)/2)*AB109+(1-EXP(-LN(2)/2))/(LN(2)/2)*V110*Y110*VLOOKUP('Données projet'!$B$9,Paramètres!$A$1:$I$89,3,0)*0.475*44/12</f>
        <v>1.4351686859007579E-8</v>
      </c>
      <c r="AC110" s="22">
        <f t="shared" si="57"/>
        <v>55.265938728423478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-5.6843418860808015E-14</v>
      </c>
      <c r="O111" s="13">
        <f>N111*VLOOKUP('Données projet'!$B$9,Paramètres!$A$1:$I$89,3,0)*VLOOKUP('Données projet'!$B$9,Paramètres!$A$1:$I$89,5,0)</f>
        <v>-3.3992364478763198E-14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235.23085498936467</v>
      </c>
      <c r="T111" s="59">
        <f t="shared" si="88"/>
        <v>344.45763019921577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48.123576784869861</v>
      </c>
      <c r="AA111" s="21">
        <f>EXP(-LN(2)/25)*AA110+(1-EXP(-LN(2)/25))/(LN(2)/25)*Calculateur!V111*Calculateur!X111*VLOOKUP('Données projet'!$B$9,Paramètres!$A$1:$I$89,3,0)*0.475*44/12</f>
        <v>6.0108256325077107</v>
      </c>
      <c r="AB111" s="21">
        <f>EXP(-LN(2)/2)*AB110+(1-EXP(-LN(2)/2))/(LN(2)/2)*V111*Y111*VLOOKUP('Données projet'!$B$9,Paramètres!$A$1:$I$89,3,0)*0.475*44/12</f>
        <v>1.0148175099470122E-8</v>
      </c>
      <c r="AC111" s="22">
        <f t="shared" si="57"/>
        <v>54.13440242752575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-5.6843418860808015E-14</v>
      </c>
      <c r="O112" s="13">
        <f>N112*VLOOKUP('Données projet'!$B$9,Paramètres!$A$1:$I$89,3,0)*VLOOKUP('Données projet'!$B$9,Paramètres!$A$1:$I$89,5,0)</f>
        <v>-3.3992364478763198E-14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235.23085498936467</v>
      </c>
      <c r="T112" s="59">
        <f t="shared" si="88"/>
        <v>344.45763019921577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47.179902796602086</v>
      </c>
      <c r="AA112" s="21">
        <f>EXP(-LN(2)/25)*AA111+(1-EXP(-LN(2)/25))/(LN(2)/25)*Calculateur!V112*Calculateur!X112*VLOOKUP('Données projet'!$B$9,Paramètres!$A$1:$I$89,3,0)*0.475*44/12</f>
        <v>5.8464592894912055</v>
      </c>
      <c r="AB112" s="21">
        <f>EXP(-LN(2)/2)*AB111+(1-EXP(-LN(2)/2))/(LN(2)/2)*V112*Y112*VLOOKUP('Données projet'!$B$9,Paramètres!$A$1:$I$89,3,0)*0.475*44/12</f>
        <v>7.1758434295037902E-9</v>
      </c>
      <c r="AC112" s="22">
        <f t="shared" si="57"/>
        <v>53.026362093269135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-5.6843418860808015E-14</v>
      </c>
      <c r="O113" s="13">
        <f>N113*VLOOKUP('Données projet'!$B$9,Paramètres!$A$1:$I$89,3,0)*VLOOKUP('Données projet'!$B$9,Paramètres!$A$1:$I$89,5,0)</f>
        <v>-3.3992364478763198E-14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235.23085498936467</v>
      </c>
      <c r="T113" s="59">
        <f t="shared" si="88"/>
        <v>344.45763019921577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46.254733679659942</v>
      </c>
      <c r="AA113" s="21">
        <f>EXP(-LN(2)/25)*AA112+(1-EXP(-LN(2)/25))/(LN(2)/25)*Calculateur!V113*Calculateur!X113*VLOOKUP('Données projet'!$B$9,Paramètres!$A$1:$I$89,3,0)*0.475*44/12</f>
        <v>5.6865875527681364</v>
      </c>
      <c r="AB113" s="21">
        <f>EXP(-LN(2)/2)*AB112+(1-EXP(-LN(2)/2))/(LN(2)/2)*V113*Y113*VLOOKUP('Données projet'!$B$9,Paramètres!$A$1:$I$89,3,0)*0.475*44/12</f>
        <v>5.0740875497350617E-9</v>
      </c>
      <c r="AC113" s="22">
        <f t="shared" si="57"/>
        <v>51.941321237502166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-5.6843418860808015E-14</v>
      </c>
      <c r="O114" s="13">
        <f>N114*VLOOKUP('Données projet'!$B$9,Paramètres!$A$1:$I$89,3,0)*VLOOKUP('Données projet'!$B$9,Paramètres!$A$1:$I$89,5,0)</f>
        <v>-3.3992364478763198E-14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235.23085498936467</v>
      </c>
      <c r="T114" s="59">
        <f t="shared" si="88"/>
        <v>344.45763019921577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45.347706564803595</v>
      </c>
      <c r="AA114" s="21">
        <f>EXP(-LN(2)/25)*AA113+(1-EXP(-LN(2)/25))/(LN(2)/25)*Calculateur!V114*Calculateur!X114*VLOOKUP('Données projet'!$B$9,Paramètres!$A$1:$I$89,3,0)*0.475*44/12</f>
        <v>5.5310875170930496</v>
      </c>
      <c r="AB114" s="21">
        <f>EXP(-LN(2)/2)*AB113+(1-EXP(-LN(2)/2))/(LN(2)/2)*V114*Y114*VLOOKUP('Données projet'!$B$9,Paramètres!$A$1:$I$89,3,0)*0.475*44/12</f>
        <v>3.5879217147518955E-9</v>
      </c>
      <c r="AC114" s="22">
        <f t="shared" si="57"/>
        <v>50.878794085484564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-5.6843418860808015E-14</v>
      </c>
      <c r="O115" s="13">
        <f>N115*VLOOKUP('Données projet'!$B$9,Paramètres!$A$1:$I$89,3,0)*VLOOKUP('Données projet'!$B$9,Paramètres!$A$1:$I$89,5,0)</f>
        <v>-3.3992364478763198E-14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235.23085498936467</v>
      </c>
      <c r="T115" s="59">
        <f t="shared" si="88"/>
        <v>344.45763019921577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44.458465698437664</v>
      </c>
      <c r="AA115" s="21">
        <f>EXP(-LN(2)/25)*AA114+(1-EXP(-LN(2)/25))/(LN(2)/25)*Calculateur!V115*Calculateur!X115*VLOOKUP('Données projet'!$B$9,Paramètres!$A$1:$I$89,3,0)*0.475*44/12</f>
        <v>5.3798396380708891</v>
      </c>
      <c r="AB115" s="21">
        <f>EXP(-LN(2)/2)*AB114+(1-EXP(-LN(2)/2))/(LN(2)/2)*V115*Y115*VLOOKUP('Données projet'!$B$9,Paramètres!$A$1:$I$89,3,0)*0.475*44/12</f>
        <v>2.5370437748675313E-9</v>
      </c>
      <c r="AC115" s="22">
        <f t="shared" si="57"/>
        <v>49.838305339045597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-5.6843418860808015E-14</v>
      </c>
      <c r="O116" s="13">
        <f>N116*VLOOKUP('Données projet'!$B$9,Paramètres!$A$1:$I$89,3,0)*VLOOKUP('Données projet'!$B$9,Paramètres!$A$1:$I$89,5,0)</f>
        <v>-3.3992364478763198E-14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235.23085498936467</v>
      </c>
      <c r="T116" s="59">
        <f t="shared" si="88"/>
        <v>344.45763019921577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43.586662303077794</v>
      </c>
      <c r="AA116" s="21">
        <f>EXP(-LN(2)/25)*AA115+(1-EXP(-LN(2)/25))/(LN(2)/25)*Calculateur!V116*Calculateur!X116*VLOOKUP('Données projet'!$B$9,Paramètres!$A$1:$I$89,3,0)*0.475*44/12</f>
        <v>5.2327276402543701</v>
      </c>
      <c r="AB116" s="21">
        <f>EXP(-LN(2)/2)*AB115+(1-EXP(-LN(2)/2))/(LN(2)/2)*V116*Y116*VLOOKUP('Données projet'!$B$9,Paramètres!$A$1:$I$89,3,0)*0.475*44/12</f>
        <v>1.7939608573759482E-9</v>
      </c>
      <c r="AC116" s="22">
        <f t="shared" si="57"/>
        <v>48.819389945126126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-5.6843418860808015E-14</v>
      </c>
      <c r="O117" s="13">
        <f>N117*VLOOKUP('Données projet'!$B$9,Paramètres!$A$1:$I$89,3,0)*VLOOKUP('Données projet'!$B$9,Paramètres!$A$1:$I$89,5,0)</f>
        <v>-3.3992364478763198E-14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235.23085498936467</v>
      </c>
      <c r="T117" s="59">
        <f t="shared" si="88"/>
        <v>344.45763019921577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42.731954440553366</v>
      </c>
      <c r="AA117" s="21">
        <f>EXP(-LN(2)/25)*AA116+(1-EXP(-LN(2)/25))/(LN(2)/25)*Calculateur!V117*Calculateur!X117*VLOOKUP('Données projet'!$B$9,Paramètres!$A$1:$I$89,3,0)*0.475*44/12</f>
        <v>5.0896384277544273</v>
      </c>
      <c r="AB117" s="21">
        <f>EXP(-LN(2)/2)*AB116+(1-EXP(-LN(2)/2))/(LN(2)/2)*V117*Y117*VLOOKUP('Données projet'!$B$9,Paramètres!$A$1:$I$89,3,0)*0.475*44/12</f>
        <v>1.2685218874337659E-9</v>
      </c>
      <c r="AC117" s="22">
        <f t="shared" si="57"/>
        <v>47.821592869576321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-5.6843418860808015E-14</v>
      </c>
      <c r="O118" s="13">
        <f>N118*VLOOKUP('Données projet'!$B$9,Paramètres!$A$1:$I$89,3,0)*VLOOKUP('Données projet'!$B$9,Paramètres!$A$1:$I$89,5,0)</f>
        <v>-3.3992364478763198E-14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235.23085498936467</v>
      </c>
      <c r="T118" s="59">
        <f t="shared" si="88"/>
        <v>344.45763019921577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41.894006877892728</v>
      </c>
      <c r="AA118" s="21">
        <f>EXP(-LN(2)/25)*AA117+(1-EXP(-LN(2)/25))/(LN(2)/25)*Calculateur!V118*Calculateur!X118*VLOOKUP('Données projet'!$B$9,Paramètres!$A$1:$I$89,3,0)*0.475*44/12</f>
        <v>4.9504619972950303</v>
      </c>
      <c r="AB118" s="21">
        <f>EXP(-LN(2)/2)*AB117+(1-EXP(-LN(2)/2))/(LN(2)/2)*V118*Y118*VLOOKUP('Données projet'!$B$9,Paramètres!$A$1:$I$89,3,0)*0.475*44/12</f>
        <v>8.9698042868797418E-10</v>
      </c>
      <c r="AC118" s="22">
        <f t="shared" si="57"/>
        <v>46.84446887608474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-5.6843418860808015E-14</v>
      </c>
      <c r="O119" s="13">
        <f>N119*VLOOKUP('Données projet'!$B$9,Paramètres!$A$1:$I$89,3,0)*VLOOKUP('Données projet'!$B$9,Paramètres!$A$1:$I$89,5,0)</f>
        <v>-3.3992364478763198E-14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235.23085498936467</v>
      </c>
      <c r="T119" s="59">
        <f t="shared" si="88"/>
        <v>344.45763019921577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41.072490955838319</v>
      </c>
      <c r="AA119" s="21">
        <f>EXP(-LN(2)/25)*AA118+(1-EXP(-LN(2)/25))/(LN(2)/25)*Calculateur!V119*Calculateur!X119*VLOOKUP('Données projet'!$B$9,Paramètres!$A$1:$I$89,3,0)*0.475*44/12</f>
        <v>4.8150913536455153</v>
      </c>
      <c r="AB119" s="21">
        <f>EXP(-LN(2)/2)*AB118+(1-EXP(-LN(2)/2))/(LN(2)/2)*V119*Y119*VLOOKUP('Données projet'!$B$9,Paramètres!$A$1:$I$89,3,0)*0.475*44/12</f>
        <v>6.3426094371688303E-10</v>
      </c>
      <c r="AC119" s="22">
        <f t="shared" si="57"/>
        <v>45.887582310118091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-5.6843418860808015E-14</v>
      </c>
      <c r="O120" s="13">
        <f>N120*VLOOKUP('Données projet'!$B$9,Paramètres!$A$1:$I$89,3,0)*VLOOKUP('Données projet'!$B$9,Paramètres!$A$1:$I$89,5,0)</f>
        <v>-3.3992364478763198E-14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235.23085498936467</v>
      </c>
      <c r="T120" s="59">
        <f t="shared" si="88"/>
        <v>344.45763019921577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40.267084459940158</v>
      </c>
      <c r="AA120" s="21">
        <f>EXP(-LN(2)/25)*AA119+(1-EXP(-LN(2)/25))/(LN(2)/25)*Calculateur!V120*Calculateur!X120*VLOOKUP('Données projet'!$B$9,Paramètres!$A$1:$I$89,3,0)*0.475*44/12</f>
        <v>4.6834224273654295</v>
      </c>
      <c r="AB120" s="21">
        <f>EXP(-LN(2)/2)*AB119+(1-EXP(-LN(2)/2))/(LN(2)/2)*V120*Y120*VLOOKUP('Données projet'!$B$9,Paramètres!$A$1:$I$89,3,0)*0.475*44/12</f>
        <v>4.4849021434398719E-10</v>
      </c>
      <c r="AC120" s="22">
        <f t="shared" si="57"/>
        <v>44.950506887754074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-5.6843418860808015E-14</v>
      </c>
      <c r="O121" s="13">
        <f>N121*VLOOKUP('Données projet'!$B$9,Paramètres!$A$1:$I$89,3,0)*VLOOKUP('Données projet'!$B$9,Paramètres!$A$1:$I$89,5,0)</f>
        <v>-3.3992364478763198E-14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235.23085498936467</v>
      </c>
      <c r="T121" s="59">
        <f t="shared" si="88"/>
        <v>344.45763019921577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39.477471494177102</v>
      </c>
      <c r="AA121" s="21">
        <f>EXP(-LN(2)/25)*AA120+(1-EXP(-LN(2)/25))/(LN(2)/25)*Calculateur!V121*Calculateur!X121*VLOOKUP('Données projet'!$B$9,Paramètres!$A$1:$I$89,3,0)*0.475*44/12</f>
        <v>4.5553539947986401</v>
      </c>
      <c r="AB121" s="21">
        <f>EXP(-LN(2)/2)*AB120+(1-EXP(-LN(2)/2))/(LN(2)/2)*V121*Y121*VLOOKUP('Données projet'!$B$9,Paramètres!$A$1:$I$89,3,0)*0.475*44/12</f>
        <v>3.1713047185844157E-10</v>
      </c>
      <c r="AC121" s="22">
        <f t="shared" si="57"/>
        <v>44.032825489292875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-5.6843418860808015E-14</v>
      </c>
      <c r="O122" s="13">
        <f>N122*VLOOKUP('Données projet'!$B$9,Paramètres!$A$1:$I$89,3,0)*VLOOKUP('Données projet'!$B$9,Paramètres!$A$1:$I$89,5,0)</f>
        <v>-3.3992364478763198E-14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235.23085498936467</v>
      </c>
      <c r="T122" s="59">
        <f t="shared" si="88"/>
        <v>344.45763019921577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38.703342357056307</v>
      </c>
      <c r="AA122" s="21">
        <f>EXP(-LN(2)/25)*AA121+(1-EXP(-LN(2)/25))/(LN(2)/25)*Calculateur!V122*Calculateur!X122*VLOOKUP('Données projet'!$B$9,Paramètres!$A$1:$I$89,3,0)*0.475*44/12</f>
        <v>4.4307876002552158</v>
      </c>
      <c r="AB122" s="21">
        <f>EXP(-LN(2)/2)*AB121+(1-EXP(-LN(2)/2))/(LN(2)/2)*V122*Y122*VLOOKUP('Données projet'!$B$9,Paramètres!$A$1:$I$89,3,0)*0.475*44/12</f>
        <v>2.2424510717199362E-10</v>
      </c>
      <c r="AC122" s="22">
        <f t="shared" si="57"/>
        <v>43.13412995753577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-5.6843418860808015E-14</v>
      </c>
      <c r="O123" s="13">
        <f>N123*VLOOKUP('Données projet'!$B$9,Paramètres!$A$1:$I$89,3,0)*VLOOKUP('Données projet'!$B$9,Paramètres!$A$1:$I$89,5,0)</f>
        <v>-3.3992364478763198E-14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235.23085498936467</v>
      </c>
      <c r="T123" s="59">
        <f t="shared" si="88"/>
        <v>344.45763019921577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37.944393420142305</v>
      </c>
      <c r="AA123" s="21">
        <f>EXP(-LN(2)/25)*AA122+(1-EXP(-LN(2)/25))/(LN(2)/25)*Calculateur!V123*Calculateur!X123*VLOOKUP('Données projet'!$B$9,Paramètres!$A$1:$I$89,3,0)*0.475*44/12</f>
        <v>4.309627480321244</v>
      </c>
      <c r="AB123" s="21">
        <f>EXP(-LN(2)/2)*AB122+(1-EXP(-LN(2)/2))/(LN(2)/2)*V123*Y123*VLOOKUP('Données projet'!$B$9,Paramètres!$A$1:$I$89,3,0)*0.475*44/12</f>
        <v>1.5856523592922081E-10</v>
      </c>
      <c r="AC123" s="22">
        <f t="shared" si="57"/>
        <v>42.254020900622116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-5.6843418860808015E-14</v>
      </c>
      <c r="O124" s="13">
        <f>N124*VLOOKUP('Données projet'!$B$9,Paramètres!$A$1:$I$89,3,0)*VLOOKUP('Données projet'!$B$9,Paramètres!$A$1:$I$89,5,0)</f>
        <v>-3.3992364478763198E-14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235.23085498936467</v>
      </c>
      <c r="T124" s="59">
        <f t="shared" si="88"/>
        <v>344.45763019921577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37.200327008968038</v>
      </c>
      <c r="AA124" s="21">
        <f>EXP(-LN(2)/25)*AA123+(1-EXP(-LN(2)/25))/(LN(2)/25)*Calculateur!V124*Calculateur!X124*VLOOKUP('Données projet'!$B$9,Paramètres!$A$1:$I$89,3,0)*0.475*44/12</f>
        <v>4.1917804902384006</v>
      </c>
      <c r="AB124" s="21">
        <f>EXP(-LN(2)/2)*AB123+(1-EXP(-LN(2)/2))/(LN(2)/2)*V124*Y124*VLOOKUP('Données projet'!$B$9,Paramètres!$A$1:$I$89,3,0)*0.475*44/12</f>
        <v>1.1212255358599682E-10</v>
      </c>
      <c r="AC124" s="22">
        <f t="shared" si="57"/>
        <v>41.392107499318563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-5.6843418860808015E-14</v>
      </c>
      <c r="O125" s="13">
        <f>N125*VLOOKUP('Données projet'!$B$9,Paramètres!$A$1:$I$89,3,0)*VLOOKUP('Données projet'!$B$9,Paramètres!$A$1:$I$89,5,0)</f>
        <v>-3.3992364478763198E-14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235.23085498936467</v>
      </c>
      <c r="T125" s="59">
        <f t="shared" si="88"/>
        <v>344.45763019921577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36.470851286281203</v>
      </c>
      <c r="AA125" s="21">
        <f>EXP(-LN(2)/25)*AA124+(1-EXP(-LN(2)/25))/(LN(2)/25)*Calculateur!V125*Calculateur!X125*VLOOKUP('Données projet'!$B$9,Paramètres!$A$1:$I$89,3,0)*0.475*44/12</f>
        <v>4.077156032296676</v>
      </c>
      <c r="AB125" s="21">
        <f>EXP(-LN(2)/2)*AB124+(1-EXP(-LN(2)/2))/(LN(2)/2)*V125*Y125*VLOOKUP('Données projet'!$B$9,Paramètres!$A$1:$I$89,3,0)*0.475*44/12</f>
        <v>7.9282617964610417E-11</v>
      </c>
      <c r="AC125" s="22">
        <f t="shared" si="57"/>
        <v>40.548007318657163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-5.6843418860808015E-14</v>
      </c>
      <c r="O126" s="13">
        <f>N126*VLOOKUP('Données projet'!$B$9,Paramètres!$A$1:$I$89,3,0)*VLOOKUP('Données projet'!$B$9,Paramètres!$A$1:$I$89,5,0)</f>
        <v>-3.3992364478763198E-14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235.23085498936467</v>
      </c>
      <c r="T126" s="59">
        <f t="shared" si="88"/>
        <v>344.45763019921577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35.755680137580001</v>
      </c>
      <c r="AA126" s="21">
        <f>EXP(-LN(2)/25)*AA125+(1-EXP(-LN(2)/25))/(LN(2)/25)*Calculateur!V126*Calculateur!X126*VLOOKUP('Données projet'!$B$9,Paramètres!$A$1:$I$89,3,0)*0.475*44/12</f>
        <v>3.9656659861852059</v>
      </c>
      <c r="AB126" s="21">
        <f>EXP(-LN(2)/2)*AB125+(1-EXP(-LN(2)/2))/(LN(2)/2)*V126*Y126*VLOOKUP('Données projet'!$B$9,Paramètres!$A$1:$I$89,3,0)*0.475*44/12</f>
        <v>5.6061276792998425E-11</v>
      </c>
      <c r="AC126" s="22">
        <f t="shared" si="57"/>
        <v>39.72134612382127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-5.6843418860808015E-14</v>
      </c>
      <c r="O127" s="13">
        <f>N127*VLOOKUP('Données projet'!$B$9,Paramètres!$A$1:$I$89,3,0)*VLOOKUP('Données projet'!$B$9,Paramètres!$A$1:$I$89,5,0)</f>
        <v>-3.3992364478763198E-14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235.23085498936467</v>
      </c>
      <c r="T127" s="59">
        <f t="shared" si="88"/>
        <v>344.45763019921577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35.054533058893497</v>
      </c>
      <c r="AA127" s="21">
        <f>EXP(-LN(2)/25)*AA126+(1-EXP(-LN(2)/25))/(LN(2)/25)*Calculateur!V127*Calculateur!X127*VLOOKUP('Données projet'!$B$9,Paramètres!$A$1:$I$89,3,0)*0.475*44/12</f>
        <v>3.8572246412476607</v>
      </c>
      <c r="AB127" s="21">
        <f>EXP(-LN(2)/2)*AB126+(1-EXP(-LN(2)/2))/(LN(2)/2)*V127*Y127*VLOOKUP('Données projet'!$B$9,Paramètres!$A$1:$I$89,3,0)*0.475*44/12</f>
        <v>3.9641308982305215E-11</v>
      </c>
      <c r="AC127" s="22">
        <f t="shared" si="57"/>
        <v>38.9117577001808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-5.6843418860808015E-14</v>
      </c>
      <c r="O128" s="13">
        <f>N128*VLOOKUP('Données projet'!$B$9,Paramètres!$A$1:$I$89,3,0)*VLOOKUP('Données projet'!$B$9,Paramètres!$A$1:$I$89,5,0)</f>
        <v>-3.3992364478763198E-14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235.23085498936467</v>
      </c>
      <c r="T128" s="59">
        <f t="shared" si="88"/>
        <v>344.45763019921577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34.367135046762549</v>
      </c>
      <c r="AA128" s="21">
        <f>EXP(-LN(2)/25)*AA127+(1-EXP(-LN(2)/25))/(LN(2)/25)*Calculateur!V128*Calculateur!X128*VLOOKUP('Données projet'!$B$9,Paramètres!$A$1:$I$89,3,0)*0.475*44/12</f>
        <v>3.7517486305901153</v>
      </c>
      <c r="AB128" s="21">
        <f>EXP(-LN(2)/2)*AB127+(1-EXP(-LN(2)/2))/(LN(2)/2)*V128*Y128*VLOOKUP('Données projet'!$B$9,Paramètres!$A$1:$I$89,3,0)*0.475*44/12</f>
        <v>2.8030638396499216E-11</v>
      </c>
      <c r="AC128" s="22">
        <f t="shared" si="57"/>
        <v>38.118883677380694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-5.6843418860808015E-14</v>
      </c>
      <c r="O129" s="13">
        <f>N129*VLOOKUP('Données projet'!$B$9,Paramètres!$A$1:$I$89,3,0)*VLOOKUP('Données projet'!$B$9,Paramètres!$A$1:$I$89,5,0)</f>
        <v>-3.3992364478763198E-14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235.23085498936467</v>
      </c>
      <c r="T129" s="59">
        <f t="shared" si="88"/>
        <v>344.45763019921577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33.693216490378099</v>
      </c>
      <c r="AA129" s="21">
        <f>EXP(-LN(2)/25)*AA128+(1-EXP(-LN(2)/25))/(LN(2)/25)*Calculateur!V129*Calculateur!X129*VLOOKUP('Données projet'!$B$9,Paramètres!$A$1:$I$89,3,0)*0.475*44/12</f>
        <v>3.6491568669907428</v>
      </c>
      <c r="AB129" s="21">
        <f>EXP(-LN(2)/2)*AB128+(1-EXP(-LN(2)/2))/(LN(2)/2)*V129*Y129*VLOOKUP('Données projet'!$B$9,Paramètres!$A$1:$I$89,3,0)*0.475*44/12</f>
        <v>1.9820654491152611E-11</v>
      </c>
      <c r="AC129" s="22">
        <f t="shared" si="57"/>
        <v>37.342373357388666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-5.6843418860808015E-14</v>
      </c>
      <c r="O130" s="13">
        <f>N130*VLOOKUP('Données projet'!$B$9,Paramètres!$A$1:$I$89,3,0)*VLOOKUP('Données projet'!$B$9,Paramètres!$A$1:$I$89,5,0)</f>
        <v>-3.3992364478763198E-14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235.23085498936467</v>
      </c>
      <c r="T130" s="59">
        <f t="shared" si="88"/>
        <v>344.45763019921577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33.032513065834614</v>
      </c>
      <c r="AA130" s="21">
        <f>EXP(-LN(2)/25)*AA129+(1-EXP(-LN(2)/25))/(LN(2)/25)*Calculateur!V130*Calculateur!X130*VLOOKUP('Données projet'!$B$9,Paramètres!$A$1:$I$89,3,0)*0.475*44/12</f>
        <v>3.5493704805620614</v>
      </c>
      <c r="AB130" s="21">
        <f>EXP(-LN(2)/2)*AB129+(1-EXP(-LN(2)/2))/(LN(2)/2)*V130*Y130*VLOOKUP('Données projet'!$B$9,Paramètres!$A$1:$I$89,3,0)*0.475*44/12</f>
        <v>1.4015319198249611E-11</v>
      </c>
      <c r="AC130" s="22">
        <f t="shared" si="57"/>
        <v>36.581883546410687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-5.6843418860808015E-14</v>
      </c>
      <c r="O131" s="13">
        <f>N131*VLOOKUP('Données projet'!$B$9,Paramètres!$A$1:$I$89,3,0)*VLOOKUP('Données projet'!$B$9,Paramètres!$A$1:$I$89,5,0)</f>
        <v>-3.3992364478763198E-14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235.23085498936467</v>
      </c>
      <c r="T131" s="59">
        <f t="shared" si="88"/>
        <v>344.45763019921577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32.384765632457132</v>
      </c>
      <c r="AA131" s="21">
        <f>EXP(-LN(2)/25)*AA130+(1-EXP(-LN(2)/25))/(LN(2)/25)*Calculateur!V131*Calculateur!X131*VLOOKUP('Données projet'!$B$9,Paramètres!$A$1:$I$89,3,0)*0.475*44/12</f>
        <v>3.4523127581178104</v>
      </c>
      <c r="AB131" s="21">
        <f>EXP(-LN(2)/2)*AB130+(1-EXP(-LN(2)/2))/(LN(2)/2)*V131*Y131*VLOOKUP('Données projet'!$B$9,Paramètres!$A$1:$I$89,3,0)*0.475*44/12</f>
        <v>9.910327245576307E-12</v>
      </c>
      <c r="AC131" s="22">
        <f t="shared" si="57"/>
        <v>35.837078390584857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-5.6843418860808015E-14</v>
      </c>
      <c r="O132" s="13">
        <f>N132*VLOOKUP('Données projet'!$B$9,Paramètres!$A$1:$I$89,3,0)*VLOOKUP('Données projet'!$B$9,Paramètres!$A$1:$I$89,5,0)</f>
        <v>-3.3992364478763198E-14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235.23085498936467</v>
      </c>
      <c r="T132" s="59">
        <f t="shared" si="88"/>
        <v>344.45763019921577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31.749720131161261</v>
      </c>
      <c r="AA132" s="21">
        <f>EXP(-LN(2)/25)*AA131+(1-EXP(-LN(2)/25))/(LN(2)/25)*Calculateur!V132*Calculateur!X132*VLOOKUP('Données projet'!$B$9,Paramètres!$A$1:$I$89,3,0)*0.475*44/12</f>
        <v>3.3579090841978414</v>
      </c>
      <c r="AB132" s="21">
        <f>EXP(-LN(2)/2)*AB131+(1-EXP(-LN(2)/2))/(LN(2)/2)*V132*Y132*VLOOKUP('Données projet'!$B$9,Paramètres!$A$1:$I$89,3,0)*0.475*44/12</f>
        <v>7.0076595991248064E-12</v>
      </c>
      <c r="AC132" s="22">
        <f t="shared" ref="AC132:AC153" si="111">SUM(Z132:AB132)</f>
        <v>35.10762921536611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-5.6843418860808015E-14</v>
      </c>
      <c r="O133" s="13">
        <f>N133*VLOOKUP('Données projet'!$B$9,Paramètres!$A$1:$I$89,3,0)*VLOOKUP('Données projet'!$B$9,Paramètres!$A$1:$I$89,5,0)</f>
        <v>-3.3992364478763198E-14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235.23085498936467</v>
      </c>
      <c r="T133" s="59">
        <f t="shared" ref="T133:T196" si="142">$T$3</f>
        <v>344.45763019921577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31.127127484806294</v>
      </c>
      <c r="AA133" s="21">
        <f>EXP(-LN(2)/25)*AA132+(1-EXP(-LN(2)/25))/(LN(2)/25)*Calculateur!V133*Calculateur!X133*VLOOKUP('Données projet'!$B$9,Paramètres!$A$1:$I$89,3,0)*0.475*44/12</f>
        <v>3.2660868837056873</v>
      </c>
      <c r="AB133" s="21">
        <f>EXP(-LN(2)/2)*AB132+(1-EXP(-LN(2)/2))/(LN(2)/2)*V133*Y133*VLOOKUP('Données projet'!$B$9,Paramètres!$A$1:$I$89,3,0)*0.475*44/12</f>
        <v>4.9551636227881543E-12</v>
      </c>
      <c r="AC133" s="22">
        <f t="shared" si="111"/>
        <v>34.393214368516936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-5.6843418860808015E-14</v>
      </c>
      <c r="O134" s="13">
        <f>N134*VLOOKUP('Données projet'!$B$9,Paramètres!$A$1:$I$89,3,0)*VLOOKUP('Données projet'!$B$9,Paramètres!$A$1:$I$89,5,0)</f>
        <v>-3.3992364478763198E-14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235.23085498936467</v>
      </c>
      <c r="T134" s="59">
        <f t="shared" si="142"/>
        <v>344.45763019921577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30.516743500502329</v>
      </c>
      <c r="AA134" s="21">
        <f>EXP(-LN(2)/25)*AA133+(1-EXP(-LN(2)/25))/(LN(2)/25)*Calculateur!V134*Calculateur!X134*VLOOKUP('Données projet'!$B$9,Paramètres!$A$1:$I$89,3,0)*0.475*44/12</f>
        <v>3.1767755661147108</v>
      </c>
      <c r="AB134" s="21">
        <f>EXP(-LN(2)/2)*AB133+(1-EXP(-LN(2)/2))/(LN(2)/2)*V134*Y134*VLOOKUP('Données projet'!$B$9,Paramètres!$A$1:$I$89,3,0)*0.475*44/12</f>
        <v>3.5038297995624036E-12</v>
      </c>
      <c r="AC134" s="22">
        <f t="shared" si="111"/>
        <v>33.693519066620546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-5.6843418860808015E-14</v>
      </c>
      <c r="O135" s="13">
        <f>N135*VLOOKUP('Données projet'!$B$9,Paramètres!$A$1:$I$89,3,0)*VLOOKUP('Données projet'!$B$9,Paramètres!$A$1:$I$89,5,0)</f>
        <v>-3.3992364478763198E-14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235.23085498936467</v>
      </c>
      <c r="T135" s="59">
        <f t="shared" si="142"/>
        <v>344.45763019921577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29.918328773833096</v>
      </c>
      <c r="AA135" s="21">
        <f>EXP(-LN(2)/25)*AA134+(1-EXP(-LN(2)/25))/(LN(2)/25)*Calculateur!V135*Calculateur!X135*VLOOKUP('Données projet'!$B$9,Paramètres!$A$1:$I$89,3,0)*0.475*44/12</f>
        <v>3.0899064711999378</v>
      </c>
      <c r="AB135" s="21">
        <f>EXP(-LN(2)/2)*AB134+(1-EXP(-LN(2)/2))/(LN(2)/2)*V135*Y135*VLOOKUP('Données projet'!$B$9,Paramètres!$A$1:$I$89,3,0)*0.475*44/12</f>
        <v>2.4775818113940772E-12</v>
      </c>
      <c r="AC135" s="22">
        <f t="shared" si="111"/>
        <v>33.008235245035515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-5.6843418860808015E-14</v>
      </c>
      <c r="O136" s="13">
        <f>N136*VLOOKUP('Données projet'!$B$9,Paramètres!$A$1:$I$89,3,0)*VLOOKUP('Données projet'!$B$9,Paramètres!$A$1:$I$89,5,0)</f>
        <v>-3.3992364478763198E-14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235.23085498936467</v>
      </c>
      <c r="T136" s="59">
        <f t="shared" si="142"/>
        <v>344.45763019921577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29.331648594956903</v>
      </c>
      <c r="AA136" s="21">
        <f>EXP(-LN(2)/25)*AA135+(1-EXP(-LN(2)/25))/(LN(2)/25)*Calculateur!V136*Calculateur!X136*VLOOKUP('Données projet'!$B$9,Paramètres!$A$1:$I$89,3,0)*0.475*44/12</f>
        <v>3.0054128162538563</v>
      </c>
      <c r="AB136" s="21">
        <f>EXP(-LN(2)/2)*AB135+(1-EXP(-LN(2)/2))/(LN(2)/2)*V136*Y136*VLOOKUP('Données projet'!$B$9,Paramètres!$A$1:$I$89,3,0)*0.475*44/12</f>
        <v>1.7519148997812018E-12</v>
      </c>
      <c r="AC136" s="22">
        <f t="shared" si="111"/>
        <v>32.337061411212517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-5.6843418860808015E-14</v>
      </c>
      <c r="O137" s="13">
        <f>N137*VLOOKUP('Données projet'!$B$9,Paramètres!$A$1:$I$89,3,0)*VLOOKUP('Données projet'!$B$9,Paramètres!$A$1:$I$89,5,0)</f>
        <v>-3.3992364478763198E-14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235.23085498936467</v>
      </c>
      <c r="T137" s="59">
        <f t="shared" si="142"/>
        <v>344.45763019921577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28.756472856548896</v>
      </c>
      <c r="AA137" s="21">
        <f>EXP(-LN(2)/25)*AA136+(1-EXP(-LN(2)/25))/(LN(2)/25)*Calculateur!V137*Calculateur!X137*VLOOKUP('Données projet'!$B$9,Paramètres!$A$1:$I$89,3,0)*0.475*44/12</f>
        <v>2.9232296447456037</v>
      </c>
      <c r="AB137" s="21">
        <f>EXP(-LN(2)/2)*AB136+(1-EXP(-LN(2)/2))/(LN(2)/2)*V137*Y137*VLOOKUP('Données projet'!$B$9,Paramètres!$A$1:$I$89,3,0)*0.475*44/12</f>
        <v>1.2387909056970386E-12</v>
      </c>
      <c r="AC137" s="22">
        <f t="shared" si="111"/>
        <v>31.67970250129574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-5.6843418860808015E-14</v>
      </c>
      <c r="O138" s="13">
        <f>N138*VLOOKUP('Données projet'!$B$9,Paramètres!$A$1:$I$89,3,0)*VLOOKUP('Données projet'!$B$9,Paramètres!$A$1:$I$89,5,0)</f>
        <v>-3.3992364478763198E-14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235.23085498936467</v>
      </c>
      <c r="T138" s="59">
        <f t="shared" si="142"/>
        <v>344.45763019921577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28.19257596354851</v>
      </c>
      <c r="AA138" s="21">
        <f>EXP(-LN(2)/25)*AA137+(1-EXP(-LN(2)/25))/(LN(2)/25)*Calculateur!V138*Calculateur!X138*VLOOKUP('Données projet'!$B$9,Paramètres!$A$1:$I$89,3,0)*0.475*44/12</f>
        <v>2.8432937763840691</v>
      </c>
      <c r="AB138" s="21">
        <f>EXP(-LN(2)/2)*AB137+(1-EXP(-LN(2)/2))/(LN(2)/2)*V138*Y138*VLOOKUP('Données projet'!$B$9,Paramètres!$A$1:$I$89,3,0)*0.475*44/12</f>
        <v>8.759574498906009E-13</v>
      </c>
      <c r="AC138" s="22">
        <f t="shared" si="111"/>
        <v>31.035869739933457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-5.6843418860808015E-14</v>
      </c>
      <c r="O139" s="13">
        <f>N139*VLOOKUP('Données projet'!$B$9,Paramètres!$A$1:$I$89,3,0)*VLOOKUP('Données projet'!$B$9,Paramètres!$A$1:$I$89,5,0)</f>
        <v>-3.3992364478763198E-14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235.23085498936467</v>
      </c>
      <c r="T139" s="59">
        <f t="shared" si="142"/>
        <v>344.45763019921577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27.639736744676721</v>
      </c>
      <c r="AA139" s="21">
        <f>EXP(-LN(2)/25)*AA138+(1-EXP(-LN(2)/25))/(LN(2)/25)*Calculateur!V139*Calculateur!X139*VLOOKUP('Données projet'!$B$9,Paramètres!$A$1:$I$89,3,0)*0.475*44/12</f>
        <v>2.7655437585465257</v>
      </c>
      <c r="AB139" s="21">
        <f>EXP(-LN(2)/2)*AB138+(1-EXP(-LN(2)/2))/(LN(2)/2)*V139*Y139*VLOOKUP('Données projet'!$B$9,Paramètres!$A$1:$I$89,3,0)*0.475*44/12</f>
        <v>6.1939545284851929E-13</v>
      </c>
      <c r="AC139" s="22">
        <f t="shared" si="111"/>
        <v>30.405280503223864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-5.6843418860808015E-14</v>
      </c>
      <c r="O140" s="13">
        <f>N140*VLOOKUP('Données projet'!$B$9,Paramètres!$A$1:$I$89,3,0)*VLOOKUP('Données projet'!$B$9,Paramètres!$A$1:$I$89,5,0)</f>
        <v>-3.3992364478763198E-14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235.23085498936467</v>
      </c>
      <c r="T140" s="59">
        <f t="shared" si="142"/>
        <v>344.45763019921577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27.097738365688379</v>
      </c>
      <c r="AA140" s="21">
        <f>EXP(-LN(2)/25)*AA139+(1-EXP(-LN(2)/25))/(LN(2)/25)*Calculateur!V140*Calculateur!X140*VLOOKUP('Données projet'!$B$9,Paramètres!$A$1:$I$89,3,0)*0.475*44/12</f>
        <v>2.6899198190354454</v>
      </c>
      <c r="AB140" s="21">
        <f>EXP(-LN(2)/2)*AB139+(1-EXP(-LN(2)/2))/(LN(2)/2)*V140*Y140*VLOOKUP('Données projet'!$B$9,Paramètres!$A$1:$I$89,3,0)*0.475*44/12</f>
        <v>4.3797872494530045E-13</v>
      </c>
      <c r="AC140" s="22">
        <f t="shared" si="111"/>
        <v>29.787658184724261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-5.6843418860808015E-14</v>
      </c>
      <c r="O141" s="13">
        <f>N141*VLOOKUP('Données projet'!$B$9,Paramètres!$A$1:$I$89,3,0)*VLOOKUP('Données projet'!$B$9,Paramètres!$A$1:$I$89,5,0)</f>
        <v>-3.3992364478763198E-14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235.23085498936467</v>
      </c>
      <c r="T141" s="59">
        <f t="shared" si="142"/>
        <v>344.45763019921577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26.566368244325631</v>
      </c>
      <c r="AA141" s="21">
        <f>EXP(-LN(2)/25)*AA140+(1-EXP(-LN(2)/25))/(LN(2)/25)*Calculateur!V141*Calculateur!X141*VLOOKUP('Données projet'!$B$9,Paramètres!$A$1:$I$89,3,0)*0.475*44/12</f>
        <v>2.6163638201271859</v>
      </c>
      <c r="AB141" s="21">
        <f>EXP(-LN(2)/2)*AB140+(1-EXP(-LN(2)/2))/(LN(2)/2)*V141*Y141*VLOOKUP('Données projet'!$B$9,Paramètres!$A$1:$I$89,3,0)*0.475*44/12</f>
        <v>3.0969772642425964E-13</v>
      </c>
      <c r="AC141" s="22">
        <f t="shared" si="111"/>
        <v>29.182732064453127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-5.6843418860808015E-14</v>
      </c>
      <c r="O142" s="13">
        <f>N142*VLOOKUP('Données projet'!$B$9,Paramètres!$A$1:$I$89,3,0)*VLOOKUP('Données projet'!$B$9,Paramètres!$A$1:$I$89,5,0)</f>
        <v>-3.3992364478763198E-14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235.23085498936467</v>
      </c>
      <c r="T142" s="59">
        <f t="shared" si="142"/>
        <v>344.45763019921577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26.045417966939034</v>
      </c>
      <c r="AA142" s="21">
        <f>EXP(-LN(2)/25)*AA141+(1-EXP(-LN(2)/25))/(LN(2)/25)*Calculateur!V142*Calculateur!X142*VLOOKUP('Données projet'!$B$9,Paramètres!$A$1:$I$89,3,0)*0.475*44/12</f>
        <v>2.5448192138772145</v>
      </c>
      <c r="AB142" s="21">
        <f>EXP(-LN(2)/2)*AB141+(1-EXP(-LN(2)/2))/(LN(2)/2)*V142*Y142*VLOOKUP('Données projet'!$B$9,Paramètres!$A$1:$I$89,3,0)*0.475*44/12</f>
        <v>2.1898936247265022E-13</v>
      </c>
      <c r="AC142" s="22">
        <f t="shared" si="111"/>
        <v>28.590237180816469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-5.6843418860808015E-14</v>
      </c>
      <c r="O143" s="13">
        <f>N143*VLOOKUP('Données projet'!$B$9,Paramètres!$A$1:$I$89,3,0)*VLOOKUP('Données projet'!$B$9,Paramètres!$A$1:$I$89,5,0)</f>
        <v>-3.3992364478763198E-14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235.23085498936467</v>
      </c>
      <c r="T143" s="59">
        <f t="shared" si="142"/>
        <v>344.45763019921577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25.534683206743694</v>
      </c>
      <c r="AA143" s="21">
        <f>EXP(-LN(2)/25)*AA142+(1-EXP(-LN(2)/25))/(LN(2)/25)*Calculateur!V143*Calculateur!X143*VLOOKUP('Données projet'!$B$9,Paramètres!$A$1:$I$89,3,0)*0.475*44/12</f>
        <v>2.4752309986475161</v>
      </c>
      <c r="AB143" s="21">
        <f>EXP(-LN(2)/2)*AB142+(1-EXP(-LN(2)/2))/(LN(2)/2)*V143*Y143*VLOOKUP('Données projet'!$B$9,Paramètres!$A$1:$I$89,3,0)*0.475*44/12</f>
        <v>1.5484886321212982E-13</v>
      </c>
      <c r="AC143" s="22">
        <f t="shared" si="111"/>
        <v>28.009914205391365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-5.6843418860808015E-14</v>
      </c>
      <c r="O144" s="13">
        <f>N144*VLOOKUP('Données projet'!$B$9,Paramètres!$A$1:$I$89,3,0)*VLOOKUP('Données projet'!$B$9,Paramètres!$A$1:$I$89,5,0)</f>
        <v>-3.3992364478763198E-14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235.23085498936467</v>
      </c>
      <c r="T144" s="59">
        <f t="shared" si="142"/>
        <v>344.45763019921577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25.033963643678341</v>
      </c>
      <c r="AA144" s="21">
        <f>EXP(-LN(2)/25)*AA143+(1-EXP(-LN(2)/25))/(LN(2)/25)*Calculateur!V144*Calculateur!X144*VLOOKUP('Données projet'!$B$9,Paramètres!$A$1:$I$89,3,0)*0.475*44/12</f>
        <v>2.4075456768227586</v>
      </c>
      <c r="AB144" s="21">
        <f>EXP(-LN(2)/2)*AB143+(1-EXP(-LN(2)/2))/(LN(2)/2)*V144*Y144*VLOOKUP('Données projet'!$B$9,Paramètres!$A$1:$I$89,3,0)*0.475*44/12</f>
        <v>1.0949468123632511E-13</v>
      </c>
      <c r="AC144" s="22">
        <f t="shared" si="111"/>
        <v>27.441509320501208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-5.6843418860808015E-14</v>
      </c>
      <c r="O145" s="13">
        <f>N145*VLOOKUP('Données projet'!$B$9,Paramètres!$A$1:$I$89,3,0)*VLOOKUP('Données projet'!$B$9,Paramètres!$A$1:$I$89,5,0)</f>
        <v>-3.3992364478763198E-14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235.23085498936467</v>
      </c>
      <c r="T145" s="59">
        <f t="shared" si="142"/>
        <v>344.45763019921577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24.543062885835923</v>
      </c>
      <c r="AA145" s="21">
        <f>EXP(-LN(2)/25)*AA144+(1-EXP(-LN(2)/25))/(LN(2)/25)*Calculateur!V145*Calculateur!X145*VLOOKUP('Données projet'!$B$9,Paramètres!$A$1:$I$89,3,0)*0.475*44/12</f>
        <v>2.3417112136827156</v>
      </c>
      <c r="AB145" s="21">
        <f>EXP(-LN(2)/2)*AB144+(1-EXP(-LN(2)/2))/(LN(2)/2)*V145*Y145*VLOOKUP('Données projet'!$B$9,Paramètres!$A$1:$I$89,3,0)*0.475*44/12</f>
        <v>7.7424431606064911E-14</v>
      </c>
      <c r="AC145" s="22">
        <f t="shared" si="111"/>
        <v>26.884774099518715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-5.6843418860808015E-14</v>
      </c>
      <c r="O146" s="13">
        <f>N146*VLOOKUP('Données projet'!$B$9,Paramètres!$A$1:$I$89,3,0)*VLOOKUP('Données projet'!$B$9,Paramètres!$A$1:$I$89,5,0)</f>
        <v>-3.3992364478763198E-14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235.23085498936467</v>
      </c>
      <c r="T146" s="59">
        <f t="shared" si="142"/>
        <v>344.45763019921577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24.061788392434895</v>
      </c>
      <c r="AA146" s="21">
        <f>EXP(-LN(2)/25)*AA145+(1-EXP(-LN(2)/25))/(LN(2)/25)*Calculateur!V146*Calculateur!X146*VLOOKUP('Données projet'!$B$9,Paramètres!$A$1:$I$89,3,0)*0.475*44/12</f>
        <v>2.2776769973993209</v>
      </c>
      <c r="AB146" s="21">
        <f>EXP(-LN(2)/2)*AB145+(1-EXP(-LN(2)/2))/(LN(2)/2)*V146*Y146*VLOOKUP('Données projet'!$B$9,Paramètres!$A$1:$I$89,3,0)*0.475*44/12</f>
        <v>5.4747340618162556E-14</v>
      </c>
      <c r="AC146" s="22">
        <f t="shared" si="111"/>
        <v>26.33946538983427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-5.6843418860808015E-14</v>
      </c>
      <c r="O147" s="13">
        <f>N147*VLOOKUP('Données projet'!$B$9,Paramètres!$A$1:$I$89,3,0)*VLOOKUP('Données projet'!$B$9,Paramètres!$A$1:$I$89,5,0)</f>
        <v>-3.3992364478763198E-14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235.23085498936467</v>
      </c>
      <c r="T147" s="59">
        <f t="shared" si="142"/>
        <v>344.45763019921577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23.589951398301007</v>
      </c>
      <c r="AA147" s="21">
        <f>EXP(-LN(2)/25)*AA146+(1-EXP(-LN(2)/25))/(LN(2)/25)*Calculateur!V147*Calculateur!X147*VLOOKUP('Données projet'!$B$9,Paramètres!$A$1:$I$89,3,0)*0.475*44/12</f>
        <v>2.2153938001276088</v>
      </c>
      <c r="AB147" s="21">
        <f>EXP(-LN(2)/2)*AB146+(1-EXP(-LN(2)/2))/(LN(2)/2)*V147*Y147*VLOOKUP('Données projet'!$B$9,Paramètres!$A$1:$I$89,3,0)*0.475*44/12</f>
        <v>3.8712215803032456E-14</v>
      </c>
      <c r="AC147" s="22">
        <f t="shared" si="111"/>
        <v>25.805345198428654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-5.6843418860808015E-14</v>
      </c>
      <c r="O148" s="13">
        <f>N148*VLOOKUP('Données projet'!$B$9,Paramètres!$A$1:$I$89,3,0)*VLOOKUP('Données projet'!$B$9,Paramètres!$A$1:$I$89,5,0)</f>
        <v>-3.3992364478763198E-14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235.23085498936467</v>
      </c>
      <c r="T148" s="59">
        <f t="shared" si="142"/>
        <v>344.45763019921577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23.127366839829936</v>
      </c>
      <c r="AA148" s="21">
        <f>EXP(-LN(2)/25)*AA147+(1-EXP(-LN(2)/25))/(LN(2)/25)*Calculateur!V148*Calculateur!X148*VLOOKUP('Données projet'!$B$9,Paramètres!$A$1:$I$89,3,0)*0.475*44/12</f>
        <v>2.1548137401606229</v>
      </c>
      <c r="AB148" s="21">
        <f>EXP(-LN(2)/2)*AB147+(1-EXP(-LN(2)/2))/(LN(2)/2)*V148*Y148*VLOOKUP('Données projet'!$B$9,Paramètres!$A$1:$I$89,3,0)*0.475*44/12</f>
        <v>2.7373670309081278E-14</v>
      </c>
      <c r="AC148" s="22">
        <f t="shared" si="111"/>
        <v>25.282180579990587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-5.6843418860808015E-14</v>
      </c>
      <c r="O149" s="13">
        <f>N149*VLOOKUP('Données projet'!$B$9,Paramètres!$A$1:$I$89,3,0)*VLOOKUP('Données projet'!$B$9,Paramètres!$A$1:$I$89,5,0)</f>
        <v>-3.3992364478763198E-14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235.23085498936467</v>
      </c>
      <c r="T149" s="59">
        <f t="shared" si="142"/>
        <v>344.45763019921577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22.673853282401762</v>
      </c>
      <c r="AA149" s="21">
        <f>EXP(-LN(2)/25)*AA148+(1-EXP(-LN(2)/25))/(LN(2)/25)*Calculateur!V149*Calculateur!X149*VLOOKUP('Données projet'!$B$9,Paramètres!$A$1:$I$89,3,0)*0.475*44/12</f>
        <v>2.0958902451192007</v>
      </c>
      <c r="AB149" s="21">
        <f>EXP(-LN(2)/2)*AB148+(1-EXP(-LN(2)/2))/(LN(2)/2)*V149*Y149*VLOOKUP('Données projet'!$B$9,Paramètres!$A$1:$I$89,3,0)*0.475*44/12</f>
        <v>1.9356107901516228E-14</v>
      </c>
      <c r="AC149" s="22">
        <f t="shared" si="111"/>
        <v>24.76974352752098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-5.6843418860808015E-14</v>
      </c>
      <c r="O150" s="13">
        <f>N150*VLOOKUP('Données projet'!$B$9,Paramètres!$A$1:$I$89,3,0)*VLOOKUP('Données projet'!$B$9,Paramètres!$A$1:$I$89,5,0)</f>
        <v>-3.3992364478763198E-14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235.23085498936467</v>
      </c>
      <c r="T150" s="59">
        <f t="shared" si="142"/>
        <v>344.45763019921577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22.229232849218796</v>
      </c>
      <c r="AA150" s="21">
        <f>EXP(-LN(2)/25)*AA149+(1-EXP(-LN(2)/25))/(LN(2)/25)*Calculateur!V150*Calculateur!X150*VLOOKUP('Données projet'!$B$9,Paramètres!$A$1:$I$89,3,0)*0.475*44/12</f>
        <v>2.0385780161483384</v>
      </c>
      <c r="AB150" s="21">
        <f>EXP(-LN(2)/2)*AB149+(1-EXP(-LN(2)/2))/(LN(2)/2)*V150*Y150*VLOOKUP('Données projet'!$B$9,Paramètres!$A$1:$I$89,3,0)*0.475*44/12</f>
        <v>1.3686835154540639E-14</v>
      </c>
      <c r="AC150" s="22">
        <f t="shared" si="111"/>
        <v>24.267810865367149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-5.6843418860808015E-14</v>
      </c>
      <c r="O151" s="13">
        <f>N151*VLOOKUP('Données projet'!$B$9,Paramètres!$A$1:$I$89,3,0)*VLOOKUP('Données projet'!$B$9,Paramètres!$A$1:$I$89,5,0)</f>
        <v>-3.3992364478763198E-14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235.23085498936467</v>
      </c>
      <c r="T151" s="59">
        <f t="shared" si="142"/>
        <v>344.45763019921577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21.793331151538865</v>
      </c>
      <c r="AA151" s="21">
        <f>EXP(-LN(2)/25)*AA150+(1-EXP(-LN(2)/25))/(LN(2)/25)*Calculateur!V151*Calculateur!X151*VLOOKUP('Données projet'!$B$9,Paramètres!$A$1:$I$89,3,0)*0.475*44/12</f>
        <v>1.9828329930926034</v>
      </c>
      <c r="AB151" s="21">
        <f>EXP(-LN(2)/2)*AB150+(1-EXP(-LN(2)/2))/(LN(2)/2)*V151*Y151*VLOOKUP('Données projet'!$B$9,Paramètres!$A$1:$I$89,3,0)*0.475*44/12</f>
        <v>9.6780539507581139E-15</v>
      </c>
      <c r="AC151" s="22">
        <f t="shared" si="111"/>
        <v>23.77616414463148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-5.6843418860808015E-14</v>
      </c>
      <c r="O152" s="13">
        <f>N152*VLOOKUP('Données projet'!$B$9,Paramètres!$A$1:$I$89,3,0)*VLOOKUP('Données projet'!$B$9,Paramètres!$A$1:$I$89,5,0)</f>
        <v>-3.3992364478763198E-14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235.23085498936467</v>
      </c>
      <c r="T152" s="59">
        <f t="shared" si="142"/>
        <v>344.45763019921577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21.365977220276655</v>
      </c>
      <c r="AA152" s="21">
        <f>EXP(-LN(2)/25)*AA151+(1-EXP(-LN(2)/25))/(LN(2)/25)*Calculateur!V152*Calculateur!X152*VLOOKUP('Données projet'!$B$9,Paramètres!$A$1:$I$89,3,0)*0.475*44/12</f>
        <v>1.9286123206238308</v>
      </c>
      <c r="AB152" s="21">
        <f>EXP(-LN(2)/2)*AB151+(1-EXP(-LN(2)/2))/(LN(2)/2)*V152*Y152*VLOOKUP('Données projet'!$B$9,Paramètres!$A$1:$I$89,3,0)*0.475*44/12</f>
        <v>6.8434175772703195E-15</v>
      </c>
      <c r="AC152" s="22">
        <f t="shared" si="111"/>
        <v>23.294589540900493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-5.6843418860808015E-14</v>
      </c>
      <c r="O153" s="13">
        <f>N153*VLOOKUP('Données projet'!$B$9,Paramètres!$A$1:$I$89,3,0)*VLOOKUP('Données projet'!$B$9,Paramètres!$A$1:$I$89,5,0)</f>
        <v>-3.3992364478763198E-14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235.23085498936467</v>
      </c>
      <c r="T153" s="59">
        <f t="shared" si="142"/>
        <v>344.45763019921577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20.947003438946336</v>
      </c>
      <c r="AA153" s="21">
        <f>EXP(-LN(2)/25)*AA152+(1-EXP(-LN(2)/25))/(LN(2)/25)*Calculateur!V153*Calculateur!X153*VLOOKUP('Données projet'!$B$9,Paramètres!$A$1:$I$89,3,0)*0.475*44/12</f>
        <v>1.8758743152950581</v>
      </c>
      <c r="AB153" s="21">
        <f>EXP(-LN(2)/2)*AB152+(1-EXP(-LN(2)/2))/(LN(2)/2)*V153*Y153*VLOOKUP('Données projet'!$B$9,Paramètres!$A$1:$I$89,3,0)*0.475*44/12</f>
        <v>4.8390269753790569E-15</v>
      </c>
      <c r="AC153" s="22">
        <f t="shared" si="111"/>
        <v>22.822877754241397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-5.6843418860808015E-14</v>
      </c>
      <c r="O154" s="13">
        <f>N154*VLOOKUP('Données projet'!$B$9,Paramètres!$A$1:$I$89,3,0)*VLOOKUP('Données projet'!$B$9,Paramètres!$A$1:$I$89,5,0)</f>
        <v>-3.3992364478763198E-14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235.23085498936467</v>
      </c>
      <c r="T154" s="59">
        <f t="shared" si="142"/>
        <v>344.45763019921577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20.536245477919131</v>
      </c>
      <c r="AA154" s="21">
        <f>EXP(-LN(2)/25)*AA153+(1-EXP(-LN(2)/25))/(LN(2)/25)*Calculateur!V154*Calculateur!X154*VLOOKUP('Données projet'!$B$9,Paramètres!$A$1:$I$89,3,0)*0.475*44/12</f>
        <v>1.8245784334953719</v>
      </c>
      <c r="AB154" s="21">
        <f>EXP(-LN(2)/2)*AB153+(1-EXP(-LN(2)/2))/(LN(2)/2)*V154*Y154*VLOOKUP('Données projet'!$B$9,Paramètres!$A$1:$I$89,3,0)*0.475*44/12</f>
        <v>3.4217087886351598E-15</v>
      </c>
      <c r="AC154" s="22">
        <f t="shared" ref="AC154:AC203" si="163">SUM(Z154:AB154)</f>
        <v>22.360823911414506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-5.6843418860808015E-14</v>
      </c>
      <c r="O155" s="13">
        <f>N155*VLOOKUP('Données projet'!$B$9,Paramètres!$A$1:$I$89,3,0)*VLOOKUP('Données projet'!$B$9,Paramètres!$A$1:$I$89,5,0)</f>
        <v>-3.3992364478763198E-14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235.23085498936467</v>
      </c>
      <c r="T155" s="59">
        <f t="shared" si="142"/>
        <v>344.45763019921577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20.13354222997005</v>
      </c>
      <c r="AA155" s="21">
        <f>EXP(-LN(2)/25)*AA154+(1-EXP(-LN(2)/25))/(LN(2)/25)*Calculateur!V155*Calculateur!X155*VLOOKUP('Données projet'!$B$9,Paramètres!$A$1:$I$89,3,0)*0.475*44/12</f>
        <v>1.7746852402810311</v>
      </c>
      <c r="AB155" s="21">
        <f>EXP(-LN(2)/2)*AB154+(1-EXP(-LN(2)/2))/(LN(2)/2)*V155*Y155*VLOOKUP('Données projet'!$B$9,Paramètres!$A$1:$I$89,3,0)*0.475*44/12</f>
        <v>2.4195134876895285E-15</v>
      </c>
      <c r="AC155" s="22">
        <f t="shared" si="163"/>
        <v>21.908227470251084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-5.6843418860808015E-14</v>
      </c>
      <c r="O156" s="13">
        <f>N156*VLOOKUP('Données projet'!$B$9,Paramètres!$A$1:$I$89,3,0)*VLOOKUP('Données projet'!$B$9,Paramètres!$A$1:$I$89,5,0)</f>
        <v>-3.3992364478763198E-14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235.23085498936467</v>
      </c>
      <c r="T156" s="59">
        <f t="shared" si="142"/>
        <v>344.45763019921577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19.738735747088523</v>
      </c>
      <c r="AA156" s="21">
        <f>EXP(-LN(2)/25)*AA155+(1-EXP(-LN(2)/25))/(LN(2)/25)*Calculateur!V156*Calculateur!X156*VLOOKUP('Données projet'!$B$9,Paramètres!$A$1:$I$89,3,0)*0.475*44/12</f>
        <v>1.7261563790589056</v>
      </c>
      <c r="AB156" s="21">
        <f>EXP(-LN(2)/2)*AB155+(1-EXP(-LN(2)/2))/(LN(2)/2)*V156*Y156*VLOOKUP('Données projet'!$B$9,Paramètres!$A$1:$I$89,3,0)*0.475*44/12</f>
        <v>1.7108543943175799E-15</v>
      </c>
      <c r="AC156" s="22">
        <f t="shared" si="163"/>
        <v>21.464892126147429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-5.6843418860808015E-14</v>
      </c>
      <c r="O157" s="13">
        <f>N157*VLOOKUP('Données projet'!$B$9,Paramètres!$A$1:$I$89,3,0)*VLOOKUP('Données projet'!$B$9,Paramètres!$A$1:$I$89,5,0)</f>
        <v>-3.3992364478763198E-14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235.23085498936467</v>
      </c>
      <c r="T157" s="59">
        <f t="shared" si="142"/>
        <v>344.45763019921577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19.351671178528125</v>
      </c>
      <c r="AA157" s="21">
        <f>EXP(-LN(2)/25)*AA156+(1-EXP(-LN(2)/25))/(LN(2)/25)*Calculateur!V157*Calculateur!X157*VLOOKUP('Données projet'!$B$9,Paramètres!$A$1:$I$89,3,0)*0.475*44/12</f>
        <v>1.6789545420989211</v>
      </c>
      <c r="AB157" s="21">
        <f>EXP(-LN(2)/2)*AB156+(1-EXP(-LN(2)/2))/(LN(2)/2)*V157*Y157*VLOOKUP('Données projet'!$B$9,Paramètres!$A$1:$I$89,3,0)*0.475*44/12</f>
        <v>1.2097567438447642E-15</v>
      </c>
      <c r="AC157" s="22">
        <f t="shared" si="163"/>
        <v>21.030625720627047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-5.6843418860808015E-14</v>
      </c>
      <c r="O158" s="13">
        <f>N158*VLOOKUP('Données projet'!$B$9,Paramètres!$A$1:$I$89,3,0)*VLOOKUP('Données projet'!$B$9,Paramètres!$A$1:$I$89,5,0)</f>
        <v>-3.3992364478763198E-14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235.23085498936467</v>
      </c>
      <c r="T158" s="59">
        <f t="shared" si="142"/>
        <v>344.45763019921577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18.972196710071124</v>
      </c>
      <c r="AA158" s="21">
        <f>EXP(-LN(2)/25)*AA157+(1-EXP(-LN(2)/25))/(LN(2)/25)*Calculateur!V158*Calculateur!X158*VLOOKUP('Données projet'!$B$9,Paramètres!$A$1:$I$89,3,0)*0.475*44/12</f>
        <v>1.6330434418528441</v>
      </c>
      <c r="AB158" s="21">
        <f>EXP(-LN(2)/2)*AB157+(1-EXP(-LN(2)/2))/(LN(2)/2)*V158*Y158*VLOOKUP('Données projet'!$B$9,Paramètres!$A$1:$I$89,3,0)*0.475*44/12</f>
        <v>8.5542719715878994E-16</v>
      </c>
      <c r="AC158" s="22">
        <f t="shared" si="163"/>
        <v>20.605240151923969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-5.6843418860808015E-14</v>
      </c>
      <c r="O159" s="13">
        <f>N159*VLOOKUP('Données projet'!$B$9,Paramètres!$A$1:$I$89,3,0)*VLOOKUP('Données projet'!$B$9,Paramètres!$A$1:$I$89,5,0)</f>
        <v>-3.3992364478763198E-14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235.23085498936467</v>
      </c>
      <c r="T159" s="59">
        <f t="shared" si="142"/>
        <v>344.45763019921577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18.600163504483991</v>
      </c>
      <c r="AA159" s="21">
        <f>EXP(-LN(2)/25)*AA158+(1-EXP(-LN(2)/25))/(LN(2)/25)*Calculateur!V159*Calculateur!X159*VLOOKUP('Données projet'!$B$9,Paramètres!$A$1:$I$89,3,0)*0.475*44/12</f>
        <v>1.5883877830573558</v>
      </c>
      <c r="AB159" s="21">
        <f>EXP(-LN(2)/2)*AB158+(1-EXP(-LN(2)/2))/(LN(2)/2)*V159*Y159*VLOOKUP('Données projet'!$B$9,Paramètres!$A$1:$I$89,3,0)*0.475*44/12</f>
        <v>6.0487837192238212E-16</v>
      </c>
      <c r="AC159" s="22">
        <f t="shared" si="163"/>
        <v>20.188551287541348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-5.6843418860808015E-14</v>
      </c>
      <c r="O160" s="13">
        <f>N160*VLOOKUP('Données projet'!$B$9,Paramètres!$A$1:$I$89,3,0)*VLOOKUP('Données projet'!$B$9,Paramètres!$A$1:$I$89,5,0)</f>
        <v>-3.3992364478763198E-14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235.23085498936467</v>
      </c>
      <c r="T160" s="59">
        <f t="shared" si="142"/>
        <v>344.45763019921577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18.235425643140573</v>
      </c>
      <c r="AA160" s="21">
        <f>EXP(-LN(2)/25)*AA159+(1-EXP(-LN(2)/25))/(LN(2)/25)*Calculateur!V160*Calculateur!X160*VLOOKUP('Données projet'!$B$9,Paramètres!$A$1:$I$89,3,0)*0.475*44/12</f>
        <v>1.5449532355999693</v>
      </c>
      <c r="AB160" s="21">
        <f>EXP(-LN(2)/2)*AB159+(1-EXP(-LN(2)/2))/(LN(2)/2)*V160*Y160*VLOOKUP('Données projet'!$B$9,Paramètres!$A$1:$I$89,3,0)*0.475*44/12</f>
        <v>4.2771359857939497E-16</v>
      </c>
      <c r="AC160" s="22">
        <f t="shared" si="163"/>
        <v>19.780378878740542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-5.6843418860808015E-14</v>
      </c>
      <c r="O161" s="13">
        <f>N161*VLOOKUP('Données projet'!$B$9,Paramètres!$A$1:$I$89,3,0)*VLOOKUP('Données projet'!$B$9,Paramètres!$A$1:$I$89,5,0)</f>
        <v>-3.3992364478763198E-14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235.23085498936467</v>
      </c>
      <c r="T161" s="59">
        <f t="shared" si="142"/>
        <v>344.45763019921577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17.877840068789972</v>
      </c>
      <c r="AA161" s="21">
        <f>EXP(-LN(2)/25)*AA160+(1-EXP(-LN(2)/25))/(LN(2)/25)*Calculateur!V161*Calculateur!X161*VLOOKUP('Données projet'!$B$9,Paramètres!$A$1:$I$89,3,0)*0.475*44/12</f>
        <v>1.5027064081269286</v>
      </c>
      <c r="AB161" s="21">
        <f>EXP(-LN(2)/2)*AB160+(1-EXP(-LN(2)/2))/(LN(2)/2)*V161*Y161*VLOOKUP('Données projet'!$B$9,Paramètres!$A$1:$I$89,3,0)*0.475*44/12</f>
        <v>3.0243918596119106E-16</v>
      </c>
      <c r="AC161" s="22">
        <f t="shared" si="163"/>
        <v>19.380546476916901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-5.6843418860808015E-14</v>
      </c>
      <c r="O162" s="13">
        <f>N162*VLOOKUP('Données projet'!$B$9,Paramètres!$A$1:$I$89,3,0)*VLOOKUP('Données projet'!$B$9,Paramètres!$A$1:$I$89,5,0)</f>
        <v>-3.3992364478763198E-14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235.23085498936467</v>
      </c>
      <c r="T162" s="59">
        <f t="shared" si="142"/>
        <v>344.45763019921577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17.52726652944672</v>
      </c>
      <c r="AA162" s="21">
        <f>EXP(-LN(2)/25)*AA161+(1-EXP(-LN(2)/25))/(LN(2)/25)*Calculateur!V162*Calculateur!X162*VLOOKUP('Données projet'!$B$9,Paramètres!$A$1:$I$89,3,0)*0.475*44/12</f>
        <v>1.4616148223728023</v>
      </c>
      <c r="AB162" s="21">
        <f>EXP(-LN(2)/2)*AB161+(1-EXP(-LN(2)/2))/(LN(2)/2)*V162*Y162*VLOOKUP('Données projet'!$B$9,Paramètres!$A$1:$I$89,3,0)*0.475*44/12</f>
        <v>2.1385679928969749E-16</v>
      </c>
      <c r="AC162" s="22">
        <f t="shared" si="163"/>
        <v>18.988881351819522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-5.6843418860808015E-14</v>
      </c>
      <c r="O163" s="13">
        <f>N163*VLOOKUP('Données projet'!$B$9,Paramètres!$A$1:$I$89,3,0)*VLOOKUP('Données projet'!$B$9,Paramètres!$A$1:$I$89,5,0)</f>
        <v>-3.3992364478763198E-14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235.23085498936467</v>
      </c>
      <c r="T163" s="59">
        <f t="shared" si="142"/>
        <v>344.45763019921577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17.183567523381246</v>
      </c>
      <c r="AA163" s="21">
        <f>EXP(-LN(2)/25)*AA162+(1-EXP(-LN(2)/25))/(LN(2)/25)*Calculateur!V163*Calculateur!X163*VLOOKUP('Données projet'!$B$9,Paramètres!$A$1:$I$89,3,0)*0.475*44/12</f>
        <v>1.421646888192035</v>
      </c>
      <c r="AB163" s="21">
        <f>EXP(-LN(2)/2)*AB162+(1-EXP(-LN(2)/2))/(LN(2)/2)*V163*Y163*VLOOKUP('Données projet'!$B$9,Paramètres!$A$1:$I$89,3,0)*0.475*44/12</f>
        <v>1.5121959298059553E-16</v>
      </c>
      <c r="AC163" s="22">
        <f t="shared" si="163"/>
        <v>18.605214411573282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-5.6843418860808015E-14</v>
      </c>
      <c r="O164" s="13">
        <f>N164*VLOOKUP('Données projet'!$B$9,Paramètres!$A$1:$I$89,3,0)*VLOOKUP('Données projet'!$B$9,Paramètres!$A$1:$I$89,5,0)</f>
        <v>-3.3992364478763198E-14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235.23085498936467</v>
      </c>
      <c r="T164" s="59">
        <f t="shared" si="142"/>
        <v>344.45763019921577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16.846608245189021</v>
      </c>
      <c r="AA164" s="21">
        <f>EXP(-LN(2)/25)*AA163+(1-EXP(-LN(2)/25))/(LN(2)/25)*Calculateur!V164*Calculateur!X164*VLOOKUP('Données projet'!$B$9,Paramètres!$A$1:$I$89,3,0)*0.475*44/12</f>
        <v>1.3827718792732631</v>
      </c>
      <c r="AB164" s="21">
        <f>EXP(-LN(2)/2)*AB163+(1-EXP(-LN(2)/2))/(LN(2)/2)*V164*Y164*VLOOKUP('Données projet'!$B$9,Paramètres!$A$1:$I$89,3,0)*0.475*44/12</f>
        <v>1.0692839964484874E-16</v>
      </c>
      <c r="AC164" s="22">
        <f t="shared" si="163"/>
        <v>18.229380124462285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-5.6843418860808015E-14</v>
      </c>
      <c r="O165" s="13">
        <f>N165*VLOOKUP('Données projet'!$B$9,Paramètres!$A$1:$I$89,3,0)*VLOOKUP('Données projet'!$B$9,Paramètres!$A$1:$I$89,5,0)</f>
        <v>-3.3992364478763198E-14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235.23085498936467</v>
      </c>
      <c r="T165" s="59">
        <f t="shared" si="142"/>
        <v>344.45763019921577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16.516256532917282</v>
      </c>
      <c r="AA165" s="21">
        <f>EXP(-LN(2)/25)*AA164+(1-EXP(-LN(2)/25))/(LN(2)/25)*Calculateur!V165*Calculateur!X165*VLOOKUP('Données projet'!$B$9,Paramètres!$A$1:$I$89,3,0)*0.475*44/12</f>
        <v>1.3449599095177229</v>
      </c>
      <c r="AB165" s="21">
        <f>EXP(-LN(2)/2)*AB164+(1-EXP(-LN(2)/2))/(LN(2)/2)*V165*Y165*VLOOKUP('Données projet'!$B$9,Paramètres!$A$1:$I$89,3,0)*0.475*44/12</f>
        <v>7.5609796490297765E-17</v>
      </c>
      <c r="AC165" s="22">
        <f t="shared" si="163"/>
        <v>17.861216442435005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-5.6843418860808015E-14</v>
      </c>
      <c r="O166" s="13">
        <f>N166*VLOOKUP('Données projet'!$B$9,Paramètres!$A$1:$I$89,3,0)*VLOOKUP('Données projet'!$B$9,Paramètres!$A$1:$I$89,5,0)</f>
        <v>-3.3992364478763198E-14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235.23085498936467</v>
      </c>
      <c r="T166" s="59">
        <f t="shared" si="142"/>
        <v>344.45763019921577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16.192382816228541</v>
      </c>
      <c r="AA166" s="21">
        <f>EXP(-LN(2)/25)*AA165+(1-EXP(-LN(2)/25))/(LN(2)/25)*Calculateur!V166*Calculateur!X166*VLOOKUP('Données projet'!$B$9,Paramètres!$A$1:$I$89,3,0)*0.475*44/12</f>
        <v>1.3081819100635932</v>
      </c>
      <c r="AB166" s="21">
        <f>EXP(-LN(2)/2)*AB165+(1-EXP(-LN(2)/2))/(LN(2)/2)*V166*Y166*VLOOKUP('Données projet'!$B$9,Paramètres!$A$1:$I$89,3,0)*0.475*44/12</f>
        <v>5.3464199822424371E-17</v>
      </c>
      <c r="AC166" s="22">
        <f t="shared" si="163"/>
        <v>17.500564726292133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-5.6843418860808015E-14</v>
      </c>
      <c r="O167" s="13">
        <f>N167*VLOOKUP('Données projet'!$B$9,Paramètres!$A$1:$I$89,3,0)*VLOOKUP('Données projet'!$B$9,Paramètres!$A$1:$I$89,5,0)</f>
        <v>-3.3992364478763198E-14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235.23085498936467</v>
      </c>
      <c r="T167" s="59">
        <f t="shared" si="142"/>
        <v>344.45763019921577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15.874860065580606</v>
      </c>
      <c r="AA167" s="21">
        <f>EXP(-LN(2)/25)*AA166+(1-EXP(-LN(2)/25))/(LN(2)/25)*Calculateur!V167*Calculateur!X167*VLOOKUP('Données projet'!$B$9,Paramètres!$A$1:$I$89,3,0)*0.475*44/12</f>
        <v>1.2724096069386075</v>
      </c>
      <c r="AB167" s="21">
        <f>EXP(-LN(2)/2)*AB166+(1-EXP(-LN(2)/2))/(LN(2)/2)*V167*Y167*VLOOKUP('Données projet'!$B$9,Paramètres!$A$1:$I$89,3,0)*0.475*44/12</f>
        <v>3.7804898245148882E-17</v>
      </c>
      <c r="AC167" s="22">
        <f t="shared" si="163"/>
        <v>17.147269672519215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-5.6843418860808015E-14</v>
      </c>
      <c r="O168" s="13">
        <f>N168*VLOOKUP('Données projet'!$B$9,Paramètres!$A$1:$I$89,3,0)*VLOOKUP('Données projet'!$B$9,Paramètres!$A$1:$I$89,5,0)</f>
        <v>-3.3992364478763198E-14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235.23085498936467</v>
      </c>
      <c r="T168" s="59">
        <f t="shared" si="142"/>
        <v>344.45763019921577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15.563563742403122</v>
      </c>
      <c r="AA168" s="21">
        <f>EXP(-LN(2)/25)*AA167+(1-EXP(-LN(2)/25))/(LN(2)/25)*Calculateur!V168*Calculateur!X168*VLOOKUP('Données projet'!$B$9,Paramètres!$A$1:$I$89,3,0)*0.475*44/12</f>
        <v>1.2376154993237583</v>
      </c>
      <c r="AB168" s="21">
        <f>EXP(-LN(2)/2)*AB167+(1-EXP(-LN(2)/2))/(LN(2)/2)*V168*Y168*VLOOKUP('Données projet'!$B$9,Paramètres!$A$1:$I$89,3,0)*0.475*44/12</f>
        <v>2.6732099911212186E-17</v>
      </c>
      <c r="AC168" s="22">
        <f t="shared" si="163"/>
        <v>16.801179241726881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-5.6843418860808015E-14</v>
      </c>
      <c r="O169" s="13">
        <f>N169*VLOOKUP('Données projet'!$B$9,Paramètres!$A$1:$I$89,3,0)*VLOOKUP('Données projet'!$B$9,Paramètres!$A$1:$I$89,5,0)</f>
        <v>-3.3992364478763198E-14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235.23085498936467</v>
      </c>
      <c r="T169" s="59">
        <f t="shared" si="142"/>
        <v>344.45763019921577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15.25837175025114</v>
      </c>
      <c r="AA169" s="21">
        <f>EXP(-LN(2)/25)*AA168+(1-EXP(-LN(2)/25))/(LN(2)/25)*Calculateur!V169*Calculateur!X169*VLOOKUP('Données projet'!$B$9,Paramètres!$A$1:$I$89,3,0)*0.475*44/12</f>
        <v>1.2037728384113795</v>
      </c>
      <c r="AB169" s="21">
        <f>EXP(-LN(2)/2)*AB168+(1-EXP(-LN(2)/2))/(LN(2)/2)*V169*Y169*VLOOKUP('Données projet'!$B$9,Paramètres!$A$1:$I$89,3,0)*0.475*44/12</f>
        <v>1.8902449122574441E-17</v>
      </c>
      <c r="AC169" s="22">
        <f t="shared" si="163"/>
        <v>16.462144588662518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-5.6843418860808015E-14</v>
      </c>
      <c r="O170" s="13">
        <f>N170*VLOOKUP('Données projet'!$B$9,Paramètres!$A$1:$I$89,3,0)*VLOOKUP('Données projet'!$B$9,Paramètres!$A$1:$I$89,5,0)</f>
        <v>-3.3992364478763198E-14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235.23085498936467</v>
      </c>
      <c r="T170" s="59">
        <f t="shared" si="142"/>
        <v>344.45763019921577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14.959164386916523</v>
      </c>
      <c r="AA170" s="21">
        <f>EXP(-LN(2)/25)*AA169+(1-EXP(-LN(2)/25))/(LN(2)/25)*Calculateur!V170*Calculateur!X170*VLOOKUP('Données projet'!$B$9,Paramètres!$A$1:$I$89,3,0)*0.475*44/12</f>
        <v>1.170855606841358</v>
      </c>
      <c r="AB170" s="21">
        <f>EXP(-LN(2)/2)*AB169+(1-EXP(-LN(2)/2))/(LN(2)/2)*V170*Y170*VLOOKUP('Données projet'!$B$9,Paramètres!$A$1:$I$89,3,0)*0.475*44/12</f>
        <v>1.3366049955606093E-17</v>
      </c>
      <c r="AC170" s="22">
        <f t="shared" si="163"/>
        <v>16.13001999375788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-5.6843418860808015E-14</v>
      </c>
      <c r="O171" s="13">
        <f>N171*VLOOKUP('Données projet'!$B$9,Paramètres!$A$1:$I$89,3,0)*VLOOKUP('Données projet'!$B$9,Paramètres!$A$1:$I$89,5,0)</f>
        <v>-3.3992364478763198E-14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235.23085498936467</v>
      </c>
      <c r="T171" s="59">
        <f t="shared" si="142"/>
        <v>344.45763019921577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14.665824297478427</v>
      </c>
      <c r="AA171" s="21">
        <f>EXP(-LN(2)/25)*AA170+(1-EXP(-LN(2)/25))/(LN(2)/25)*Calculateur!V171*Calculateur!X171*VLOOKUP('Données projet'!$B$9,Paramètres!$A$1:$I$89,3,0)*0.475*44/12</f>
        <v>1.1388384986996607</v>
      </c>
      <c r="AB171" s="21">
        <f>EXP(-LN(2)/2)*AB170+(1-EXP(-LN(2)/2))/(LN(2)/2)*V171*Y171*VLOOKUP('Données projet'!$B$9,Paramètres!$A$1:$I$89,3,0)*0.475*44/12</f>
        <v>9.4512245612872206E-18</v>
      </c>
      <c r="AC171" s="22">
        <f t="shared" si="163"/>
        <v>15.804662796178087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-5.6843418860808015E-14</v>
      </c>
      <c r="O172" s="13">
        <f>N172*VLOOKUP('Données projet'!$B$9,Paramètres!$A$1:$I$89,3,0)*VLOOKUP('Données projet'!$B$9,Paramètres!$A$1:$I$89,5,0)</f>
        <v>-3.3992364478763198E-14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235.23085498936467</v>
      </c>
      <c r="T172" s="59">
        <f t="shared" si="142"/>
        <v>344.45763019921577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14.378236428274423</v>
      </c>
      <c r="AA172" s="21">
        <f>EXP(-LN(2)/25)*AA171+(1-EXP(-LN(2)/25))/(LN(2)/25)*Calculateur!V172*Calculateur!X172*VLOOKUP('Données projet'!$B$9,Paramètres!$A$1:$I$89,3,0)*0.475*44/12</f>
        <v>1.1076969000638046</v>
      </c>
      <c r="AB172" s="21">
        <f>EXP(-LN(2)/2)*AB171+(1-EXP(-LN(2)/2))/(LN(2)/2)*V172*Y172*VLOOKUP('Données projet'!$B$9,Paramètres!$A$1:$I$89,3,0)*0.475*44/12</f>
        <v>6.6830249778030464E-18</v>
      </c>
      <c r="AC172" s="22">
        <f t="shared" si="163"/>
        <v>15.485933328338227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-5.6843418860808015E-14</v>
      </c>
      <c r="O173" s="13">
        <f>N173*VLOOKUP('Données projet'!$B$9,Paramètres!$A$1:$I$89,3,0)*VLOOKUP('Données projet'!$B$9,Paramètres!$A$1:$I$89,5,0)</f>
        <v>-3.3992364478763198E-14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235.23085498936467</v>
      </c>
      <c r="T173" s="59">
        <f t="shared" si="142"/>
        <v>344.45763019921577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14.096287981774232</v>
      </c>
      <c r="AA173" s="21">
        <f>EXP(-LN(2)/25)*AA172+(1-EXP(-LN(2)/25))/(LN(2)/25)*Calculateur!V173*Calculateur!X173*VLOOKUP('Données projet'!$B$9,Paramètres!$A$1:$I$89,3,0)*0.475*44/12</f>
        <v>1.0774068700803117</v>
      </c>
      <c r="AB173" s="21">
        <f>EXP(-LN(2)/2)*AB172+(1-EXP(-LN(2)/2))/(LN(2)/2)*V173*Y173*VLOOKUP('Données projet'!$B$9,Paramètres!$A$1:$I$89,3,0)*0.475*44/12</f>
        <v>4.7256122806436103E-18</v>
      </c>
      <c r="AC173" s="22">
        <f t="shared" si="163"/>
        <v>15.173694851854544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-5.6843418860808015E-14</v>
      </c>
      <c r="O174" s="13">
        <f>N174*VLOOKUP('Données projet'!$B$9,Paramètres!$A$1:$I$89,3,0)*VLOOKUP('Données projet'!$B$9,Paramètres!$A$1:$I$89,5,0)</f>
        <v>-3.3992364478763198E-14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235.23085498936467</v>
      </c>
      <c r="T174" s="59">
        <f t="shared" si="142"/>
        <v>344.45763019921577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13.819868372338338</v>
      </c>
      <c r="AA174" s="21">
        <f>EXP(-LN(2)/25)*AA173+(1-EXP(-LN(2)/25))/(LN(2)/25)*Calculateur!V174*Calculateur!X174*VLOOKUP('Données projet'!$B$9,Paramètres!$A$1:$I$89,3,0)*0.475*44/12</f>
        <v>1.0479451225596006</v>
      </c>
      <c r="AB174" s="21">
        <f>EXP(-LN(2)/2)*AB173+(1-EXP(-LN(2)/2))/(LN(2)/2)*V174*Y174*VLOOKUP('Données projet'!$B$9,Paramètres!$A$1:$I$89,3,0)*0.475*44/12</f>
        <v>3.3415124889015232E-18</v>
      </c>
      <c r="AC174" s="22">
        <f t="shared" si="163"/>
        <v>14.867813494897938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-5.6843418860808015E-14</v>
      </c>
      <c r="O175" s="13">
        <f>N175*VLOOKUP('Données projet'!$B$9,Paramètres!$A$1:$I$89,3,0)*VLOOKUP('Données projet'!$B$9,Paramètres!$A$1:$I$89,5,0)</f>
        <v>-3.3992364478763198E-14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235.23085498936467</v>
      </c>
      <c r="T175" s="59">
        <f t="shared" si="142"/>
        <v>344.45763019921577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13.548869182844166</v>
      </c>
      <c r="AA175" s="21">
        <f>EXP(-LN(2)/25)*AA174+(1-EXP(-LN(2)/25))/(LN(2)/25)*Calculateur!V175*Calculateur!X175*VLOOKUP('Données projet'!$B$9,Paramètres!$A$1:$I$89,3,0)*0.475*44/12</f>
        <v>1.0192890080741694</v>
      </c>
      <c r="AB175" s="21">
        <f>EXP(-LN(2)/2)*AB174+(1-EXP(-LN(2)/2))/(LN(2)/2)*V175*Y175*VLOOKUP('Données projet'!$B$9,Paramètres!$A$1:$I$89,3,0)*0.475*44/12</f>
        <v>2.3628061403218052E-18</v>
      </c>
      <c r="AC175" s="22">
        <f t="shared" si="163"/>
        <v>14.568158190918336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-5.6843418860808015E-14</v>
      </c>
      <c r="O176" s="13">
        <f>N176*VLOOKUP('Données projet'!$B$9,Paramètres!$A$1:$I$89,3,0)*VLOOKUP('Données projet'!$B$9,Paramètres!$A$1:$I$89,5,0)</f>
        <v>-3.3992364478763198E-14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235.23085498936467</v>
      </c>
      <c r="T176" s="59">
        <f t="shared" si="142"/>
        <v>344.45763019921577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13.283184122162792</v>
      </c>
      <c r="AA176" s="21">
        <f>EXP(-LN(2)/25)*AA175+(1-EXP(-LN(2)/25))/(LN(2)/25)*Calculateur!V176*Calculateur!X176*VLOOKUP('Données projet'!$B$9,Paramètres!$A$1:$I$89,3,0)*0.475*44/12</f>
        <v>0.99141649654630193</v>
      </c>
      <c r="AB176" s="21">
        <f>EXP(-LN(2)/2)*AB175+(1-EXP(-LN(2)/2))/(LN(2)/2)*V176*Y176*VLOOKUP('Données projet'!$B$9,Paramètres!$A$1:$I$89,3,0)*0.475*44/12</f>
        <v>1.6707562444507616E-18</v>
      </c>
      <c r="AC176" s="22">
        <f t="shared" si="163"/>
        <v>14.274600618709094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-5.6843418860808015E-14</v>
      </c>
      <c r="O177" s="13">
        <f>N177*VLOOKUP('Données projet'!$B$9,Paramètres!$A$1:$I$89,3,0)*VLOOKUP('Données projet'!$B$9,Paramètres!$A$1:$I$89,5,0)</f>
        <v>-3.3992364478763198E-14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235.23085498936467</v>
      </c>
      <c r="T177" s="59">
        <f t="shared" si="142"/>
        <v>344.45763019921577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13.022708983469494</v>
      </c>
      <c r="AA177" s="21">
        <f>EXP(-LN(2)/25)*AA176+(1-EXP(-LN(2)/25))/(LN(2)/25)*Calculateur!V177*Calculateur!X177*VLOOKUP('Données projet'!$B$9,Paramètres!$A$1:$I$89,3,0)*0.475*44/12</f>
        <v>0.96430616031191563</v>
      </c>
      <c r="AB177" s="21">
        <f>EXP(-LN(2)/2)*AB176+(1-EXP(-LN(2)/2))/(LN(2)/2)*V177*Y177*VLOOKUP('Données projet'!$B$9,Paramètres!$A$1:$I$89,3,0)*0.475*44/12</f>
        <v>1.1814030701609026E-18</v>
      </c>
      <c r="AC177" s="22">
        <f t="shared" si="163"/>
        <v>13.987015143781409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-5.6843418860808015E-14</v>
      </c>
      <c r="O178" s="13">
        <f>N178*VLOOKUP('Données projet'!$B$9,Paramètres!$A$1:$I$89,3,0)*VLOOKUP('Données projet'!$B$9,Paramètres!$A$1:$I$89,5,0)</f>
        <v>-3.3992364478763198E-14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235.23085498936467</v>
      </c>
      <c r="T178" s="59">
        <f t="shared" si="142"/>
        <v>344.45763019921577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12.767341603371824</v>
      </c>
      <c r="AA178" s="21">
        <f>EXP(-LN(2)/25)*AA177+(1-EXP(-LN(2)/25))/(LN(2)/25)*Calculateur!V178*Calculateur!X178*VLOOKUP('Données projet'!$B$9,Paramètres!$A$1:$I$89,3,0)*0.475*44/12</f>
        <v>0.93793715764752927</v>
      </c>
      <c r="AB178" s="21">
        <f>EXP(-LN(2)/2)*AB177+(1-EXP(-LN(2)/2))/(LN(2)/2)*V178*Y178*VLOOKUP('Données projet'!$B$9,Paramètres!$A$1:$I$89,3,0)*0.475*44/12</f>
        <v>8.353781222253808E-19</v>
      </c>
      <c r="AC178" s="22">
        <f t="shared" si="163"/>
        <v>13.705278761019352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-5.6843418860808015E-14</v>
      </c>
      <c r="O179" s="13">
        <f>N179*VLOOKUP('Données projet'!$B$9,Paramètres!$A$1:$I$89,3,0)*VLOOKUP('Données projet'!$B$9,Paramètres!$A$1:$I$89,5,0)</f>
        <v>-3.3992364478763198E-14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235.23085498936467</v>
      </c>
      <c r="T179" s="59">
        <f t="shared" si="142"/>
        <v>344.45763019921577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12.516981821839147</v>
      </c>
      <c r="AA179" s="21">
        <f>EXP(-LN(2)/25)*AA178+(1-EXP(-LN(2)/25))/(LN(2)/25)*Calculateur!V179*Calculateur!X179*VLOOKUP('Données projet'!$B$9,Paramètres!$A$1:$I$89,3,0)*0.475*44/12</f>
        <v>0.91228921674768615</v>
      </c>
      <c r="AB179" s="21">
        <f>EXP(-LN(2)/2)*AB178+(1-EXP(-LN(2)/2))/(LN(2)/2)*V179*Y179*VLOOKUP('Données projet'!$B$9,Paramètres!$A$1:$I$89,3,0)*0.475*44/12</f>
        <v>5.9070153508045129E-19</v>
      </c>
      <c r="AC179" s="22">
        <f t="shared" si="163"/>
        <v>13.429271038586833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-5.6843418860808015E-14</v>
      </c>
      <c r="O180" s="13">
        <f>N180*VLOOKUP('Données projet'!$B$9,Paramètres!$A$1:$I$89,3,0)*VLOOKUP('Données projet'!$B$9,Paramètres!$A$1:$I$89,5,0)</f>
        <v>-3.3992364478763198E-14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235.23085498936467</v>
      </c>
      <c r="T180" s="59">
        <f t="shared" si="142"/>
        <v>344.45763019921577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12.271531442917938</v>
      </c>
      <c r="AA180" s="21">
        <f>EXP(-LN(2)/25)*AA179+(1-EXP(-LN(2)/25))/(LN(2)/25)*Calculateur!V180*Calculateur!X180*VLOOKUP('Données projet'!$B$9,Paramètres!$A$1:$I$89,3,0)*0.475*44/12</f>
        <v>0.88734262014051579</v>
      </c>
      <c r="AB180" s="21">
        <f>EXP(-LN(2)/2)*AB179+(1-EXP(-LN(2)/2))/(LN(2)/2)*V180*Y180*VLOOKUP('Données projet'!$B$9,Paramètres!$A$1:$I$89,3,0)*0.475*44/12</f>
        <v>4.176890611126904E-19</v>
      </c>
      <c r="AC180" s="22">
        <f t="shared" si="163"/>
        <v>13.158874063058454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-5.6843418860808015E-14</v>
      </c>
      <c r="O181" s="13">
        <f>N181*VLOOKUP('Données projet'!$B$9,Paramètres!$A$1:$I$89,3,0)*VLOOKUP('Données projet'!$B$9,Paramètres!$A$1:$I$89,5,0)</f>
        <v>-3.3992364478763198E-14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235.23085498936467</v>
      </c>
      <c r="T181" s="59">
        <f t="shared" si="142"/>
        <v>344.45763019921577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12.030894196217426</v>
      </c>
      <c r="AA181" s="21">
        <f>EXP(-LN(2)/25)*AA180+(1-EXP(-LN(2)/25))/(LN(2)/25)*Calculateur!V181*Calculateur!X181*VLOOKUP('Données projet'!$B$9,Paramètres!$A$1:$I$89,3,0)*0.475*44/12</f>
        <v>0.86307818952945303</v>
      </c>
      <c r="AB181" s="21">
        <f>EXP(-LN(2)/2)*AB180+(1-EXP(-LN(2)/2))/(LN(2)/2)*V181*Y181*VLOOKUP('Données projet'!$B$9,Paramètres!$A$1:$I$89,3,0)*0.475*44/12</f>
        <v>2.9535076754022564E-19</v>
      </c>
      <c r="AC181" s="22">
        <f t="shared" si="163"/>
        <v>12.89397238574688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-5.6843418860808015E-14</v>
      </c>
      <c r="O182" s="13">
        <f>N182*VLOOKUP('Données projet'!$B$9,Paramètres!$A$1:$I$89,3,0)*VLOOKUP('Données projet'!$B$9,Paramètres!$A$1:$I$89,5,0)</f>
        <v>-3.3992364478763198E-14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235.23085498936467</v>
      </c>
      <c r="T182" s="59">
        <f t="shared" si="142"/>
        <v>344.45763019921577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11.794975699150482</v>
      </c>
      <c r="AA182" s="21">
        <f>EXP(-LN(2)/25)*AA181+(1-EXP(-LN(2)/25))/(LN(2)/25)*Calculateur!V182*Calculateur!X182*VLOOKUP('Données projet'!$B$9,Paramètres!$A$1:$I$89,3,0)*0.475*44/12</f>
        <v>0.83947727104946079</v>
      </c>
      <c r="AB182" s="21">
        <f>EXP(-LN(2)/2)*AB181+(1-EXP(-LN(2)/2))/(LN(2)/2)*V182*Y182*VLOOKUP('Données projet'!$B$9,Paramètres!$A$1:$I$89,3,0)*0.475*44/12</f>
        <v>2.088445305563452E-19</v>
      </c>
      <c r="AC182" s="22">
        <f t="shared" si="163"/>
        <v>12.634452970199943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-5.6843418860808015E-14</v>
      </c>
      <c r="O183" s="13">
        <f>N183*VLOOKUP('Données projet'!$B$9,Paramètres!$A$1:$I$89,3,0)*VLOOKUP('Données projet'!$B$9,Paramètres!$A$1:$I$89,5,0)</f>
        <v>-3.3992364478763198E-14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235.23085498936467</v>
      </c>
      <c r="T183" s="59">
        <f t="shared" si="142"/>
        <v>344.45763019921577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11.563683419914947</v>
      </c>
      <c r="AA183" s="21">
        <f>EXP(-LN(2)/25)*AA182+(1-EXP(-LN(2)/25))/(LN(2)/25)*Calculateur!V183*Calculateur!X183*VLOOKUP('Données projet'!$B$9,Paramètres!$A$1:$I$89,3,0)*0.475*44/12</f>
        <v>0.81652172092642228</v>
      </c>
      <c r="AB183" s="21">
        <f>EXP(-LN(2)/2)*AB182+(1-EXP(-LN(2)/2))/(LN(2)/2)*V183*Y183*VLOOKUP('Données projet'!$B$9,Paramètres!$A$1:$I$89,3,0)*0.475*44/12</f>
        <v>1.4767538377011282E-19</v>
      </c>
      <c r="AC183" s="22">
        <f t="shared" si="163"/>
        <v>12.380205140841369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-5.6843418860808015E-14</v>
      </c>
      <c r="O184" s="13">
        <f>N184*VLOOKUP('Données projet'!$B$9,Paramètres!$A$1:$I$89,3,0)*VLOOKUP('Données projet'!$B$9,Paramètres!$A$1:$I$89,5,0)</f>
        <v>-3.3992364478763198E-14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235.23085498936467</v>
      </c>
      <c r="T184" s="59">
        <f t="shared" si="142"/>
        <v>344.45763019921577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11.33692664120086</v>
      </c>
      <c r="AA184" s="21">
        <f>EXP(-LN(2)/25)*AA183+(1-EXP(-LN(2)/25))/(LN(2)/25)*Calculateur!V184*Calculateur!X184*VLOOKUP('Données projet'!$B$9,Paramètres!$A$1:$I$89,3,0)*0.475*44/12</f>
        <v>0.79419389152867814</v>
      </c>
      <c r="AB184" s="21">
        <f>EXP(-LN(2)/2)*AB183+(1-EXP(-LN(2)/2))/(LN(2)/2)*V184*Y184*VLOOKUP('Données projet'!$B$9,Paramètres!$A$1:$I$89,3,0)*0.475*44/12</f>
        <v>1.044222652781726E-19</v>
      </c>
      <c r="AC184" s="22">
        <f t="shared" si="163"/>
        <v>12.131120532729538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-5.6843418860808015E-14</v>
      </c>
      <c r="O185" s="13">
        <f>N185*VLOOKUP('Données projet'!$B$9,Paramètres!$A$1:$I$89,3,0)*VLOOKUP('Données projet'!$B$9,Paramètres!$A$1:$I$89,5,0)</f>
        <v>-3.3992364478763198E-14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235.23085498936467</v>
      </c>
      <c r="T185" s="59">
        <f t="shared" si="142"/>
        <v>344.45763019921577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11.114616424609379</v>
      </c>
      <c r="AA185" s="21">
        <f>EXP(-LN(2)/25)*AA184+(1-EXP(-LN(2)/25))/(LN(2)/25)*Calculateur!V185*Calculateur!X185*VLOOKUP('Données projet'!$B$9,Paramètres!$A$1:$I$89,3,0)*0.475*44/12</f>
        <v>0.77247661779998489</v>
      </c>
      <c r="AB185" s="21">
        <f>EXP(-LN(2)/2)*AB184+(1-EXP(-LN(2)/2))/(LN(2)/2)*V185*Y185*VLOOKUP('Données projet'!$B$9,Paramètres!$A$1:$I$89,3,0)*0.475*44/12</f>
        <v>7.3837691885056411E-20</v>
      </c>
      <c r="AC185" s="22">
        <f t="shared" si="163"/>
        <v>11.887093042409363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-5.6843418860808015E-14</v>
      </c>
      <c r="O186" s="13">
        <f>N186*VLOOKUP('Données projet'!$B$9,Paramètres!$A$1:$I$89,3,0)*VLOOKUP('Données projet'!$B$9,Paramètres!$A$1:$I$89,5,0)</f>
        <v>-3.3992364478763198E-14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235.23085498936467</v>
      </c>
      <c r="T186" s="59">
        <f t="shared" si="142"/>
        <v>344.45763019921577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10.896665575769413</v>
      </c>
      <c r="AA186" s="21">
        <f>EXP(-LN(2)/25)*AA185+(1-EXP(-LN(2)/25))/(LN(2)/25)*Calculateur!V186*Calculateur!X186*VLOOKUP('Données projet'!$B$9,Paramètres!$A$1:$I$89,3,0)*0.475*44/12</f>
        <v>0.75135320406346451</v>
      </c>
      <c r="AB186" s="21">
        <f>EXP(-LN(2)/2)*AB185+(1-EXP(-LN(2)/2))/(LN(2)/2)*V186*Y186*VLOOKUP('Données projet'!$B$9,Paramètres!$A$1:$I$89,3,0)*0.475*44/12</f>
        <v>5.22111326390863E-20</v>
      </c>
      <c r="AC186" s="22">
        <f t="shared" si="163"/>
        <v>11.648018779832878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-5.6843418860808015E-14</v>
      </c>
      <c r="O187" s="13">
        <f>N187*VLOOKUP('Données projet'!$B$9,Paramètres!$A$1:$I$89,3,0)*VLOOKUP('Données projet'!$B$9,Paramètres!$A$1:$I$89,5,0)</f>
        <v>-3.3992364478763198E-14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235.23085498936467</v>
      </c>
      <c r="T187" s="59">
        <f t="shared" si="142"/>
        <v>344.45763019921577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10.682988610138308</v>
      </c>
      <c r="AA187" s="21">
        <f>EXP(-LN(2)/25)*AA186+(1-EXP(-LN(2)/25))/(LN(2)/25)*Calculateur!V187*Calculateur!X187*VLOOKUP('Données projet'!$B$9,Paramètres!$A$1:$I$89,3,0)*0.475*44/12</f>
        <v>0.73080741118640136</v>
      </c>
      <c r="AB187" s="21">
        <f>EXP(-LN(2)/2)*AB186+(1-EXP(-LN(2)/2))/(LN(2)/2)*V187*Y187*VLOOKUP('Données projet'!$B$9,Paramètres!$A$1:$I$89,3,0)*0.475*44/12</f>
        <v>3.6918845942528205E-20</v>
      </c>
      <c r="AC187" s="22">
        <f t="shared" si="163"/>
        <v>11.413796021324709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-5.6843418860808015E-14</v>
      </c>
      <c r="O188" s="13">
        <f>N188*VLOOKUP('Données projet'!$B$9,Paramètres!$A$1:$I$89,3,0)*VLOOKUP('Données projet'!$B$9,Paramètres!$A$1:$I$89,5,0)</f>
        <v>-3.3992364478763198E-14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235.23085498936467</v>
      </c>
      <c r="T188" s="59">
        <f t="shared" si="142"/>
        <v>344.45763019921577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10.473501719473148</v>
      </c>
      <c r="AA188" s="21">
        <f>EXP(-LN(2)/25)*AA187+(1-EXP(-LN(2)/25))/(LN(2)/25)*Calculateur!V188*Calculateur!X188*VLOOKUP('Données projet'!$B$9,Paramètres!$A$1:$I$89,3,0)*0.475*44/12</f>
        <v>0.71082344409601772</v>
      </c>
      <c r="AB188" s="21">
        <f>EXP(-LN(2)/2)*AB187+(1-EXP(-LN(2)/2))/(LN(2)/2)*V188*Y188*VLOOKUP('Données projet'!$B$9,Paramètres!$A$1:$I$89,3,0)*0.475*44/12</f>
        <v>2.610556631954315E-20</v>
      </c>
      <c r="AC188" s="22">
        <f t="shared" si="163"/>
        <v>11.184325163569167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-5.6843418860808015E-14</v>
      </c>
      <c r="O189" s="13">
        <f>N189*VLOOKUP('Données projet'!$B$9,Paramètres!$A$1:$I$89,3,0)*VLOOKUP('Données projet'!$B$9,Paramètres!$A$1:$I$89,5,0)</f>
        <v>-3.3992364478763198E-14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235.23085498936467</v>
      </c>
      <c r="T189" s="59">
        <f t="shared" si="142"/>
        <v>344.45763019921577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10.268122738959546</v>
      </c>
      <c r="AA189" s="21">
        <f>EXP(-LN(2)/25)*AA188+(1-EXP(-LN(2)/25))/(LN(2)/25)*Calculateur!V189*Calculateur!X189*VLOOKUP('Données projet'!$B$9,Paramètres!$A$1:$I$89,3,0)*0.475*44/12</f>
        <v>0.69138593963663175</v>
      </c>
      <c r="AB189" s="21">
        <f>EXP(-LN(2)/2)*AB188+(1-EXP(-LN(2)/2))/(LN(2)/2)*V189*Y189*VLOOKUP('Données projet'!$B$9,Paramètres!$A$1:$I$89,3,0)*0.475*44/12</f>
        <v>1.8459422971264103E-20</v>
      </c>
      <c r="AC189" s="22">
        <f t="shared" si="163"/>
        <v>10.959508678596178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-5.6843418860808015E-14</v>
      </c>
      <c r="O190" s="13">
        <f>N190*VLOOKUP('Données projet'!$B$9,Paramètres!$A$1:$I$89,3,0)*VLOOKUP('Données projet'!$B$9,Paramètres!$A$1:$I$89,5,0)</f>
        <v>-3.3992364478763198E-14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235.23085498936467</v>
      </c>
      <c r="T190" s="59">
        <f t="shared" si="142"/>
        <v>344.45763019921577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10.066771114985006</v>
      </c>
      <c r="AA190" s="21">
        <f>EXP(-LN(2)/25)*AA189+(1-EXP(-LN(2)/25))/(LN(2)/25)*Calculateur!V190*Calculateur!X190*VLOOKUP('Données projet'!$B$9,Paramètres!$A$1:$I$89,3,0)*0.475*44/12</f>
        <v>0.67247995475886169</v>
      </c>
      <c r="AB190" s="21">
        <f>EXP(-LN(2)/2)*AB189+(1-EXP(-LN(2)/2))/(LN(2)/2)*V190*Y190*VLOOKUP('Données projet'!$B$9,Paramètres!$A$1:$I$89,3,0)*0.475*44/12</f>
        <v>1.3052783159771575E-20</v>
      </c>
      <c r="AC190" s="22">
        <f t="shared" si="163"/>
        <v>10.739251069743867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-5.6843418860808015E-14</v>
      </c>
      <c r="O191" s="13">
        <f>N191*VLOOKUP('Données projet'!$B$9,Paramètres!$A$1:$I$89,3,0)*VLOOKUP('Données projet'!$B$9,Paramètres!$A$1:$I$89,5,0)</f>
        <v>-3.3992364478763198E-14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235.23085498936467</v>
      </c>
      <c r="T191" s="59">
        <f t="shared" si="142"/>
        <v>344.45763019921577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9.8693678735442436</v>
      </c>
      <c r="AA191" s="21">
        <f>EXP(-LN(2)/25)*AA190+(1-EXP(-LN(2)/25))/(LN(2)/25)*Calculateur!V191*Calculateur!X191*VLOOKUP('Données projet'!$B$9,Paramètres!$A$1:$I$89,3,0)*0.475*44/12</f>
        <v>0.65409095503179682</v>
      </c>
      <c r="AB191" s="21">
        <f>EXP(-LN(2)/2)*AB190+(1-EXP(-LN(2)/2))/(LN(2)/2)*V191*Y191*VLOOKUP('Données projet'!$B$9,Paramètres!$A$1:$I$89,3,0)*0.475*44/12</f>
        <v>9.2297114856320514E-21</v>
      </c>
      <c r="AC191" s="22">
        <f t="shared" si="163"/>
        <v>10.52345882857604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-5.6843418860808015E-14</v>
      </c>
      <c r="O192" s="13">
        <f>N192*VLOOKUP('Données projet'!$B$9,Paramètres!$A$1:$I$89,3,0)*VLOOKUP('Données projet'!$B$9,Paramètres!$A$1:$I$89,5,0)</f>
        <v>-3.3992364478763198E-14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235.23085498936467</v>
      </c>
      <c r="T192" s="59">
        <f t="shared" si="142"/>
        <v>344.45763019921577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9.6758355892640466</v>
      </c>
      <c r="AA192" s="21">
        <f>EXP(-LN(2)/25)*AA191+(1-EXP(-LN(2)/25))/(LN(2)/25)*Calculateur!V192*Calculateur!X192*VLOOKUP('Données projet'!$B$9,Paramètres!$A$1:$I$89,3,0)*0.475*44/12</f>
        <v>0.63620480346930397</v>
      </c>
      <c r="AB192" s="21">
        <f>EXP(-LN(2)/2)*AB191+(1-EXP(-LN(2)/2))/(LN(2)/2)*V192*Y192*VLOOKUP('Données projet'!$B$9,Paramètres!$A$1:$I$89,3,0)*0.475*44/12</f>
        <v>6.5263915798857875E-21</v>
      </c>
      <c r="AC192" s="22">
        <f t="shared" si="163"/>
        <v>10.312040392733351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-5.6843418860808015E-14</v>
      </c>
      <c r="O193" s="13">
        <f>N193*VLOOKUP('Données projet'!$B$9,Paramètres!$A$1:$I$89,3,0)*VLOOKUP('Données projet'!$B$9,Paramètres!$A$1:$I$89,5,0)</f>
        <v>-3.3992364478763198E-14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235.23085498936467</v>
      </c>
      <c r="T193" s="59">
        <f t="shared" si="142"/>
        <v>344.45763019921577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9.486098355035546</v>
      </c>
      <c r="AA193" s="21">
        <f>EXP(-LN(2)/25)*AA192+(1-EXP(-LN(2)/25))/(LN(2)/25)*Calculateur!V193*Calculateur!X193*VLOOKUP('Données projet'!$B$9,Paramètres!$A$1:$I$89,3,0)*0.475*44/12</f>
        <v>0.61880774966187935</v>
      </c>
      <c r="AB193" s="21">
        <f>EXP(-LN(2)/2)*AB192+(1-EXP(-LN(2)/2))/(LN(2)/2)*V193*Y193*VLOOKUP('Données projet'!$B$9,Paramètres!$A$1:$I$89,3,0)*0.475*44/12</f>
        <v>4.6148557428160257E-21</v>
      </c>
      <c r="AC193" s="22">
        <f t="shared" si="163"/>
        <v>10.104906104697426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-5.6843418860808015E-14</v>
      </c>
      <c r="O194" s="13">
        <f>N194*VLOOKUP('Données projet'!$B$9,Paramètres!$A$1:$I$89,3,0)*VLOOKUP('Données projet'!$B$9,Paramètres!$A$1:$I$89,5,0)</f>
        <v>-3.3992364478763198E-14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235.23085498936467</v>
      </c>
      <c r="T194" s="59">
        <f t="shared" si="142"/>
        <v>344.45763019921577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9.3000817522419812</v>
      </c>
      <c r="AA194" s="21">
        <f>EXP(-LN(2)/25)*AA193+(1-EXP(-LN(2)/25))/(LN(2)/25)*Calculateur!V194*Calculateur!X194*VLOOKUP('Données projet'!$B$9,Paramètres!$A$1:$I$89,3,0)*0.475*44/12</f>
        <v>0.60188641920568997</v>
      </c>
      <c r="AB194" s="21">
        <f>EXP(-LN(2)/2)*AB193+(1-EXP(-LN(2)/2))/(LN(2)/2)*V194*Y194*VLOOKUP('Données projet'!$B$9,Paramètres!$A$1:$I$89,3,0)*0.475*44/12</f>
        <v>3.2631957899428938E-21</v>
      </c>
      <c r="AC194" s="22">
        <f t="shared" si="163"/>
        <v>9.9019681714476704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-5.6843418860808015E-14</v>
      </c>
      <c r="O195" s="13">
        <f>N195*VLOOKUP('Données projet'!$B$9,Paramètres!$A$1:$I$89,3,0)*VLOOKUP('Données projet'!$B$9,Paramètres!$A$1:$I$89,5,0)</f>
        <v>-3.3992364478763198E-14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235.23085498936467</v>
      </c>
      <c r="T195" s="59">
        <f t="shared" si="142"/>
        <v>344.45763019921577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9.1177128215702723</v>
      </c>
      <c r="AA195" s="21">
        <f>EXP(-LN(2)/25)*AA194+(1-EXP(-LN(2)/25))/(LN(2)/25)*Calculateur!V195*Calculateur!X195*VLOOKUP('Données projet'!$B$9,Paramètres!$A$1:$I$89,3,0)*0.475*44/12</f>
        <v>0.58542780342067924</v>
      </c>
      <c r="AB195" s="21">
        <f>EXP(-LN(2)/2)*AB194+(1-EXP(-LN(2)/2))/(LN(2)/2)*V195*Y195*VLOOKUP('Données projet'!$B$9,Paramètres!$A$1:$I$89,3,0)*0.475*44/12</f>
        <v>2.3074278714080128E-21</v>
      </c>
      <c r="AC195" s="22">
        <f t="shared" si="163"/>
        <v>9.7031406249909509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-5.6843418860808015E-14</v>
      </c>
      <c r="O196" s="13">
        <f>N196*VLOOKUP('Données projet'!$B$9,Paramètres!$A$1:$I$89,3,0)*VLOOKUP('Données projet'!$B$9,Paramètres!$A$1:$I$89,5,0)</f>
        <v>-3.3992364478763198E-14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235.23085498936467</v>
      </c>
      <c r="T196" s="59">
        <f t="shared" si="142"/>
        <v>344.45763019921577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8.9389200343949717</v>
      </c>
      <c r="AA196" s="21">
        <f>EXP(-LN(2)/25)*AA195+(1-EXP(-LN(2)/25))/(LN(2)/25)*Calculateur!V196*Calculateur!X196*VLOOKUP('Données projet'!$B$9,Paramètres!$A$1:$I$89,3,0)*0.475*44/12</f>
        <v>0.56941924934983057</v>
      </c>
      <c r="AB196" s="21">
        <f>EXP(-LN(2)/2)*AB195+(1-EXP(-LN(2)/2))/(LN(2)/2)*V196*Y196*VLOOKUP('Données projet'!$B$9,Paramètres!$A$1:$I$89,3,0)*0.475*44/12</f>
        <v>1.6315978949714469E-21</v>
      </c>
      <c r="AC196" s="22">
        <f t="shared" si="163"/>
        <v>9.5083392837448031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-5.6843418860808015E-14</v>
      </c>
      <c r="O197" s="13">
        <f>N197*VLOOKUP('Données projet'!$B$9,Paramètres!$A$1:$I$89,3,0)*VLOOKUP('Données projet'!$B$9,Paramètres!$A$1:$I$89,5,0)</f>
        <v>-3.3992364478763198E-14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235.23085498936467</v>
      </c>
      <c r="T197" s="59">
        <f t="shared" ref="T197:T203" si="204">$T$3</f>
        <v>344.45763019921577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8.7636332647233477</v>
      </c>
      <c r="AA197" s="21">
        <f>EXP(-LN(2)/25)*AA196+(1-EXP(-LN(2)/25))/(LN(2)/25)*Calculateur!V197*Calculateur!X197*VLOOKUP('Données projet'!$B$9,Paramètres!$A$1:$I$89,3,0)*0.475*44/12</f>
        <v>0.55384845003190253</v>
      </c>
      <c r="AB197" s="21">
        <f>EXP(-LN(2)/2)*AB196+(1-EXP(-LN(2)/2))/(LN(2)/2)*V197*Y197*VLOOKUP('Données projet'!$B$9,Paramètres!$A$1:$I$89,3,0)*0.475*44/12</f>
        <v>1.1537139357040064E-21</v>
      </c>
      <c r="AC197" s="22">
        <f t="shared" si="163"/>
        <v>9.3174817147552496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-5.6843418860808015E-14</v>
      </c>
      <c r="O198" s="13">
        <f>N198*VLOOKUP('Données projet'!$B$9,Paramètres!$A$1:$I$89,3,0)*VLOOKUP('Données projet'!$B$9,Paramètres!$A$1:$I$89,5,0)</f>
        <v>-3.3992364478763198E-14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235.23085498936467</v>
      </c>
      <c r="T198" s="59">
        <f t="shared" si="204"/>
        <v>344.45763019921577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8.5917837616906105</v>
      </c>
      <c r="AA198" s="21">
        <f>EXP(-LN(2)/25)*AA197+(1-EXP(-LN(2)/25))/(LN(2)/25)*Calculateur!V198*Calculateur!X198*VLOOKUP('Données projet'!$B$9,Paramètres!$A$1:$I$89,3,0)*0.475*44/12</f>
        <v>0.53870343504015605</v>
      </c>
      <c r="AB198" s="21">
        <f>EXP(-LN(2)/2)*AB197+(1-EXP(-LN(2)/2))/(LN(2)/2)*V198*Y198*VLOOKUP('Données projet'!$B$9,Paramètres!$A$1:$I$89,3,0)*0.475*44/12</f>
        <v>8.1579894748572344E-22</v>
      </c>
      <c r="AC198" s="22">
        <f t="shared" si="163"/>
        <v>9.1304871967307673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-5.6843418860808015E-14</v>
      </c>
      <c r="O199" s="13">
        <f>N199*VLOOKUP('Données projet'!$B$9,Paramètres!$A$1:$I$89,3,0)*VLOOKUP('Données projet'!$B$9,Paramètres!$A$1:$I$89,5,0)</f>
        <v>-3.3992364478763198E-14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235.23085498936467</v>
      </c>
      <c r="T199" s="59">
        <f t="shared" si="204"/>
        <v>344.45763019921577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8.423304122594498</v>
      </c>
      <c r="AA199" s="21">
        <f>EXP(-LN(2)/25)*AA198+(1-EXP(-LN(2)/25))/(LN(2)/25)*Calculateur!V199*Calculateur!X199*VLOOKUP('Données projet'!$B$9,Paramètres!$A$1:$I$89,3,0)*0.475*44/12</f>
        <v>0.52397256127980052</v>
      </c>
      <c r="AB199" s="21">
        <f>EXP(-LN(2)/2)*AB198+(1-EXP(-LN(2)/2))/(LN(2)/2)*V199*Y199*VLOOKUP('Données projet'!$B$9,Paramètres!$A$1:$I$89,3,0)*0.475*44/12</f>
        <v>5.7685696785200321E-22</v>
      </c>
      <c r="AC199" s="22">
        <f t="shared" si="163"/>
        <v>8.9472766838742981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-5.6843418860808015E-14</v>
      </c>
      <c r="O200" s="13">
        <f>N200*VLOOKUP('Données projet'!$B$9,Paramètres!$A$1:$I$89,3,0)*VLOOKUP('Données projet'!$B$9,Paramètres!$A$1:$I$89,5,0)</f>
        <v>-3.3992364478763198E-14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235.23085498936467</v>
      </c>
      <c r="T200" s="59">
        <f t="shared" si="204"/>
        <v>344.45763019921577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8.2581282664586286</v>
      </c>
      <c r="AA200" s="21">
        <f>EXP(-LN(2)/25)*AA199+(1-EXP(-LN(2)/25))/(LN(2)/25)*Calculateur!V200*Calculateur!X200*VLOOKUP('Données projet'!$B$9,Paramètres!$A$1:$I$89,3,0)*0.475*44/12</f>
        <v>0.50964450403708494</v>
      </c>
      <c r="AB200" s="21">
        <f>EXP(-LN(2)/2)*AB199+(1-EXP(-LN(2)/2))/(LN(2)/2)*V200*Y200*VLOOKUP('Données projet'!$B$9,Paramètres!$A$1:$I$89,3,0)*0.475*44/12</f>
        <v>4.0789947374286172E-22</v>
      </c>
      <c r="AC200" s="22">
        <f t="shared" si="163"/>
        <v>8.7677727704957142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-5.6843418860808015E-14</v>
      </c>
      <c r="O201" s="13">
        <f>N201*VLOOKUP('Données projet'!$B$9,Paramètres!$A$1:$I$89,3,0)*VLOOKUP('Données projet'!$B$9,Paramètres!$A$1:$I$89,5,0)</f>
        <v>-3.3992364478763198E-14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235.23085498936467</v>
      </c>
      <c r="T201" s="59">
        <f t="shared" si="204"/>
        <v>344.45763019921577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8.0961914081142581</v>
      </c>
      <c r="AA201" s="21">
        <f>EXP(-LN(2)/25)*AA200+(1-EXP(-LN(2)/25))/(LN(2)/25)*Calculateur!V201*Calculateur!X201*VLOOKUP('Données projet'!$B$9,Paramètres!$A$1:$I$89,3,0)*0.475*44/12</f>
        <v>0.49570824827315119</v>
      </c>
      <c r="AB201" s="21">
        <f>EXP(-LN(2)/2)*AB200+(1-EXP(-LN(2)/2))/(LN(2)/2)*V201*Y201*VLOOKUP('Données projet'!$B$9,Paramètres!$A$1:$I$89,3,0)*0.475*44/12</f>
        <v>2.8842848392600161E-22</v>
      </c>
      <c r="AC201" s="22">
        <f t="shared" si="163"/>
        <v>8.5918996563874099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-5.6843418860808015E-14</v>
      </c>
      <c r="O202" s="13">
        <f>N202*VLOOKUP('Données projet'!$B$9,Paramètres!$A$1:$I$89,3,0)*VLOOKUP('Données projet'!$B$9,Paramètres!$A$1:$I$89,5,0)</f>
        <v>-3.3992364478763198E-14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235.23085498936467</v>
      </c>
      <c r="T202" s="59">
        <f t="shared" si="204"/>
        <v>344.45763019921577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7.9374300327902905</v>
      </c>
      <c r="AA202" s="21">
        <f>EXP(-LN(2)/25)*AA201+(1-EXP(-LN(2)/25))/(LN(2)/25)*Calculateur!V202*Calculateur!X202*VLOOKUP('Données projet'!$B$9,Paramètres!$A$1:$I$89,3,0)*0.475*44/12</f>
        <v>0.48215308015595804</v>
      </c>
      <c r="AB202" s="21">
        <f>EXP(-LN(2)/2)*AB201+(1-EXP(-LN(2)/2))/(LN(2)/2)*V202*Y202*VLOOKUP('Données projet'!$B$9,Paramètres!$A$1:$I$89,3,0)*0.475*44/12</f>
        <v>2.0394973687143086E-22</v>
      </c>
      <c r="AC202" s="22">
        <f t="shared" si="163"/>
        <v>8.4195831129462491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6" thickBot="1" x14ac:dyDescent="0.2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-5.6843418860808015E-14</v>
      </c>
      <c r="O203" s="13">
        <f>N203*VLOOKUP('Données projet'!$B$9,Paramètres!$A$1:$I$89,3,0)*VLOOKUP('Données projet'!$B$9,Paramètres!$A$1:$I$89,5,0)</f>
        <v>-3.3992364478763198E-14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235.23085498936467</v>
      </c>
      <c r="T203" s="59">
        <f t="shared" si="204"/>
        <v>344.45763019921577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7.7817818712015487</v>
      </c>
      <c r="AA203" s="21">
        <f>EXP(-LN(2)/25)*AA202+(1-EXP(-LN(2)/25))/(LN(2)/25)*Calculateur!V203*Calculateur!X203*VLOOKUP('Données projet'!$B$9,Paramètres!$A$1:$I$89,3,0)*0.475*44/12</f>
        <v>0.46896857882376486</v>
      </c>
      <c r="AB203" s="21">
        <f>EXP(-LN(2)/2)*AB202+(1-EXP(-LN(2)/2))/(LN(2)/2)*V203*Y203*VLOOKUP('Données projet'!$B$9,Paramètres!$A$1:$I$89,3,0)*0.475*44/12</f>
        <v>1.442142419630008E-22</v>
      </c>
      <c r="AC203" s="22">
        <f t="shared" si="163"/>
        <v>8.250750450025313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7" thickBot="1" x14ac:dyDescent="0.2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6" thickBot="1" x14ac:dyDescent="0.2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1.4203093782835541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4" bestFit="1" customWidth="1"/>
    <col min="2" max="2" width="27.6640625" style="4" bestFit="1" customWidth="1"/>
    <col min="3" max="3" width="11.83203125" style="4" bestFit="1" customWidth="1"/>
    <col min="4" max="4" width="40" style="4" bestFit="1" customWidth="1"/>
    <col min="5" max="5" width="11.83203125" style="4" bestFit="1" customWidth="1"/>
    <col min="6" max="6" width="13.6640625" style="4" bestFit="1" customWidth="1"/>
    <col min="7" max="7" width="11.5" style="4" bestFit="1" customWidth="1"/>
    <col min="8" max="8" width="39" style="4" bestFit="1" customWidth="1"/>
    <col min="9" max="9" width="16.6640625" style="4" customWidth="1"/>
    <col min="10" max="14" width="11.5" style="4"/>
    <col min="15" max="15" width="23.5" style="4" bestFit="1" customWidth="1"/>
    <col min="16" max="16384" width="11.5" style="4"/>
  </cols>
  <sheetData>
    <row r="1" spans="1:16" ht="49" thickBot="1" x14ac:dyDescent="0.2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0" t="s">
        <v>238</v>
      </c>
      <c r="P2" s="121">
        <v>0</v>
      </c>
    </row>
    <row r="3" spans="1:16" ht="16" thickBot="1" x14ac:dyDescent="0.2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1"/>
      <c r="P3" s="128">
        <v>0.2</v>
      </c>
    </row>
    <row r="4" spans="1:16" ht="16" thickBot="1" x14ac:dyDescent="0.2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0" t="s">
        <v>237</v>
      </c>
      <c r="P5" s="121">
        <v>0</v>
      </c>
    </row>
    <row r="6" spans="1:16" x14ac:dyDescent="0.2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2"/>
      <c r="P6" s="129">
        <v>0.05</v>
      </c>
    </row>
    <row r="7" spans="1:16" x14ac:dyDescent="0.2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2"/>
      <c r="P7" s="129">
        <v>0.1</v>
      </c>
    </row>
    <row r="8" spans="1:16" ht="16" thickBot="1" x14ac:dyDescent="0.2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1"/>
      <c r="P8" s="128">
        <v>0.15</v>
      </c>
    </row>
    <row r="9" spans="1:16" ht="16" thickBot="1" x14ac:dyDescent="0.2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0" t="s">
        <v>236</v>
      </c>
      <c r="P10" s="121">
        <v>0</v>
      </c>
    </row>
    <row r="11" spans="1:16" ht="16" thickBot="1" x14ac:dyDescent="0.2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1"/>
      <c r="P11" s="128">
        <v>0.1</v>
      </c>
    </row>
    <row r="12" spans="1:16" x14ac:dyDescent="0.2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">
      <c r="A87" s="250" t="s">
        <v>321</v>
      </c>
      <c r="B87" s="251" t="s">
        <v>322</v>
      </c>
      <c r="C87" s="252">
        <v>0.41</v>
      </c>
      <c r="D87" s="252" t="s">
        <v>323</v>
      </c>
      <c r="E87" s="252">
        <v>1.56</v>
      </c>
      <c r="F87" s="253" t="s">
        <v>274</v>
      </c>
      <c r="G87" s="254">
        <v>0.43</v>
      </c>
      <c r="H87" s="252" t="s">
        <v>278</v>
      </c>
      <c r="I87" s="255">
        <v>0.25</v>
      </c>
      <c r="J87" s="78"/>
      <c r="K87" s="78"/>
      <c r="L87" s="78"/>
      <c r="M87" s="78"/>
      <c r="N87" s="78"/>
    </row>
    <row r="88" spans="1:14" x14ac:dyDescent="0.2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6" thickBot="1" x14ac:dyDescent="0.2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">
      <c r="A93" s="122" t="s">
        <v>208</v>
      </c>
    </row>
    <row r="94" spans="1:14" x14ac:dyDescent="0.2">
      <c r="A94" s="122" t="s">
        <v>209</v>
      </c>
    </row>
    <row r="95" spans="1:14" x14ac:dyDescent="0.2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3" zoomScale="90" zoomScaleNormal="90" workbookViewId="0">
      <selection activeCell="N9" sqref="N9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2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35">
      <c r="A2" s="271" t="s">
        <v>271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6" thickBo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65" thickBot="1" x14ac:dyDescent="0.2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">
      <c r="A6" s="145" t="str">
        <f>IF('Données projet'!$B$9="","",'Données projet'!$B$9)</f>
        <v>Pin maritime</v>
      </c>
      <c r="B6" s="146">
        <f>'Données projet'!D9</f>
        <v>23.083500000000001</v>
      </c>
      <c r="C6" s="147">
        <f ca="1">IF(OR('Données projet'!B9="",'Données projet'!C9="",'Données projet'!C9=0%),0,Calculateur!S3)</f>
        <v>235.23085498936467</v>
      </c>
      <c r="D6" s="147">
        <f>IF(OR('Données projet'!B9="",'Données projet'!C9="",'Données projet'!C9=0%),0,Calculateur!T3)</f>
        <v>344.45763019921577</v>
      </c>
      <c r="E6" s="147">
        <f ca="1">MIN(C6,D6)</f>
        <v>235.23085498936467</v>
      </c>
      <c r="F6" s="147">
        <f ca="1">E6*B6</f>
        <v>5429.951441147</v>
      </c>
      <c r="G6" s="147">
        <f ca="1">F6*(100%-'Données projet'!$C$24)*(100%-'Données projet'!$C$25)*(100%-'Données projet'!$C$26)*(100%-'Données projet'!$C$27)</f>
        <v>3323.1302819819639</v>
      </c>
      <c r="H6" s="148">
        <f>IF(OR('Données projet'!B9="",'Données projet'!C9="",'Données projet'!C9=0%),0,AVERAGE(Calculateur!$AC$3:$AC$33)*B6)</f>
        <v>331.95472543666682</v>
      </c>
      <c r="I6" s="149">
        <f>H6*(100%-'Données projet'!$C$24)*(100%-'Données projet'!$C$25)*(100%-'Données projet'!$C$26)*(100%-'Données projet'!$C$27)</f>
        <v>203.15629196724009</v>
      </c>
      <c r="J6" s="150">
        <f>IF(OR('Données projet'!B9="",'Données projet'!C9="",'Données projet'!C9=0%),0,SUM(Calculateur!$V$3:$V$33)*VLOOKUP('Données projet'!$B$9,Paramètres!$A$1:$I$89,9,0)*B6)</f>
        <v>2113.8461206500001</v>
      </c>
      <c r="K6" s="151">
        <f>J6*(100%-'Données projet'!$C$24)*(100%-'Données projet'!$C$25)*(100%-'Données projet'!$C$26)*(100%-'Données projet'!$C$27)</f>
        <v>1293.6738258378</v>
      </c>
      <c r="L6" s="152">
        <f ca="1">G6+I6+K6</f>
        <v>4819.9603997870036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6" thickBot="1" x14ac:dyDescent="0.2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6" thickBot="1" x14ac:dyDescent="0.25">
      <c r="A16" s="208"/>
      <c r="B16" s="212"/>
      <c r="C16" s="213"/>
      <c r="D16" s="23"/>
      <c r="E16" s="23"/>
      <c r="F16" s="165">
        <f t="shared" ref="F16:L16" ca="1" si="3">SUM(F6:F15)</f>
        <v>5429.951441147</v>
      </c>
      <c r="G16" s="166">
        <f t="shared" ca="1" si="3"/>
        <v>3323.1302819819639</v>
      </c>
      <c r="H16" s="167">
        <f t="shared" si="3"/>
        <v>331.95472543666682</v>
      </c>
      <c r="I16" s="167">
        <f t="shared" si="3"/>
        <v>203.15629196724009</v>
      </c>
      <c r="J16" s="168">
        <f t="shared" si="3"/>
        <v>2113.8461206500001</v>
      </c>
      <c r="K16" s="168">
        <f t="shared" si="3"/>
        <v>1293.6738258378</v>
      </c>
      <c r="L16" s="169">
        <f t="shared" ca="1" si="3"/>
        <v>4819.9603997870036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">
      <c r="A17" s="208"/>
      <c r="B17" s="212"/>
      <c r="C17" s="213"/>
      <c r="D17" s="23"/>
      <c r="E17" s="23"/>
      <c r="F17" s="283" t="s">
        <v>246</v>
      </c>
      <c r="G17" s="284"/>
      <c r="H17" s="284"/>
      <c r="I17" s="284"/>
      <c r="J17" s="284"/>
      <c r="K17" s="284"/>
      <c r="L17" s="28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">
      <c r="A18" s="208"/>
      <c r="B18" s="212"/>
      <c r="C18" s="213"/>
      <c r="D18" s="23"/>
      <c r="E18" s="23"/>
      <c r="F18" s="270"/>
      <c r="G18" s="270"/>
      <c r="H18" s="270"/>
      <c r="I18" s="270"/>
      <c r="J18" s="270"/>
      <c r="K18" s="270"/>
      <c r="L18" s="27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6" thickBot="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6" thickBot="1" x14ac:dyDescent="0.25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6" thickBot="1" x14ac:dyDescent="0.2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6" thickBot="1" x14ac:dyDescent="0.25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6" thickBot="1" x14ac:dyDescent="0.2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6" thickBot="1" x14ac:dyDescent="0.2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6" thickBot="1" x14ac:dyDescent="0.2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6" thickBot="1" x14ac:dyDescent="0.2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6" thickBot="1" x14ac:dyDescent="0.2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6" thickBot="1" x14ac:dyDescent="0.2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6" thickBot="1" x14ac:dyDescent="0.2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6" thickBot="1" x14ac:dyDescent="0.2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6" thickBot="1" x14ac:dyDescent="0.2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6" thickBot="1" x14ac:dyDescent="0.2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6" thickBot="1" x14ac:dyDescent="0.2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6" thickBot="1" x14ac:dyDescent="0.2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6" thickBot="1" x14ac:dyDescent="0.2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6" thickBot="1" x14ac:dyDescent="0.2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6" thickBot="1" x14ac:dyDescent="0.2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6" thickBot="1" x14ac:dyDescent="0.2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D1" zoomScale="70" zoomScaleNormal="100" workbookViewId="0">
      <selection activeCell="N16" sqref="N16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1" customWidth="1"/>
    <col min="7" max="7" width="17.5" style="1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35">
      <c r="A2" s="4"/>
      <c r="B2" s="271" t="s">
        <v>272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">
      <c r="A4" s="4"/>
      <c r="B4" s="4"/>
      <c r="C4" s="4"/>
      <c r="D4" s="4"/>
      <c r="E4" s="4"/>
      <c r="G4" s="4"/>
      <c r="H4" s="257" t="s">
        <v>315</v>
      </c>
      <c r="I4" s="257"/>
      <c r="K4" s="299" t="s">
        <v>253</v>
      </c>
      <c r="L4" s="300"/>
      <c r="M4" s="236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6" thickBot="1" x14ac:dyDescent="0.2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35">
      <c r="A7" s="241"/>
      <c r="B7" s="242"/>
      <c r="C7" s="242"/>
      <c r="D7" s="242"/>
      <c r="E7" s="243"/>
      <c r="F7" s="243" t="s">
        <v>192</v>
      </c>
      <c r="G7" s="244"/>
      <c r="H7" s="242"/>
      <c r="I7" s="242"/>
      <c r="J7" s="245"/>
      <c r="K7" s="239"/>
      <c r="L7" s="240"/>
      <c r="M7" s="240"/>
      <c r="N7" s="246" t="s">
        <v>191</v>
      </c>
      <c r="O7" s="246"/>
      <c r="P7" s="247"/>
      <c r="Q7" s="248"/>
      <c r="R7" s="291" t="s">
        <v>310</v>
      </c>
      <c r="S7" s="292"/>
      <c r="T7" s="292"/>
      <c r="U7" s="292"/>
      <c r="V7" s="29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">
      <c r="A8" s="23"/>
      <c r="C8" s="23"/>
      <c r="D8" s="23"/>
      <c r="E8" s="23"/>
      <c r="F8" s="23"/>
      <c r="G8" s="23"/>
      <c r="H8" s="4"/>
      <c r="I8" s="4"/>
      <c r="J8" s="199"/>
      <c r="K8" s="207"/>
      <c r="L8" s="23"/>
      <c r="M8" s="23"/>
      <c r="N8" s="23"/>
      <c r="O8" s="23"/>
      <c r="P8" s="23"/>
      <c r="Q8" s="233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">
      <c r="A9" s="93" t="s">
        <v>311</v>
      </c>
      <c r="C9" s="23"/>
      <c r="D9" s="23"/>
      <c r="E9" s="23"/>
      <c r="F9" s="229"/>
      <c r="G9" s="93" t="s">
        <v>314</v>
      </c>
      <c r="J9" s="199"/>
      <c r="K9" s="207"/>
      <c r="O9" s="23"/>
      <c r="P9" s="23"/>
      <c r="Q9" s="233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">
      <c r="A10" s="93" t="s">
        <v>317</v>
      </c>
      <c r="C10" s="23"/>
      <c r="D10" s="23"/>
      <c r="E10" s="23"/>
      <c r="F10" s="229"/>
      <c r="G10" s="93" t="s">
        <v>316</v>
      </c>
      <c r="J10" s="199"/>
      <c r="K10" s="207"/>
      <c r="O10" s="23"/>
      <c r="P10" s="23"/>
      <c r="Q10" s="233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8">
        <f>'Données projet'!D9</f>
        <v>23.083500000000001</v>
      </c>
      <c r="V10" s="177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">
      <c r="A11" s="93" t="s">
        <v>312</v>
      </c>
      <c r="B11" s="23"/>
      <c r="C11" s="23"/>
      <c r="D11" s="23"/>
      <c r="E11" s="23"/>
      <c r="F11" s="229"/>
      <c r="G11" s="93" t="s">
        <v>313</v>
      </c>
      <c r="J11" s="199"/>
      <c r="K11" s="207"/>
      <c r="M11" s="4"/>
      <c r="N11" s="4"/>
      <c r="O11" s="23"/>
      <c r="P11" s="23"/>
      <c r="Q11" s="233"/>
      <c r="R11" s="23"/>
      <c r="S11" s="36" t="str">
        <f>B45</f>
        <v/>
      </c>
      <c r="T11" s="238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">
      <c r="B12" s="23"/>
      <c r="C12" s="23"/>
      <c r="D12" s="23"/>
      <c r="E12" s="23"/>
      <c r="F12" s="229"/>
      <c r="J12" s="199"/>
      <c r="K12" s="207"/>
      <c r="L12" s="201"/>
      <c r="M12" s="23"/>
      <c r="N12" s="23"/>
      <c r="O12" s="23"/>
      <c r="P12" s="23"/>
      <c r="Q12" s="233"/>
      <c r="R12" s="23"/>
      <c r="S12" s="36" t="str">
        <f>B76</f>
        <v/>
      </c>
      <c r="T12" s="238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">
      <c r="B13" s="23"/>
      <c r="C13" s="23"/>
      <c r="D13" s="23"/>
      <c r="E13" s="23"/>
      <c r="F13" s="229"/>
      <c r="J13" s="23"/>
      <c r="K13" s="207"/>
      <c r="L13" s="93" t="s">
        <v>257</v>
      </c>
      <c r="M13" s="23"/>
      <c r="N13" s="23"/>
      <c r="O13" s="23"/>
      <c r="P13" s="23"/>
      <c r="Q13" s="233"/>
      <c r="R13" s="23"/>
      <c r="S13" s="36" t="str">
        <f>B107</f>
        <v/>
      </c>
      <c r="T13" s="238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29"/>
      <c r="G14" s="23"/>
      <c r="H14" s="36" t="s">
        <v>178</v>
      </c>
      <c r="I14" s="36" t="s">
        <v>290</v>
      </c>
      <c r="J14" s="200"/>
      <c r="K14" s="173"/>
      <c r="L14" s="201"/>
      <c r="M14" s="23"/>
      <c r="N14" s="23"/>
      <c r="O14" s="4"/>
      <c r="P14" s="4"/>
      <c r="Q14" s="234"/>
      <c r="R14" s="4"/>
      <c r="S14" s="36" t="str">
        <f>B138</f>
        <v/>
      </c>
      <c r="T14" s="238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">
      <c r="A15" s="4"/>
      <c r="B15" s="4"/>
      <c r="C15" s="4"/>
      <c r="D15" s="4"/>
      <c r="E15" s="4"/>
      <c r="F15" s="229"/>
      <c r="G15" s="302" t="s">
        <v>318</v>
      </c>
      <c r="H15" s="190">
        <v>0</v>
      </c>
      <c r="I15" s="191"/>
      <c r="J15" s="201"/>
      <c r="K15" s="207"/>
      <c r="L15" s="201"/>
      <c r="M15" s="23"/>
      <c r="N15" s="23"/>
      <c r="O15" s="23"/>
      <c r="P15" s="23"/>
      <c r="Q15" s="233"/>
      <c r="R15" s="23"/>
      <c r="S15" s="36" t="str">
        <f>B169</f>
        <v/>
      </c>
      <c r="T15" s="238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9"/>
      <c r="G16" s="302"/>
      <c r="H16" s="190">
        <v>1</v>
      </c>
      <c r="I16" s="191"/>
      <c r="J16" s="201"/>
      <c r="K16" s="207"/>
      <c r="L16" s="299" t="s">
        <v>254</v>
      </c>
      <c r="M16" s="300"/>
      <c r="N16" s="2"/>
      <c r="O16" s="23"/>
      <c r="P16" s="23"/>
      <c r="Q16" s="233"/>
      <c r="R16" s="23"/>
      <c r="S16" s="36" t="str">
        <f>B200</f>
        <v/>
      </c>
      <c r="T16" s="238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ht="16" x14ac:dyDescent="0.2">
      <c r="A17" s="49">
        <v>0</v>
      </c>
      <c r="B17" s="198" t="s">
        <v>132</v>
      </c>
      <c r="C17" s="197" t="s">
        <v>132</v>
      </c>
      <c r="D17" s="196" t="s">
        <v>132</v>
      </c>
      <c r="E17" s="193"/>
      <c r="F17" s="229"/>
      <c r="G17" s="302"/>
      <c r="J17" s="201"/>
      <c r="K17" s="207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3"/>
      <c r="R17" s="23"/>
      <c r="S17" s="36" t="str">
        <f>B231</f>
        <v/>
      </c>
      <c r="T17" s="238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ht="16" x14ac:dyDescent="0.2">
      <c r="A18" s="49">
        <v>1</v>
      </c>
      <c r="B18" s="198" t="s">
        <v>132</v>
      </c>
      <c r="C18" s="197" t="s">
        <v>132</v>
      </c>
      <c r="D18" s="196" t="s">
        <v>132</v>
      </c>
      <c r="E18" s="193"/>
      <c r="F18" s="229"/>
      <c r="G18" s="302"/>
      <c r="J18" s="201"/>
      <c r="K18" s="207"/>
      <c r="L18" s="259" t="s">
        <v>255</v>
      </c>
      <c r="M18" s="261"/>
      <c r="N18" s="192"/>
      <c r="O18" s="23"/>
      <c r="P18" s="23"/>
      <c r="Q18" s="233"/>
      <c r="R18" s="23"/>
      <c r="S18" s="36" t="str">
        <f>B262</f>
        <v/>
      </c>
      <c r="T18" s="238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">
      <c r="A19" s="49">
        <v>2</v>
      </c>
      <c r="B19" s="198" t="s">
        <v>132</v>
      </c>
      <c r="C19" s="197" t="s">
        <v>132</v>
      </c>
      <c r="D19" s="196" t="s">
        <v>132</v>
      </c>
      <c r="E19" s="193"/>
      <c r="F19" s="229"/>
      <c r="G19" s="302"/>
      <c r="H19" s="211" t="s">
        <v>178</v>
      </c>
      <c r="I19" s="211" t="s">
        <v>287</v>
      </c>
      <c r="J19" s="93"/>
      <c r="K19" s="173"/>
      <c r="L19" s="299" t="s">
        <v>288</v>
      </c>
      <c r="M19" s="300"/>
      <c r="N19" s="179">
        <f>N17*N18</f>
        <v>0</v>
      </c>
      <c r="O19" s="23"/>
      <c r="P19" s="4"/>
      <c r="Q19" s="234"/>
      <c r="R19" s="4"/>
      <c r="S19" s="36" t="str">
        <f>B293</f>
        <v/>
      </c>
      <c r="T19" s="238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ht="16" x14ac:dyDescent="0.2">
      <c r="A20" s="49">
        <v>3</v>
      </c>
      <c r="B20" s="198" t="s">
        <v>132</v>
      </c>
      <c r="C20" s="197" t="s">
        <v>132</v>
      </c>
      <c r="D20" s="196" t="s">
        <v>132</v>
      </c>
      <c r="E20" s="193"/>
      <c r="F20" s="229"/>
      <c r="G20" s="302"/>
      <c r="H20" s="190"/>
      <c r="I20" s="191"/>
      <c r="J20" s="4"/>
      <c r="K20" s="173"/>
      <c r="O20" s="23"/>
      <c r="P20" s="4"/>
      <c r="Q20" s="234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ht="16" x14ac:dyDescent="0.2">
      <c r="A21" s="49">
        <v>4</v>
      </c>
      <c r="B21" s="198" t="s">
        <v>132</v>
      </c>
      <c r="C21" s="197" t="s">
        <v>132</v>
      </c>
      <c r="D21" s="196" t="s">
        <v>132</v>
      </c>
      <c r="E21" s="193"/>
      <c r="F21" s="229"/>
      <c r="H21" s="190"/>
      <c r="I21" s="191"/>
      <c r="K21" s="173"/>
      <c r="O21" s="23"/>
      <c r="P21" s="4"/>
      <c r="Q21" s="234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">
      <c r="A22" s="49">
        <v>5</v>
      </c>
      <c r="B22" s="198" t="s">
        <v>132</v>
      </c>
      <c r="C22" s="197"/>
      <c r="D22" s="196" t="s">
        <v>132</v>
      </c>
      <c r="E22" s="193"/>
      <c r="F22" s="229"/>
      <c r="H22" s="190"/>
      <c r="I22" s="191"/>
      <c r="K22" s="173"/>
      <c r="O22" s="23"/>
      <c r="P22" s="4"/>
      <c r="Q22" s="234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">
      <c r="A23" s="180">
        <f>'Données projet'!A36</f>
        <v>12</v>
      </c>
      <c r="B23" s="181">
        <f>'Données projet'!D36</f>
        <v>0</v>
      </c>
      <c r="C23" s="193"/>
      <c r="D23" s="182">
        <f>B23*C23</f>
        <v>0</v>
      </c>
      <c r="E23" s="193"/>
      <c r="F23" s="229"/>
      <c r="H23" s="190"/>
      <c r="I23" s="191"/>
      <c r="K23" s="207"/>
      <c r="L23" s="301" t="s">
        <v>260</v>
      </c>
      <c r="M23" s="301"/>
      <c r="N23" s="301"/>
      <c r="O23" s="23"/>
      <c r="P23" s="23"/>
      <c r="Q23" s="233"/>
      <c r="R23" s="23"/>
      <c r="S23" s="36" t="s">
        <v>264</v>
      </c>
      <c r="T23" s="29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296"/>
      <c r="V23" s="29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">
      <c r="A24" s="180">
        <f>'Données projet'!A37</f>
        <v>14</v>
      </c>
      <c r="B24" s="181">
        <f>'Données projet'!D37</f>
        <v>34.25</v>
      </c>
      <c r="C24" s="193"/>
      <c r="D24" s="182">
        <f t="shared" ref="D24:D42" si="2">B24*C24</f>
        <v>0</v>
      </c>
      <c r="E24" s="193"/>
      <c r="F24" s="232"/>
      <c r="H24" s="190"/>
      <c r="I24" s="191"/>
      <c r="K24" s="207"/>
      <c r="O24" s="23"/>
      <c r="P24" s="23"/>
      <c r="Q24" s="233"/>
      <c r="R24" s="23"/>
      <c r="S24" s="36" t="s">
        <v>261</v>
      </c>
      <c r="T24" s="29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7"/>
      <c r="V24" s="29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">
      <c r="A25" s="180">
        <f>'Données projet'!A38</f>
        <v>19</v>
      </c>
      <c r="B25" s="181">
        <f>'Données projet'!D38</f>
        <v>60</v>
      </c>
      <c r="C25" s="193"/>
      <c r="D25" s="182">
        <f t="shared" si="2"/>
        <v>0</v>
      </c>
      <c r="E25" s="193"/>
      <c r="F25" s="232"/>
      <c r="H25" s="190"/>
      <c r="I25" s="191"/>
      <c r="K25" s="207"/>
      <c r="L25" s="130" t="s">
        <v>285</v>
      </c>
      <c r="M25" s="130"/>
      <c r="N25" s="130"/>
      <c r="O25" s="130"/>
      <c r="P25" s="192">
        <v>0</v>
      </c>
      <c r="Q25" s="233"/>
      <c r="R25" s="23"/>
      <c r="S25" s="186" t="s">
        <v>266</v>
      </c>
      <c r="T25" s="298">
        <f ca="1">T23-T24</f>
        <v>0</v>
      </c>
      <c r="U25" s="298"/>
      <c r="V25" s="29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">
      <c r="A26" s="180">
        <f>'Données projet'!A39</f>
        <v>20</v>
      </c>
      <c r="B26" s="181">
        <f>'Données projet'!D39</f>
        <v>0</v>
      </c>
      <c r="C26" s="193"/>
      <c r="D26" s="182">
        <f t="shared" si="2"/>
        <v>0</v>
      </c>
      <c r="E26" s="193"/>
      <c r="F26" s="232"/>
      <c r="G26" s="228"/>
      <c r="H26" s="190"/>
      <c r="I26" s="191"/>
      <c r="K26" s="207"/>
      <c r="L26" s="285" t="s">
        <v>258</v>
      </c>
      <c r="M26" s="286"/>
      <c r="N26" s="286"/>
      <c r="O26" s="286"/>
      <c r="P26" s="287"/>
      <c r="Q26" s="233"/>
      <c r="R26" s="23"/>
      <c r="S26" s="186" t="s">
        <v>265</v>
      </c>
      <c r="T26" s="295" t="str">
        <f ca="1">IF(T25&lt;0,"Votre projet est additionnel","Votre projet n'est pas additionnel")</f>
        <v>Votre projet n'est pas additionnel</v>
      </c>
      <c r="U26" s="295"/>
      <c r="V26" s="29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">
      <c r="A27" s="180">
        <f>'Données projet'!A40</f>
        <v>25</v>
      </c>
      <c r="B27" s="181">
        <f>'Données projet'!D40</f>
        <v>60.96</v>
      </c>
      <c r="C27" s="193"/>
      <c r="D27" s="182">
        <f t="shared" si="2"/>
        <v>0</v>
      </c>
      <c r="E27" s="193"/>
      <c r="F27" s="232"/>
      <c r="G27" s="228"/>
      <c r="H27" s="190"/>
      <c r="I27" s="191"/>
      <c r="K27" s="207"/>
      <c r="L27" s="288"/>
      <c r="M27" s="289"/>
      <c r="N27" s="289"/>
      <c r="O27" s="289"/>
      <c r="P27" s="290"/>
      <c r="Q27" s="233"/>
      <c r="R27" s="23"/>
      <c r="S27" s="294" t="s">
        <v>267</v>
      </c>
      <c r="T27" s="294"/>
      <c r="U27" s="294"/>
      <c r="V27" s="29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">
      <c r="A28" s="180">
        <f>'Données projet'!A41</f>
        <v>29</v>
      </c>
      <c r="B28" s="181">
        <f>'Données projet'!D41</f>
        <v>0</v>
      </c>
      <c r="C28" s="193"/>
      <c r="D28" s="182">
        <f t="shared" si="2"/>
        <v>0</v>
      </c>
      <c r="E28" s="193"/>
      <c r="F28" s="232"/>
      <c r="G28" s="204"/>
      <c r="H28" s="190"/>
      <c r="I28" s="191"/>
      <c r="K28" s="207"/>
      <c r="Q28" s="233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">
      <c r="A29" s="180">
        <f>'Données projet'!A42</f>
        <v>32</v>
      </c>
      <c r="B29" s="181">
        <f>'Données projet'!D42</f>
        <v>76.42</v>
      </c>
      <c r="C29" s="193"/>
      <c r="D29" s="182">
        <f t="shared" si="2"/>
        <v>0</v>
      </c>
      <c r="E29" s="193"/>
      <c r="F29" s="232"/>
      <c r="G29" s="202"/>
      <c r="H29" s="190"/>
      <c r="I29" s="191"/>
      <c r="K29" s="207"/>
      <c r="O29" s="23"/>
      <c r="P29" s="23"/>
      <c r="Q29" s="233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">
      <c r="A30" s="180">
        <f>'Données projet'!A43</f>
        <v>38</v>
      </c>
      <c r="B30" s="181">
        <f>'Données projet'!D43</f>
        <v>0</v>
      </c>
      <c r="C30" s="193"/>
      <c r="D30" s="182">
        <f t="shared" si="2"/>
        <v>0</v>
      </c>
      <c r="E30" s="193"/>
      <c r="F30" s="232"/>
      <c r="G30" s="202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4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">
      <c r="A31" s="180">
        <f>'Données projet'!A44</f>
        <v>45</v>
      </c>
      <c r="B31" s="181">
        <f>'Données projet'!D44</f>
        <v>503.89</v>
      </c>
      <c r="C31" s="193"/>
      <c r="D31" s="182">
        <f t="shared" si="2"/>
        <v>0</v>
      </c>
      <c r="E31" s="193"/>
      <c r="F31" s="232"/>
      <c r="G31" s="202"/>
      <c r="H31" s="190"/>
      <c r="I31" s="191"/>
      <c r="K31" s="173"/>
      <c r="Q31" s="233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2"/>
      <c r="G32" s="202"/>
      <c r="H32" s="190"/>
      <c r="I32" s="191"/>
      <c r="K32" s="173"/>
      <c r="N32" s="4"/>
      <c r="O32" s="85" t="s">
        <v>178</v>
      </c>
      <c r="P32" s="85" t="s">
        <v>252</v>
      </c>
      <c r="Q32" s="233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2"/>
      <c r="G33" s="202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3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2"/>
      <c r="G34" s="202"/>
      <c r="H34" s="190"/>
      <c r="I34" s="191"/>
      <c r="K34" s="173"/>
      <c r="L34" s="98"/>
      <c r="M34" s="98"/>
      <c r="N34" s="249"/>
      <c r="O34" s="194">
        <f>IF(O33+1&lt;=MIN('Données projet'!$E$9:$E$18),O33+1,"STOP")</f>
        <v>1</v>
      </c>
      <c r="P34" s="185">
        <f t="shared" si="3"/>
        <v>0</v>
      </c>
      <c r="Q34" s="233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2"/>
      <c r="G35" s="202"/>
      <c r="H35" s="190"/>
      <c r="I35" s="191"/>
      <c r="K35" s="173"/>
      <c r="L35" s="98"/>
      <c r="M35" s="98"/>
      <c r="N35" s="249"/>
      <c r="O35" s="194">
        <f>IF(O34+1&lt;=MIN('Données projet'!$E$9:$E$18),O34+1,"STOP")</f>
        <v>2</v>
      </c>
      <c r="P35" s="185">
        <f t="shared" si="3"/>
        <v>0</v>
      </c>
      <c r="Q35" s="233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2"/>
      <c r="G36" s="202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3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">
      <c r="A37" s="180">
        <f>'Données projet'!A50</f>
        <v>0</v>
      </c>
      <c r="B37" s="181">
        <f>'Données projet'!D50</f>
        <v>0</v>
      </c>
      <c r="C37" s="193">
        <f>225*'Données projet'!E50+13.8*('Données projet'!F50+'Données projet'!G50)+10*'Données projet'!G50</f>
        <v>0</v>
      </c>
      <c r="D37" s="182">
        <f t="shared" si="2"/>
        <v>0</v>
      </c>
      <c r="E37" s="193"/>
      <c r="F37" s="232"/>
      <c r="G37" s="202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3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">
      <c r="A38" s="180">
        <f>'Données projet'!A51</f>
        <v>0</v>
      </c>
      <c r="B38" s="181">
        <f>'Données projet'!D51</f>
        <v>0</v>
      </c>
      <c r="C38" s="193">
        <f>225*'Données projet'!E51+13.8*('Données projet'!F51+'Données projet'!G51)+10*'Données projet'!G51</f>
        <v>0</v>
      </c>
      <c r="D38" s="182">
        <f t="shared" si="2"/>
        <v>0</v>
      </c>
      <c r="E38" s="193"/>
      <c r="F38" s="232"/>
      <c r="G38" s="202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3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">
      <c r="A39" s="180">
        <f>'Données projet'!A52</f>
        <v>0</v>
      </c>
      <c r="B39" s="181">
        <f>'Données projet'!D52</f>
        <v>0</v>
      </c>
      <c r="C39" s="193">
        <f>225*'Données projet'!E52+13.8*('Données projet'!F52+'Données projet'!G52)+10*'Données projet'!G52</f>
        <v>0</v>
      </c>
      <c r="D39" s="182">
        <f t="shared" si="2"/>
        <v>0</v>
      </c>
      <c r="E39" s="193"/>
      <c r="F39" s="232"/>
      <c r="G39" s="202"/>
      <c r="H39" s="190"/>
      <c r="I39" s="191"/>
      <c r="K39" s="207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3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">
      <c r="A40" s="180">
        <f>'Données projet'!A53</f>
        <v>0</v>
      </c>
      <c r="B40" s="181">
        <f>'Données projet'!D53</f>
        <v>0</v>
      </c>
      <c r="C40" s="193">
        <f>225*'Données projet'!E53+13.8*('Données projet'!F53+'Données projet'!G53)+10*'Données projet'!G53</f>
        <v>0</v>
      </c>
      <c r="D40" s="182">
        <f t="shared" si="2"/>
        <v>0</v>
      </c>
      <c r="E40" s="193"/>
      <c r="F40" s="232"/>
      <c r="G40" s="202"/>
      <c r="H40" s="190"/>
      <c r="I40" s="191"/>
      <c r="K40" s="207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3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">
      <c r="A41" s="180">
        <f>'Données projet'!A54</f>
        <v>0</v>
      </c>
      <c r="B41" s="181">
        <f>'Données projet'!D54</f>
        <v>0</v>
      </c>
      <c r="C41" s="193">
        <f>30*'Données projet'!E54+19.4*('Données projet'!F54+'Données projet'!G54)+10*'Données projet'!G54</f>
        <v>0</v>
      </c>
      <c r="D41" s="182">
        <f t="shared" si="2"/>
        <v>0</v>
      </c>
      <c r="E41" s="193"/>
      <c r="F41" s="232"/>
      <c r="G41" s="202"/>
      <c r="H41" s="190"/>
      <c r="I41" s="191"/>
      <c r="K41" s="207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3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">
      <c r="A42" s="180">
        <f>'Données projet'!A55</f>
        <v>0</v>
      </c>
      <c r="B42" s="181">
        <f>'Données projet'!D55</f>
        <v>0</v>
      </c>
      <c r="C42" s="193">
        <f>30*'Données projet'!E55+19.4*('Données projet'!F55+'Données projet'!G55)+10*'Données projet'!G55</f>
        <v>0</v>
      </c>
      <c r="D42" s="182">
        <f t="shared" si="2"/>
        <v>0</v>
      </c>
      <c r="E42" s="193"/>
      <c r="F42" s="232"/>
      <c r="G42" s="202"/>
      <c r="H42" s="190"/>
      <c r="I42" s="191"/>
      <c r="K42" s="207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3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">
      <c r="A43" s="187"/>
      <c r="B43" s="187"/>
      <c r="C43" s="187"/>
      <c r="D43" s="226"/>
      <c r="E43" s="226"/>
      <c r="F43" s="237"/>
      <c r="G43" s="202"/>
      <c r="H43" s="190"/>
      <c r="I43" s="191"/>
      <c r="K43" s="207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">
      <c r="A44" s="4"/>
      <c r="B44" s="4"/>
      <c r="C44" s="4"/>
      <c r="D44" s="4"/>
      <c r="E44" s="4"/>
      <c r="F44" s="229"/>
      <c r="G44" s="202"/>
      <c r="H44" s="190"/>
      <c r="I44" s="191"/>
      <c r="K44" s="207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29"/>
      <c r="G45" s="202"/>
      <c r="H45" s="190"/>
      <c r="I45" s="191"/>
      <c r="J45" s="23"/>
      <c r="K45" s="207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">
      <c r="A46" s="4"/>
      <c r="B46" s="4"/>
      <c r="C46" s="4"/>
      <c r="D46" s="4"/>
      <c r="E46" s="4"/>
      <c r="F46" s="229"/>
      <c r="G46" s="202"/>
      <c r="H46" s="190"/>
      <c r="I46" s="191"/>
      <c r="J46" s="23"/>
      <c r="K46" s="207"/>
      <c r="L46" s="203"/>
      <c r="M46" s="203"/>
      <c r="N46" s="203"/>
      <c r="O46" s="194">
        <f>IF(O45+1&lt;=MIN('Données projet'!$E$9:$E$18),O45+1,"STOP")</f>
        <v>13</v>
      </c>
      <c r="P46" s="188">
        <f t="shared" si="3"/>
        <v>0</v>
      </c>
      <c r="Q46" s="23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0"/>
      <c r="G47" s="202"/>
      <c r="H47" s="190"/>
      <c r="I47" s="191"/>
      <c r="J47" s="23"/>
      <c r="K47" s="207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ht="16" x14ac:dyDescent="0.2">
      <c r="A48" s="49">
        <v>0</v>
      </c>
      <c r="B48" s="198" t="s">
        <v>132</v>
      </c>
      <c r="C48" s="197" t="s">
        <v>132</v>
      </c>
      <c r="D48" s="196" t="s">
        <v>132</v>
      </c>
      <c r="E48" s="193"/>
      <c r="F48" s="230"/>
      <c r="G48" s="202"/>
      <c r="H48" s="190"/>
      <c r="I48" s="191"/>
      <c r="J48" s="23"/>
      <c r="K48" s="207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">
      <c r="A49" s="49">
        <v>1</v>
      </c>
      <c r="B49" s="198" t="s">
        <v>132</v>
      </c>
      <c r="C49" s="197" t="s">
        <v>132</v>
      </c>
      <c r="D49" s="196" t="s">
        <v>132</v>
      </c>
      <c r="E49" s="193"/>
      <c r="F49" s="230"/>
      <c r="G49" s="203"/>
      <c r="H49" s="190"/>
      <c r="I49" s="191"/>
      <c r="J49" s="203"/>
      <c r="K49" s="209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5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ht="16" x14ac:dyDescent="0.2">
      <c r="A50" s="49">
        <v>2</v>
      </c>
      <c r="B50" s="198" t="s">
        <v>132</v>
      </c>
      <c r="C50" s="197" t="s">
        <v>132</v>
      </c>
      <c r="D50" s="196" t="s">
        <v>132</v>
      </c>
      <c r="E50" s="193"/>
      <c r="F50" s="230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ht="16" x14ac:dyDescent="0.2">
      <c r="A51" s="49">
        <v>3</v>
      </c>
      <c r="B51" s="198" t="s">
        <v>132</v>
      </c>
      <c r="C51" s="197" t="s">
        <v>132</v>
      </c>
      <c r="D51" s="196" t="s">
        <v>132</v>
      </c>
      <c r="E51" s="193"/>
      <c r="F51" s="230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ht="16" x14ac:dyDescent="0.2">
      <c r="A52" s="49">
        <v>4</v>
      </c>
      <c r="B52" s="198" t="s">
        <v>132</v>
      </c>
      <c r="C52" s="197" t="s">
        <v>132</v>
      </c>
      <c r="D52" s="196" t="s">
        <v>132</v>
      </c>
      <c r="E52" s="193"/>
      <c r="F52" s="230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">
      <c r="A53" s="49">
        <v>5</v>
      </c>
      <c r="B53" s="198" t="s">
        <v>132</v>
      </c>
      <c r="C53" s="197" t="s">
        <v>132</v>
      </c>
      <c r="D53" s="196" t="s">
        <v>132</v>
      </c>
      <c r="E53" s="193"/>
      <c r="F53" s="230"/>
      <c r="G53" s="204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">
      <c r="A54" s="180">
        <f>'Données projet'!A62</f>
        <v>0</v>
      </c>
      <c r="B54" s="181">
        <f>'Données projet'!D62</f>
        <v>0</v>
      </c>
      <c r="C54" s="191">
        <f>60*'Données projet'!E62+13.8*('Données projet'!F62+'Données projet'!G62)+10*'Données projet'!H62</f>
        <v>0</v>
      </c>
      <c r="D54" s="179">
        <f>B54*C54</f>
        <v>0</v>
      </c>
      <c r="E54" s="193"/>
      <c r="F54" s="231"/>
      <c r="G54" s="204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">
      <c r="A55" s="180">
        <f>'Données projet'!A63</f>
        <v>0</v>
      </c>
      <c r="B55" s="181">
        <f>'Données projet'!D63</f>
        <v>0</v>
      </c>
      <c r="C55" s="191">
        <f>60*'Données projet'!E63+13.8*('Données projet'!F63+'Données projet'!G63)+10*'Données projet'!H63</f>
        <v>0</v>
      </c>
      <c r="D55" s="179">
        <f t="shared" ref="D55:D73" si="4">B55*C55</f>
        <v>0</v>
      </c>
      <c r="E55" s="193"/>
      <c r="F55" s="231"/>
      <c r="G55" s="204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">
      <c r="A56" s="180">
        <f>'Données projet'!A64</f>
        <v>0</v>
      </c>
      <c r="B56" s="181">
        <f>'Données projet'!D64</f>
        <v>0</v>
      </c>
      <c r="C56" s="191">
        <f>60*'Données projet'!E64+13.8*('Données projet'!F64+'Données projet'!G64)+10*'Données projet'!H64</f>
        <v>0</v>
      </c>
      <c r="D56" s="179">
        <f t="shared" si="4"/>
        <v>0</v>
      </c>
      <c r="E56" s="193"/>
      <c r="F56" s="231"/>
      <c r="G56" s="204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">
      <c r="A57" s="180">
        <f>'Données projet'!A65</f>
        <v>0</v>
      </c>
      <c r="B57" s="181">
        <f>'Données projet'!D65</f>
        <v>0</v>
      </c>
      <c r="C57" s="191">
        <f>60*'Données projet'!E65+13.8*('Données projet'!F65+'Données projet'!G65)+10*'Données projet'!H65</f>
        <v>0</v>
      </c>
      <c r="D57" s="179">
        <f t="shared" si="4"/>
        <v>0</v>
      </c>
      <c r="E57" s="193"/>
      <c r="F57" s="231"/>
      <c r="G57" s="204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">
      <c r="A58" s="180">
        <f>'Données projet'!A66</f>
        <v>0</v>
      </c>
      <c r="B58" s="181">
        <f>'Données projet'!D66</f>
        <v>0</v>
      </c>
      <c r="C58" s="191">
        <f>60*'Données projet'!E66+13.8*('Données projet'!F66+'Données projet'!G66)+10*'Données projet'!H66</f>
        <v>0</v>
      </c>
      <c r="D58" s="179">
        <f t="shared" si="4"/>
        <v>0</v>
      </c>
      <c r="E58" s="193"/>
      <c r="F58" s="231"/>
      <c r="G58" s="204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">
      <c r="A59" s="180">
        <f>'Données projet'!A67</f>
        <v>0</v>
      </c>
      <c r="B59" s="181">
        <f>'Données projet'!D67</f>
        <v>0</v>
      </c>
      <c r="C59" s="191">
        <f>60*'Données projet'!E67+13.8*('Données projet'!F67+'Données projet'!G67)+10*'Données projet'!H67</f>
        <v>0</v>
      </c>
      <c r="D59" s="179">
        <f t="shared" si="4"/>
        <v>0</v>
      </c>
      <c r="E59" s="193"/>
      <c r="F59" s="231"/>
      <c r="G59" s="204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">
      <c r="A60" s="180">
        <f>'Données projet'!A68</f>
        <v>0</v>
      </c>
      <c r="B60" s="181">
        <f>'Données projet'!D68</f>
        <v>0</v>
      </c>
      <c r="C60" s="191">
        <f>60*'Données projet'!E68+13.8*('Données projet'!F68+'Données projet'!G68)+10*'Données projet'!H68</f>
        <v>0</v>
      </c>
      <c r="D60" s="179">
        <f t="shared" si="4"/>
        <v>0</v>
      </c>
      <c r="E60" s="193"/>
      <c r="F60" s="231"/>
      <c r="G60" s="205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">
      <c r="A61" s="180">
        <f>'Données projet'!A69</f>
        <v>0</v>
      </c>
      <c r="B61" s="181">
        <f>'Données projet'!D69</f>
        <v>0</v>
      </c>
      <c r="C61" s="191">
        <f>60*'Données projet'!E69+13.8*('Données projet'!F69+'Données projet'!G69)+10*'Données projet'!H69</f>
        <v>0</v>
      </c>
      <c r="D61" s="179">
        <f t="shared" si="4"/>
        <v>0</v>
      </c>
      <c r="E61" s="193"/>
      <c r="F61" s="231"/>
      <c r="G61" s="205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">
      <c r="A62" s="180">
        <f>'Données projet'!A70</f>
        <v>0</v>
      </c>
      <c r="B62" s="181">
        <f>'Données projet'!D70</f>
        <v>0</v>
      </c>
      <c r="C62" s="191">
        <f>60*'Données projet'!E70+13.8*('Données projet'!F70+'Données projet'!G70)+10*'Données projet'!H70</f>
        <v>0</v>
      </c>
      <c r="D62" s="179">
        <f t="shared" si="4"/>
        <v>0</v>
      </c>
      <c r="E62" s="193"/>
      <c r="F62" s="231"/>
      <c r="G62" s="205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">
      <c r="A63" s="180">
        <f>'Données projet'!A71</f>
        <v>0</v>
      </c>
      <c r="B63" s="181">
        <f>'Données projet'!D71</f>
        <v>0</v>
      </c>
      <c r="C63" s="191">
        <f>60*'Données projet'!E71+13.8*('Données projet'!F71+'Données projet'!G71)+10*'Données projet'!H71</f>
        <v>0</v>
      </c>
      <c r="D63" s="179">
        <f t="shared" si="4"/>
        <v>0</v>
      </c>
      <c r="E63" s="193"/>
      <c r="F63" s="231"/>
      <c r="G63" s="205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">
      <c r="A64" s="180">
        <f>'Données projet'!A72</f>
        <v>0</v>
      </c>
      <c r="B64" s="181">
        <f>'Données projet'!D72</f>
        <v>0</v>
      </c>
      <c r="C64" s="191">
        <f>60*'Données projet'!E72+13.8*('Données projet'!F72+'Données projet'!G72)+10*'Données projet'!H72</f>
        <v>0</v>
      </c>
      <c r="D64" s="179">
        <f t="shared" si="4"/>
        <v>0</v>
      </c>
      <c r="E64" s="193"/>
      <c r="F64" s="231"/>
      <c r="G64" s="205"/>
      <c r="H64" s="190"/>
      <c r="I64" s="191"/>
      <c r="J64" s="206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">
      <c r="A65" s="180">
        <f>'Données projet'!A73</f>
        <v>0</v>
      </c>
      <c r="B65" s="181">
        <f>'Données projet'!D73</f>
        <v>0</v>
      </c>
      <c r="C65" s="191">
        <f>60*'Données projet'!E73+13.8*('Données projet'!F73+'Données projet'!G73)+10*'Données projet'!H73</f>
        <v>0</v>
      </c>
      <c r="D65" s="179">
        <f t="shared" si="4"/>
        <v>0</v>
      </c>
      <c r="E65" s="193"/>
      <c r="F65" s="231"/>
      <c r="G65" s="205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">
      <c r="A66" s="180">
        <f>'Données projet'!A74</f>
        <v>0</v>
      </c>
      <c r="B66" s="181">
        <f>'Données projet'!D74</f>
        <v>0</v>
      </c>
      <c r="C66" s="191">
        <f>60*'Données projet'!E74+13.8*('Données projet'!F74+'Données projet'!G74)+10*'Données projet'!H74</f>
        <v>0</v>
      </c>
      <c r="D66" s="179">
        <f t="shared" si="4"/>
        <v>0</v>
      </c>
      <c r="E66" s="193"/>
      <c r="F66" s="231"/>
      <c r="G66" s="205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">
      <c r="A67" s="180">
        <f>'Données projet'!A75</f>
        <v>0</v>
      </c>
      <c r="B67" s="181">
        <f>'Données projet'!D75</f>
        <v>0</v>
      </c>
      <c r="C67" s="191">
        <f>60*'Données projet'!E75+13.8*('Données projet'!F75+'Données projet'!G75)+10*'Données projet'!H75</f>
        <v>0</v>
      </c>
      <c r="D67" s="179">
        <f t="shared" si="4"/>
        <v>0</v>
      </c>
      <c r="E67" s="193"/>
      <c r="F67" s="231"/>
      <c r="G67" s="205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">
      <c r="A68" s="180">
        <f>'Données projet'!A76</f>
        <v>0</v>
      </c>
      <c r="B68" s="181">
        <f>'Données projet'!D76</f>
        <v>0</v>
      </c>
      <c r="C68" s="191">
        <f>60*'Données projet'!E76+13.8*('Données projet'!F76+'Données projet'!G76)+10*'Données projet'!H76</f>
        <v>0</v>
      </c>
      <c r="D68" s="179">
        <f t="shared" si="4"/>
        <v>0</v>
      </c>
      <c r="E68" s="193"/>
      <c r="F68" s="231"/>
      <c r="G68" s="205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">
      <c r="A69" s="180">
        <f>'Données projet'!A77</f>
        <v>0</v>
      </c>
      <c r="B69" s="181">
        <f>'Données projet'!D77</f>
        <v>0</v>
      </c>
      <c r="C69" s="191">
        <f>60*'Données projet'!E77+13.8*('Données projet'!F77+'Données projet'!G77)+10*'Données projet'!H77</f>
        <v>0</v>
      </c>
      <c r="D69" s="179">
        <f t="shared" si="4"/>
        <v>0</v>
      </c>
      <c r="E69" s="193"/>
      <c r="F69" s="231"/>
      <c r="G69" s="205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">
      <c r="A70" s="180">
        <f>'Données projet'!A78</f>
        <v>0</v>
      </c>
      <c r="B70" s="181">
        <f>'Données projet'!D78</f>
        <v>0</v>
      </c>
      <c r="C70" s="191">
        <f>60*'Données projet'!E78+13.8*('Données projet'!F78+'Données projet'!G78)+10*'Données projet'!H78</f>
        <v>0</v>
      </c>
      <c r="D70" s="179">
        <f t="shared" si="4"/>
        <v>0</v>
      </c>
      <c r="E70" s="193"/>
      <c r="F70" s="231"/>
      <c r="G70" s="205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">
      <c r="A71" s="180">
        <f>'Données projet'!A79</f>
        <v>0</v>
      </c>
      <c r="B71" s="181">
        <f>'Données projet'!D79</f>
        <v>0</v>
      </c>
      <c r="C71" s="191">
        <f>60*'Données projet'!E79+13.8*('Données projet'!F79+'Données projet'!G79)+10*'Données projet'!H79</f>
        <v>0</v>
      </c>
      <c r="D71" s="179">
        <f t="shared" si="4"/>
        <v>0</v>
      </c>
      <c r="E71" s="193"/>
      <c r="F71" s="231"/>
      <c r="G71" s="205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">
      <c r="A72" s="180">
        <f>'Données projet'!A80</f>
        <v>0</v>
      </c>
      <c r="B72" s="181">
        <f>'Données projet'!D80</f>
        <v>0</v>
      </c>
      <c r="C72" s="191">
        <f>60*'Données projet'!E80+13.8*('Données projet'!F80+'Données projet'!G80)+10*'Données projet'!H80</f>
        <v>0</v>
      </c>
      <c r="D72" s="179">
        <f t="shared" si="4"/>
        <v>0</v>
      </c>
      <c r="E72" s="193"/>
      <c r="F72" s="231"/>
      <c r="G72" s="205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">
      <c r="A73" s="180">
        <f>'Données projet'!A81</f>
        <v>0</v>
      </c>
      <c r="B73" s="181">
        <f>'Données projet'!D81</f>
        <v>0</v>
      </c>
      <c r="C73" s="191">
        <f>60*'Données projet'!E81+13.8*('Données projet'!F81+'Données projet'!G81)+10*'Données projet'!H81</f>
        <v>0</v>
      </c>
      <c r="D73" s="179">
        <f t="shared" si="4"/>
        <v>0</v>
      </c>
      <c r="E73" s="193"/>
      <c r="F73" s="231"/>
      <c r="G73" s="205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">
      <c r="A74" s="4"/>
      <c r="B74" s="4"/>
      <c r="C74" s="4"/>
      <c r="D74" s="4"/>
      <c r="E74" s="4"/>
      <c r="F74" s="229"/>
      <c r="G74" s="205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">
      <c r="A75" s="4"/>
      <c r="B75" s="4"/>
      <c r="C75" s="4"/>
      <c r="D75" s="4"/>
      <c r="E75" s="4"/>
      <c r="F75" s="229"/>
      <c r="G75" s="205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29"/>
      <c r="G76" s="205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">
      <c r="A77" s="4"/>
      <c r="B77" s="4"/>
      <c r="C77" s="4"/>
      <c r="D77" s="4"/>
      <c r="E77" s="4"/>
      <c r="F77" s="229"/>
      <c r="G77" s="205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16" x14ac:dyDescent="0.2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0"/>
      <c r="G78" s="205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ht="16" x14ac:dyDescent="0.2">
      <c r="A79" s="49">
        <v>0</v>
      </c>
      <c r="B79" s="198" t="s">
        <v>132</v>
      </c>
      <c r="C79" s="197" t="s">
        <v>132</v>
      </c>
      <c r="D79" s="196" t="s">
        <v>132</v>
      </c>
      <c r="E79" s="193"/>
      <c r="F79" s="230"/>
      <c r="G79" s="205"/>
      <c r="H79" s="190"/>
      <c r="I79" s="191"/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5"/>
        <v>#VALUE!</v>
      </c>
      <c r="Q79" s="23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ht="16" x14ac:dyDescent="0.2">
      <c r="A80" s="49">
        <v>1</v>
      </c>
      <c r="B80" s="198" t="s">
        <v>132</v>
      </c>
      <c r="C80" s="197" t="s">
        <v>132</v>
      </c>
      <c r="D80" s="196" t="s">
        <v>132</v>
      </c>
      <c r="E80" s="193"/>
      <c r="F80" s="230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ht="16" x14ac:dyDescent="0.2">
      <c r="A81" s="49">
        <v>2</v>
      </c>
      <c r="B81" s="198" t="s">
        <v>132</v>
      </c>
      <c r="C81" s="197" t="s">
        <v>132</v>
      </c>
      <c r="D81" s="196" t="s">
        <v>132</v>
      </c>
      <c r="E81" s="193"/>
      <c r="F81" s="230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ht="16" x14ac:dyDescent="0.2">
      <c r="A82" s="49">
        <v>3</v>
      </c>
      <c r="B82" s="198" t="s">
        <v>132</v>
      </c>
      <c r="C82" s="197" t="s">
        <v>132</v>
      </c>
      <c r="D82" s="196" t="s">
        <v>132</v>
      </c>
      <c r="E82" s="193"/>
      <c r="F82" s="230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ht="16" x14ac:dyDescent="0.2">
      <c r="A83" s="49">
        <v>4</v>
      </c>
      <c r="B83" s="198" t="s">
        <v>132</v>
      </c>
      <c r="C83" s="197" t="s">
        <v>132</v>
      </c>
      <c r="D83" s="196" t="s">
        <v>132</v>
      </c>
      <c r="E83" s="193"/>
      <c r="F83" s="230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">
      <c r="A84" s="49">
        <v>5</v>
      </c>
      <c r="B84" s="198" t="s">
        <v>132</v>
      </c>
      <c r="C84" s="197" t="s">
        <v>132</v>
      </c>
      <c r="D84" s="196" t="s">
        <v>132</v>
      </c>
      <c r="E84" s="193"/>
      <c r="F84" s="230"/>
      <c r="G84" s="204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">
      <c r="A85" s="180">
        <f>'Données projet'!A88</f>
        <v>0</v>
      </c>
      <c r="B85" s="181">
        <f>'Données projet'!D88</f>
        <v>0</v>
      </c>
      <c r="C85" s="191">
        <f>42*'Données projet'!E88+19.4*('Données projet'!F88+'Données projet'!G88)+10*'Données projet'!H88</f>
        <v>0</v>
      </c>
      <c r="D85" s="179">
        <f>B85*C85</f>
        <v>0</v>
      </c>
      <c r="E85" s="193"/>
      <c r="F85" s="231"/>
      <c r="G85" s="204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">
      <c r="A86" s="180">
        <f>'Données projet'!A89</f>
        <v>0</v>
      </c>
      <c r="B86" s="181">
        <f>'Données projet'!D89</f>
        <v>0</v>
      </c>
      <c r="C86" s="191">
        <f>50*'Données projet'!E89+19.4*('Données projet'!F89+'Données projet'!G89)+10*'Données projet'!H89</f>
        <v>0</v>
      </c>
      <c r="D86" s="179">
        <f t="shared" ref="D86:D104" si="6">B86*C86</f>
        <v>0</v>
      </c>
      <c r="E86" s="193"/>
      <c r="F86" s="231"/>
      <c r="G86" s="204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">
      <c r="A87" s="180">
        <f>'Données projet'!A90</f>
        <v>0</v>
      </c>
      <c r="B87" s="181">
        <f>'Données projet'!D90</f>
        <v>0</v>
      </c>
      <c r="C87" s="191">
        <f>50*'Données projet'!E90+13.8*('Données projet'!F90+'Données projet'!G90)+10*'Données projet'!H90</f>
        <v>0</v>
      </c>
      <c r="D87" s="179">
        <f t="shared" si="6"/>
        <v>0</v>
      </c>
      <c r="E87" s="193"/>
      <c r="F87" s="231"/>
      <c r="G87" s="204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">
      <c r="A88" s="180">
        <f>'Données projet'!A91</f>
        <v>0</v>
      </c>
      <c r="B88" s="181">
        <f>'Données projet'!D91</f>
        <v>0</v>
      </c>
      <c r="C88" s="191">
        <f>50*'Données projet'!E91+13.8*('Données projet'!F91+'Données projet'!G91)+10*'Données projet'!H91</f>
        <v>0</v>
      </c>
      <c r="D88" s="179">
        <f t="shared" si="6"/>
        <v>0</v>
      </c>
      <c r="E88" s="193"/>
      <c r="F88" s="231"/>
      <c r="G88" s="204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">
      <c r="A89" s="180">
        <f>'Données projet'!A92</f>
        <v>0</v>
      </c>
      <c r="B89" s="181">
        <f>'Données projet'!D92</f>
        <v>0</v>
      </c>
      <c r="C89" s="191">
        <f>50*'Données projet'!E92+13.8*('Données projet'!F92+'Données projet'!G92)+10*'Données projet'!H92</f>
        <v>0</v>
      </c>
      <c r="D89" s="179">
        <f t="shared" si="6"/>
        <v>0</v>
      </c>
      <c r="E89" s="193"/>
      <c r="F89" s="231"/>
      <c r="G89" s="204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">
      <c r="A90" s="180">
        <f>'Données projet'!A93</f>
        <v>0</v>
      </c>
      <c r="B90" s="181">
        <f>'Données projet'!D93</f>
        <v>0</v>
      </c>
      <c r="C90" s="191">
        <f>50*'Données projet'!E93+13.8*('Données projet'!F93+'Données projet'!G93)+10*'Données projet'!H93</f>
        <v>0</v>
      </c>
      <c r="D90" s="179">
        <f t="shared" si="6"/>
        <v>0</v>
      </c>
      <c r="E90" s="193"/>
      <c r="F90" s="231"/>
      <c r="G90" s="204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">
      <c r="A91" s="180">
        <f>'Données projet'!A94</f>
        <v>0</v>
      </c>
      <c r="B91" s="181">
        <f>'Données projet'!D94</f>
        <v>0</v>
      </c>
      <c r="C91" s="191">
        <f>50*'Données projet'!E94+13.8*('Données projet'!F94+'Données projet'!G94)+10*'Données projet'!H94</f>
        <v>0</v>
      </c>
      <c r="D91" s="179">
        <f t="shared" si="6"/>
        <v>0</v>
      </c>
      <c r="E91" s="193"/>
      <c r="F91" s="231"/>
      <c r="G91" s="205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">
      <c r="A92" s="180">
        <f>'Données projet'!A95</f>
        <v>0</v>
      </c>
      <c r="B92" s="181">
        <f>'Données projet'!D95</f>
        <v>0</v>
      </c>
      <c r="C92" s="191">
        <f>50*'Données projet'!E95+13.8*('Données projet'!F95+'Données projet'!G95)+10*'Données projet'!H95</f>
        <v>0</v>
      </c>
      <c r="D92" s="179">
        <f t="shared" si="6"/>
        <v>0</v>
      </c>
      <c r="E92" s="193"/>
      <c r="F92" s="231"/>
      <c r="G92" s="205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">
      <c r="A93" s="180">
        <f>'Données projet'!A96</f>
        <v>0</v>
      </c>
      <c r="B93" s="181">
        <f>'Données projet'!D96</f>
        <v>0</v>
      </c>
      <c r="C93" s="191">
        <f>42*'Données projet'!E96+19.4*('Données projet'!F96+'Données projet'!G96)+10*'Données projet'!H96</f>
        <v>0</v>
      </c>
      <c r="D93" s="179">
        <f t="shared" si="6"/>
        <v>0</v>
      </c>
      <c r="E93" s="193"/>
      <c r="F93" s="231"/>
      <c r="G93" s="205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">
      <c r="A94" s="180">
        <f>'Données projet'!A97</f>
        <v>0</v>
      </c>
      <c r="B94" s="181">
        <f>'Données projet'!D97</f>
        <v>0</v>
      </c>
      <c r="C94" s="191">
        <f>42*'Données projet'!E97+19.4*('Données projet'!F97+'Données projet'!G97)+10*'Données projet'!H97</f>
        <v>0</v>
      </c>
      <c r="D94" s="179">
        <f t="shared" si="6"/>
        <v>0</v>
      </c>
      <c r="E94" s="193"/>
      <c r="F94" s="231"/>
      <c r="G94" s="205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">
      <c r="A95" s="180">
        <f>'Données projet'!A98</f>
        <v>0</v>
      </c>
      <c r="B95" s="181">
        <f>'Données projet'!D98</f>
        <v>0</v>
      </c>
      <c r="C95" s="191">
        <f>42*'Données projet'!E98+19.4*('Données projet'!F98+'Données projet'!G98)+10*'Données projet'!H98</f>
        <v>0</v>
      </c>
      <c r="D95" s="179">
        <f t="shared" si="6"/>
        <v>0</v>
      </c>
      <c r="E95" s="193"/>
      <c r="F95" s="231"/>
      <c r="G95" s="205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">
      <c r="A96" s="180">
        <f>'Données projet'!A99</f>
        <v>0</v>
      </c>
      <c r="B96" s="181">
        <f>'Données projet'!D99</f>
        <v>0</v>
      </c>
      <c r="C96" s="191">
        <f>42*'Données projet'!E99+19.4*('Données projet'!F99+'Données projet'!G99)+10*'Données projet'!H99</f>
        <v>0</v>
      </c>
      <c r="D96" s="179">
        <f t="shared" si="6"/>
        <v>0</v>
      </c>
      <c r="E96" s="193"/>
      <c r="F96" s="231"/>
      <c r="G96" s="205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">
      <c r="A97" s="180">
        <f>'Données projet'!A100</f>
        <v>0</v>
      </c>
      <c r="B97" s="181">
        <f>'Données projet'!D100</f>
        <v>0</v>
      </c>
      <c r="C97" s="191">
        <f>42*'Données projet'!E100+19.4*('Données projet'!F100+'Données projet'!G100)+10*'Données projet'!H100</f>
        <v>0</v>
      </c>
      <c r="D97" s="179">
        <f t="shared" si="6"/>
        <v>0</v>
      </c>
      <c r="E97" s="193"/>
      <c r="F97" s="231"/>
      <c r="G97" s="205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">
      <c r="A98" s="180">
        <f>'Données projet'!A101</f>
        <v>0</v>
      </c>
      <c r="B98" s="181">
        <f>'Données projet'!D101</f>
        <v>0</v>
      </c>
      <c r="C98" s="191">
        <f>42*'Données projet'!E101+19.4*('Données projet'!F101+'Données projet'!G101)+10*'Données projet'!H101</f>
        <v>0</v>
      </c>
      <c r="D98" s="179">
        <f t="shared" si="6"/>
        <v>0</v>
      </c>
      <c r="E98" s="193"/>
      <c r="F98" s="231"/>
      <c r="G98" s="205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">
      <c r="A99" s="180">
        <f>'Données projet'!A102</f>
        <v>0</v>
      </c>
      <c r="B99" s="181">
        <f>'Données projet'!D102</f>
        <v>0</v>
      </c>
      <c r="C99" s="191">
        <f>42*'Données projet'!E102+19.4*('Données projet'!F102+'Données projet'!G102)+10*'Données projet'!H102</f>
        <v>0</v>
      </c>
      <c r="D99" s="179">
        <f t="shared" si="6"/>
        <v>0</v>
      </c>
      <c r="E99" s="193"/>
      <c r="F99" s="231"/>
      <c r="G99" s="205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">
      <c r="A100" s="180">
        <f>'Données projet'!A103</f>
        <v>0</v>
      </c>
      <c r="B100" s="181">
        <f>'Données projet'!D103</f>
        <v>0</v>
      </c>
      <c r="C100" s="191">
        <f>42*'Données projet'!E103+19.4*('Données projet'!F103+'Données projet'!G103)+10*'Données projet'!H103</f>
        <v>0</v>
      </c>
      <c r="D100" s="179">
        <f t="shared" si="6"/>
        <v>0</v>
      </c>
      <c r="E100" s="193"/>
      <c r="F100" s="231"/>
      <c r="G100" s="205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">
      <c r="A101" s="180">
        <f>'Données projet'!A104</f>
        <v>0</v>
      </c>
      <c r="B101" s="181">
        <f>'Données projet'!D104</f>
        <v>0</v>
      </c>
      <c r="C101" s="191">
        <f>42*'Données projet'!E104+19.4*('Données projet'!F104+'Données projet'!G104)+10*'Données projet'!H104</f>
        <v>0</v>
      </c>
      <c r="D101" s="179">
        <f t="shared" si="6"/>
        <v>0</v>
      </c>
      <c r="E101" s="193"/>
      <c r="F101" s="231"/>
      <c r="G101" s="205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">
      <c r="A102" s="180">
        <f>'Données projet'!A105</f>
        <v>0</v>
      </c>
      <c r="B102" s="181">
        <f>'Données projet'!D105</f>
        <v>0</v>
      </c>
      <c r="C102" s="191">
        <f>42*'Données projet'!E105+19.4*('Données projet'!F105+'Données projet'!G105)+10*'Données projet'!H105</f>
        <v>0</v>
      </c>
      <c r="D102" s="179">
        <f t="shared" si="6"/>
        <v>0</v>
      </c>
      <c r="E102" s="193"/>
      <c r="F102" s="231"/>
      <c r="G102" s="205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">
      <c r="A103" s="180">
        <f>'Données projet'!A106</f>
        <v>0</v>
      </c>
      <c r="B103" s="181">
        <f>'Données projet'!D106</f>
        <v>0</v>
      </c>
      <c r="C103" s="191">
        <f>42*'Données projet'!E106+19.4*('Données projet'!F106+'Données projet'!G106)+10*'Données projet'!H106</f>
        <v>0</v>
      </c>
      <c r="D103" s="179">
        <f t="shared" si="6"/>
        <v>0</v>
      </c>
      <c r="E103" s="193"/>
      <c r="F103" s="231"/>
      <c r="G103" s="205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">
      <c r="A104" s="180">
        <f>'Données projet'!A107</f>
        <v>0</v>
      </c>
      <c r="B104" s="181">
        <f>'Données projet'!D107</f>
        <v>0</v>
      </c>
      <c r="C104" s="191">
        <f>42*'Données projet'!E107+19.4*('Données projet'!F107+'Données projet'!G107)+10*'Données projet'!H107</f>
        <v>0</v>
      </c>
      <c r="D104" s="179">
        <f t="shared" si="6"/>
        <v>0</v>
      </c>
      <c r="E104" s="193"/>
      <c r="F104" s="231"/>
      <c r="G104" s="205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">
      <c r="A105" s="4"/>
      <c r="B105" s="4"/>
      <c r="C105" s="4"/>
      <c r="D105" s="4"/>
      <c r="E105" s="4"/>
      <c r="F105" s="229"/>
      <c r="G105" s="205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">
      <c r="A106" s="4"/>
      <c r="B106" s="4"/>
      <c r="C106" s="4"/>
      <c r="D106" s="4"/>
      <c r="E106" s="4"/>
      <c r="F106" s="229"/>
      <c r="G106" s="205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29"/>
      <c r="G107" s="205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">
      <c r="A108" s="4"/>
      <c r="B108" s="4"/>
      <c r="C108" s="4"/>
      <c r="D108" s="4"/>
      <c r="E108" s="4"/>
      <c r="F108" s="229"/>
      <c r="G108" s="205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16" x14ac:dyDescent="0.2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0"/>
      <c r="G109" s="205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ht="16" x14ac:dyDescent="0.2">
      <c r="A110" s="49">
        <v>0</v>
      </c>
      <c r="B110" s="198" t="s">
        <v>132</v>
      </c>
      <c r="C110" s="197" t="s">
        <v>132</v>
      </c>
      <c r="D110" s="196" t="s">
        <v>132</v>
      </c>
      <c r="E110" s="193"/>
      <c r="F110" s="230"/>
      <c r="G110" s="205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ht="16" x14ac:dyDescent="0.2">
      <c r="A111" s="49">
        <v>1</v>
      </c>
      <c r="B111" s="198" t="s">
        <v>132</v>
      </c>
      <c r="C111" s="197" t="s">
        <v>132</v>
      </c>
      <c r="D111" s="196" t="s">
        <v>132</v>
      </c>
      <c r="E111" s="193"/>
      <c r="F111" s="230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ht="16" x14ac:dyDescent="0.2">
      <c r="A112" s="49">
        <v>2</v>
      </c>
      <c r="B112" s="198" t="s">
        <v>132</v>
      </c>
      <c r="C112" s="197" t="s">
        <v>132</v>
      </c>
      <c r="D112" s="196" t="s">
        <v>132</v>
      </c>
      <c r="E112" s="193"/>
      <c r="F112" s="230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ht="16" x14ac:dyDescent="0.2">
      <c r="A113" s="49">
        <v>3</v>
      </c>
      <c r="B113" s="198" t="s">
        <v>132</v>
      </c>
      <c r="C113" s="197" t="s">
        <v>132</v>
      </c>
      <c r="D113" s="196" t="s">
        <v>132</v>
      </c>
      <c r="E113" s="193"/>
      <c r="F113" s="230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ht="16" x14ac:dyDescent="0.2">
      <c r="A114" s="49">
        <v>4</v>
      </c>
      <c r="B114" s="198" t="s">
        <v>132</v>
      </c>
      <c r="C114" s="197" t="s">
        <v>132</v>
      </c>
      <c r="D114" s="196" t="s">
        <v>132</v>
      </c>
      <c r="E114" s="193"/>
      <c r="F114" s="230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">
      <c r="A115" s="49">
        <v>5</v>
      </c>
      <c r="B115" s="198" t="s">
        <v>132</v>
      </c>
      <c r="C115" s="197" t="s">
        <v>132</v>
      </c>
      <c r="D115" s="196" t="s">
        <v>132</v>
      </c>
      <c r="E115" s="193"/>
      <c r="F115" s="230"/>
      <c r="G115" s="204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">
      <c r="A116" s="180">
        <f>'Données projet'!A114</f>
        <v>0</v>
      </c>
      <c r="B116" s="181">
        <f>'Données projet'!D114</f>
        <v>0</v>
      </c>
      <c r="C116" s="191">
        <f>225*'Données projet'!E114+19.5*('Données projet'!F114+'Données projet'!G114)+10*'Données projet'!H114</f>
        <v>0</v>
      </c>
      <c r="D116" s="179">
        <f>B116*C116</f>
        <v>0</v>
      </c>
      <c r="E116" s="193"/>
      <c r="F116" s="231"/>
      <c r="G116" s="204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">
      <c r="A117" s="180">
        <f>'Données projet'!A115</f>
        <v>0</v>
      </c>
      <c r="B117" s="181">
        <f>'Données projet'!D115</f>
        <v>0</v>
      </c>
      <c r="C117" s="191">
        <f>225*'Données projet'!E115+19.5*('Données projet'!F115+'Données projet'!G115)+10*'Données projet'!H115</f>
        <v>0</v>
      </c>
      <c r="D117" s="179">
        <f t="shared" ref="D117:D135" si="8">B117*C117</f>
        <v>0</v>
      </c>
      <c r="E117" s="193"/>
      <c r="F117" s="231"/>
      <c r="G117" s="204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">
      <c r="A118" s="180">
        <f>'Données projet'!A116</f>
        <v>0</v>
      </c>
      <c r="B118" s="181">
        <f>'Données projet'!D116</f>
        <v>0</v>
      </c>
      <c r="C118" s="191">
        <f>225*'Données projet'!E116+19.5*('Données projet'!F116+'Données projet'!G116)+10*'Données projet'!H116</f>
        <v>0</v>
      </c>
      <c r="D118" s="179">
        <f t="shared" si="8"/>
        <v>0</v>
      </c>
      <c r="E118" s="193"/>
      <c r="F118" s="231"/>
      <c r="G118" s="204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">
      <c r="A119" s="180">
        <f>'Données projet'!A117</f>
        <v>0</v>
      </c>
      <c r="B119" s="181">
        <f>'Données projet'!D117</f>
        <v>0</v>
      </c>
      <c r="C119" s="191">
        <f>225*'Données projet'!E117+19.5*('Données projet'!F117+'Données projet'!G117)+10*'Données projet'!H117</f>
        <v>0</v>
      </c>
      <c r="D119" s="179">
        <f t="shared" si="8"/>
        <v>0</v>
      </c>
      <c r="E119" s="193"/>
      <c r="F119" s="231"/>
      <c r="G119" s="204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">
      <c r="A120" s="180">
        <f>'Données projet'!A118</f>
        <v>0</v>
      </c>
      <c r="B120" s="181">
        <f>'Données projet'!D118</f>
        <v>0</v>
      </c>
      <c r="C120" s="191">
        <f>225*'Données projet'!E118+19.5*('Données projet'!F118+'Données projet'!G118)+10*'Données projet'!H118</f>
        <v>0</v>
      </c>
      <c r="D120" s="179">
        <f t="shared" si="8"/>
        <v>0</v>
      </c>
      <c r="E120" s="193"/>
      <c r="F120" s="231"/>
      <c r="G120" s="204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">
      <c r="A121" s="180">
        <f>'Données projet'!A119</f>
        <v>0</v>
      </c>
      <c r="B121" s="181">
        <f>'Données projet'!D119</f>
        <v>0</v>
      </c>
      <c r="C121" s="191">
        <f>225*'Données projet'!E119+19.5*('Données projet'!F119+'Données projet'!G119)+10*'Données projet'!H119</f>
        <v>0</v>
      </c>
      <c r="D121" s="179">
        <f t="shared" si="8"/>
        <v>0</v>
      </c>
      <c r="E121" s="193"/>
      <c r="F121" s="231"/>
      <c r="G121" s="204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">
      <c r="A122" s="180">
        <f>'Données projet'!A120</f>
        <v>0</v>
      </c>
      <c r="B122" s="181">
        <f>'Données projet'!D120</f>
        <v>0</v>
      </c>
      <c r="C122" s="191">
        <f>225*'Données projet'!E120+19.5*('Données projet'!F120+'Données projet'!G120)+10*'Données projet'!H120</f>
        <v>0</v>
      </c>
      <c r="D122" s="179">
        <f t="shared" si="8"/>
        <v>0</v>
      </c>
      <c r="E122" s="193"/>
      <c r="F122" s="231"/>
      <c r="G122" s="205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">
      <c r="A123" s="180">
        <f>'Données projet'!A121</f>
        <v>0</v>
      </c>
      <c r="B123" s="181">
        <f>'Données projet'!D121</f>
        <v>0</v>
      </c>
      <c r="C123" s="191">
        <f>225*'Données projet'!E121+19.5*('Données projet'!F121+'Données projet'!G121)+10*'Données projet'!H121</f>
        <v>0</v>
      </c>
      <c r="D123" s="179">
        <f t="shared" si="8"/>
        <v>0</v>
      </c>
      <c r="E123" s="193"/>
      <c r="F123" s="231"/>
      <c r="G123" s="205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">
      <c r="A124" s="180">
        <f>'Données projet'!A122</f>
        <v>0</v>
      </c>
      <c r="B124" s="181">
        <f>'Données projet'!D122</f>
        <v>0</v>
      </c>
      <c r="C124" s="191">
        <f>225*'Données projet'!E122+19.5*('Données projet'!F122+'Données projet'!G122)+10*'Données projet'!H122</f>
        <v>0</v>
      </c>
      <c r="D124" s="179">
        <f t="shared" si="8"/>
        <v>0</v>
      </c>
      <c r="E124" s="193"/>
      <c r="F124" s="231"/>
      <c r="G124" s="205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">
      <c r="A125" s="180">
        <f>'Données projet'!A123</f>
        <v>0</v>
      </c>
      <c r="B125" s="181">
        <f>'Données projet'!D123</f>
        <v>0</v>
      </c>
      <c r="C125" s="191">
        <f>225*'Données projet'!E123+19.5*('Données projet'!F123+'Données projet'!G123)+10*'Données projet'!H123</f>
        <v>0</v>
      </c>
      <c r="D125" s="179">
        <f t="shared" si="8"/>
        <v>0</v>
      </c>
      <c r="E125" s="193"/>
      <c r="F125" s="231"/>
      <c r="G125" s="205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">
      <c r="A126" s="180">
        <f>'Données projet'!A124</f>
        <v>0</v>
      </c>
      <c r="B126" s="181">
        <f>'Données projet'!D124</f>
        <v>0</v>
      </c>
      <c r="C126" s="191">
        <f>225*'Données projet'!E124+19.5*('Données projet'!F124+'Données projet'!G124)+10*'Données projet'!H124</f>
        <v>0</v>
      </c>
      <c r="D126" s="179">
        <f t="shared" si="8"/>
        <v>0</v>
      </c>
      <c r="E126" s="193"/>
      <c r="F126" s="231"/>
      <c r="G126" s="205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">
      <c r="A127" s="180">
        <f>'Données projet'!A125</f>
        <v>0</v>
      </c>
      <c r="B127" s="181">
        <f>'Données projet'!D125</f>
        <v>0</v>
      </c>
      <c r="C127" s="191">
        <f>225*'Données projet'!E125+19.5*('Données projet'!F125+'Données projet'!G125)+10*'Données projet'!H125</f>
        <v>0</v>
      </c>
      <c r="D127" s="179">
        <f t="shared" si="8"/>
        <v>0</v>
      </c>
      <c r="E127" s="193"/>
      <c r="F127" s="231"/>
      <c r="G127" s="205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">
      <c r="A128" s="180">
        <f>'Données projet'!A126</f>
        <v>0</v>
      </c>
      <c r="B128" s="181">
        <f>'Données projet'!D126</f>
        <v>0</v>
      </c>
      <c r="C128" s="191">
        <f>225*'Données projet'!E126+19.5*('Données projet'!F126+'Données projet'!G126)+10*'Données projet'!H126</f>
        <v>0</v>
      </c>
      <c r="D128" s="179">
        <f t="shared" si="8"/>
        <v>0</v>
      </c>
      <c r="E128" s="193"/>
      <c r="F128" s="231"/>
      <c r="G128" s="205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">
      <c r="A129" s="180">
        <f>'Données projet'!A127</f>
        <v>0</v>
      </c>
      <c r="B129" s="181">
        <f>'Données projet'!D127</f>
        <v>0</v>
      </c>
      <c r="C129" s="191">
        <f>225*'Données projet'!E127+19.5*('Données projet'!F127+'Données projet'!G127)+10*'Données projet'!H127</f>
        <v>0</v>
      </c>
      <c r="D129" s="179">
        <f t="shared" si="8"/>
        <v>0</v>
      </c>
      <c r="E129" s="193"/>
      <c r="F129" s="231"/>
      <c r="G129" s="205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">
      <c r="A130" s="180">
        <f>'Données projet'!A128</f>
        <v>0</v>
      </c>
      <c r="B130" s="181">
        <f>'Données projet'!D128</f>
        <v>0</v>
      </c>
      <c r="C130" s="191">
        <f>225*'Données projet'!E128+19.5*('Données projet'!F128+'Données projet'!G128)+10*'Données projet'!H128</f>
        <v>0</v>
      </c>
      <c r="D130" s="179">
        <f t="shared" si="8"/>
        <v>0</v>
      </c>
      <c r="E130" s="193"/>
      <c r="F130" s="231"/>
      <c r="G130" s="205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">
      <c r="A131" s="180">
        <f>'Données projet'!A129</f>
        <v>0</v>
      </c>
      <c r="B131" s="181">
        <f>'Données projet'!D129</f>
        <v>0</v>
      </c>
      <c r="C131" s="191">
        <f>225*'Données projet'!E129+19.5*('Données projet'!F129+'Données projet'!G129)+10*'Données projet'!H129</f>
        <v>0</v>
      </c>
      <c r="D131" s="179">
        <f t="shared" si="8"/>
        <v>0</v>
      </c>
      <c r="E131" s="193"/>
      <c r="F131" s="231"/>
      <c r="G131" s="205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">
      <c r="A132" s="180">
        <f>'Données projet'!A130</f>
        <v>0</v>
      </c>
      <c r="B132" s="181">
        <f>'Données projet'!D130</f>
        <v>0</v>
      </c>
      <c r="C132" s="191">
        <f>225*'Données projet'!E130+19.5*('Données projet'!F130+'Données projet'!G130)+10*'Données projet'!H130</f>
        <v>0</v>
      </c>
      <c r="D132" s="179">
        <f t="shared" si="8"/>
        <v>0</v>
      </c>
      <c r="E132" s="193"/>
      <c r="F132" s="231"/>
      <c r="G132" s="205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">
      <c r="A133" s="180">
        <f>'Données projet'!A131</f>
        <v>0</v>
      </c>
      <c r="B133" s="181">
        <f>'Données projet'!D131</f>
        <v>0</v>
      </c>
      <c r="C133" s="191">
        <f>42*'Données projet'!E131+19.5*('Données projet'!F131+'Données projet'!G131)+10*'Données projet'!H131</f>
        <v>0</v>
      </c>
      <c r="D133" s="179">
        <f t="shared" si="8"/>
        <v>0</v>
      </c>
      <c r="E133" s="193"/>
      <c r="F133" s="231"/>
      <c r="G133" s="205"/>
      <c r="H133" s="190"/>
      <c r="I133" s="191"/>
      <c r="J133" s="4"/>
      <c r="K133" s="173"/>
      <c r="Q133" s="23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">
      <c r="A134" s="180">
        <f>'Données projet'!A132</f>
        <v>0</v>
      </c>
      <c r="B134" s="181">
        <f>'Données projet'!D132</f>
        <v>0</v>
      </c>
      <c r="C134" s="191">
        <f>42*'Données projet'!E132+19.5*('Données projet'!F132+'Données projet'!G132)+10*'Données projet'!H132</f>
        <v>0</v>
      </c>
      <c r="D134" s="179">
        <f t="shared" si="8"/>
        <v>0</v>
      </c>
      <c r="E134" s="193"/>
      <c r="F134" s="231"/>
      <c r="G134" s="205"/>
      <c r="H134" s="190"/>
      <c r="I134" s="191"/>
      <c r="J134" s="4"/>
      <c r="K134" s="173"/>
      <c r="Q134" s="23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">
      <c r="A135" s="180">
        <f>'Données projet'!A133</f>
        <v>0</v>
      </c>
      <c r="B135" s="181">
        <f>'Données projet'!D133</f>
        <v>0</v>
      </c>
      <c r="C135" s="191">
        <f>42*'Données projet'!E133+19.5*('Données projet'!F133+'Données projet'!G133)+10*'Données projet'!H133</f>
        <v>0</v>
      </c>
      <c r="D135" s="179">
        <f t="shared" si="8"/>
        <v>0</v>
      </c>
      <c r="E135" s="193"/>
      <c r="F135" s="231"/>
      <c r="G135" s="205"/>
      <c r="H135" s="190"/>
      <c r="I135" s="191"/>
      <c r="J135" s="4"/>
      <c r="K135" s="173"/>
      <c r="Q135" s="23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">
      <c r="A136" s="4"/>
      <c r="B136" s="4"/>
      <c r="C136" s="4"/>
      <c r="D136" s="4"/>
      <c r="E136" s="4"/>
      <c r="F136" s="229"/>
      <c r="G136" s="205"/>
      <c r="H136" s="190"/>
      <c r="I136" s="191"/>
      <c r="J136" s="4"/>
      <c r="K136" s="173"/>
      <c r="L136" s="4"/>
      <c r="M136" s="4"/>
      <c r="N136" s="4"/>
      <c r="Q136" s="23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">
      <c r="A137" s="4"/>
      <c r="B137" s="4"/>
      <c r="C137" s="4"/>
      <c r="D137" s="4"/>
      <c r="E137" s="4"/>
      <c r="F137" s="229"/>
      <c r="G137" s="205"/>
      <c r="H137" s="190"/>
      <c r="I137" s="191"/>
      <c r="J137" s="4"/>
      <c r="K137" s="173"/>
      <c r="L137" s="4"/>
      <c r="M137" s="4"/>
      <c r="N137" s="4"/>
      <c r="Q137" s="23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29"/>
      <c r="G138" s="205"/>
      <c r="H138" s="190"/>
      <c r="I138" s="191"/>
      <c r="J138" s="4"/>
      <c r="K138" s="173"/>
      <c r="L138" s="4"/>
      <c r="M138" s="4"/>
      <c r="N138" s="4"/>
      <c r="Q138" s="23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">
      <c r="A139" s="4"/>
      <c r="B139" s="4"/>
      <c r="C139" s="4"/>
      <c r="D139" s="4"/>
      <c r="E139" s="4"/>
      <c r="F139" s="229"/>
      <c r="G139" s="205"/>
      <c r="H139" s="190"/>
      <c r="I139" s="191"/>
      <c r="J139" s="4"/>
      <c r="K139" s="173"/>
      <c r="L139" s="4"/>
      <c r="M139" s="4"/>
      <c r="N139" s="4"/>
      <c r="Q139" s="23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16" x14ac:dyDescent="0.2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0"/>
      <c r="G140" s="205"/>
      <c r="H140" s="190"/>
      <c r="I140" s="191"/>
      <c r="J140" s="4"/>
      <c r="K140" s="173"/>
      <c r="L140" s="4"/>
      <c r="M140" s="4"/>
      <c r="N140" s="4"/>
      <c r="Q140" s="23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ht="16" x14ac:dyDescent="0.2">
      <c r="A141" s="49">
        <v>0</v>
      </c>
      <c r="B141" s="198" t="s">
        <v>132</v>
      </c>
      <c r="C141" s="197" t="s">
        <v>132</v>
      </c>
      <c r="D141" s="196" t="s">
        <v>132</v>
      </c>
      <c r="E141" s="193"/>
      <c r="F141" s="230"/>
      <c r="G141" s="205"/>
      <c r="H141" s="190"/>
      <c r="I141" s="191"/>
      <c r="J141" s="4"/>
      <c r="K141" s="173"/>
      <c r="L141" s="4"/>
      <c r="M141" s="4"/>
      <c r="N141" s="4"/>
      <c r="Q141" s="23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ht="16" x14ac:dyDescent="0.2">
      <c r="A142" s="49">
        <v>1</v>
      </c>
      <c r="B142" s="198" t="s">
        <v>132</v>
      </c>
      <c r="C142" s="197" t="s">
        <v>132</v>
      </c>
      <c r="D142" s="196" t="s">
        <v>132</v>
      </c>
      <c r="E142" s="193"/>
      <c r="F142" s="230"/>
      <c r="G142" s="23"/>
      <c r="H142" s="190"/>
      <c r="I142" s="191"/>
      <c r="J142" s="4"/>
      <c r="K142" s="173"/>
      <c r="L142" s="4"/>
      <c r="M142" s="4"/>
      <c r="N142" s="4"/>
      <c r="Q142" s="23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ht="16" x14ac:dyDescent="0.2">
      <c r="A143" s="49">
        <v>2</v>
      </c>
      <c r="B143" s="198" t="s">
        <v>132</v>
      </c>
      <c r="C143" s="197" t="s">
        <v>132</v>
      </c>
      <c r="D143" s="196" t="s">
        <v>132</v>
      </c>
      <c r="E143" s="193"/>
      <c r="F143" s="230"/>
      <c r="G143" s="23"/>
      <c r="H143" s="190"/>
      <c r="I143" s="191"/>
      <c r="J143" s="4"/>
      <c r="K143" s="173"/>
      <c r="L143" s="4"/>
      <c r="M143" s="4"/>
      <c r="N143" s="4"/>
      <c r="Q143" s="23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ht="16" x14ac:dyDescent="0.2">
      <c r="A144" s="49">
        <v>3</v>
      </c>
      <c r="B144" s="198" t="s">
        <v>132</v>
      </c>
      <c r="C144" s="197" t="s">
        <v>132</v>
      </c>
      <c r="D144" s="196" t="s">
        <v>132</v>
      </c>
      <c r="E144" s="193"/>
      <c r="F144" s="230"/>
      <c r="G144" s="23"/>
      <c r="H144" s="190"/>
      <c r="I144" s="191"/>
      <c r="J144" s="4"/>
      <c r="K144" s="173"/>
      <c r="L144" s="4"/>
      <c r="M144" s="4"/>
      <c r="N144" s="4"/>
      <c r="Q144" s="23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ht="16" x14ac:dyDescent="0.2">
      <c r="A145" s="49">
        <v>4</v>
      </c>
      <c r="B145" s="198" t="s">
        <v>132</v>
      </c>
      <c r="C145" s="197" t="s">
        <v>132</v>
      </c>
      <c r="D145" s="196" t="s">
        <v>132</v>
      </c>
      <c r="E145" s="193"/>
      <c r="F145" s="230"/>
      <c r="G145" s="23"/>
      <c r="H145" s="190"/>
      <c r="I145" s="191"/>
      <c r="J145" s="4"/>
      <c r="K145" s="173"/>
      <c r="L145" s="4"/>
      <c r="M145" s="4"/>
      <c r="N145" s="4"/>
      <c r="Q145" s="23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">
      <c r="A146" s="49">
        <v>5</v>
      </c>
      <c r="B146" s="198" t="s">
        <v>132</v>
      </c>
      <c r="C146" s="197" t="s">
        <v>132</v>
      </c>
      <c r="D146" s="196" t="s">
        <v>132</v>
      </c>
      <c r="E146" s="193"/>
      <c r="F146" s="230"/>
      <c r="G146" s="204"/>
      <c r="H146" s="190"/>
      <c r="I146" s="191"/>
      <c r="J146" s="4"/>
      <c r="K146" s="173"/>
      <c r="L146" s="4"/>
      <c r="M146" s="4"/>
      <c r="N146" s="4"/>
      <c r="Q146" s="23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">
      <c r="A147" s="42">
        <f>'Données projet'!A140</f>
        <v>0</v>
      </c>
      <c r="B147" s="175">
        <f>'Données projet'!D140</f>
        <v>0</v>
      </c>
      <c r="C147" s="191">
        <f>50*'Données projet'!E140+13.8*('Données projet'!F140+'Données projet'!G140)+10*'Données projet'!H140</f>
        <v>0</v>
      </c>
      <c r="D147" s="182">
        <f>B147*C147</f>
        <v>0</v>
      </c>
      <c r="E147" s="193"/>
      <c r="F147" s="232"/>
      <c r="G147" s="204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">
      <c r="A148" s="42">
        <f>'Données projet'!A141</f>
        <v>0</v>
      </c>
      <c r="B148" s="175">
        <f>'Données projet'!D141</f>
        <v>0</v>
      </c>
      <c r="C148" s="191">
        <f>50*'Données projet'!E141+13.8*('Données projet'!F141+'Données projet'!G141)+10*'Données projet'!H141</f>
        <v>0</v>
      </c>
      <c r="D148" s="182">
        <f t="shared" ref="D148:D166" si="10">B148*C148</f>
        <v>0</v>
      </c>
      <c r="E148" s="193"/>
      <c r="F148" s="232"/>
      <c r="G148" s="204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">
      <c r="A149" s="42">
        <f>'Données projet'!A142</f>
        <v>0</v>
      </c>
      <c r="B149" s="175">
        <f>'Données projet'!D142</f>
        <v>0</v>
      </c>
      <c r="C149" s="191">
        <f>50*'Données projet'!E142+13.8*('Données projet'!F142+'Données projet'!G142)+10*'Données projet'!H142</f>
        <v>0</v>
      </c>
      <c r="D149" s="182">
        <f t="shared" si="10"/>
        <v>0</v>
      </c>
      <c r="E149" s="193"/>
      <c r="F149" s="232"/>
      <c r="G149" s="204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">
      <c r="A150" s="42">
        <f>'Données projet'!A143</f>
        <v>0</v>
      </c>
      <c r="B150" s="175">
        <f>'Données projet'!D143</f>
        <v>0</v>
      </c>
      <c r="C150" s="191">
        <f>50*'Données projet'!E143+13.8*('Données projet'!F143+'Données projet'!G143)+10*'Données projet'!H143</f>
        <v>0</v>
      </c>
      <c r="D150" s="182">
        <f t="shared" si="10"/>
        <v>0</v>
      </c>
      <c r="E150" s="193"/>
      <c r="F150" s="232"/>
      <c r="G150" s="204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">
      <c r="A151" s="42">
        <f>'Données projet'!A144</f>
        <v>0</v>
      </c>
      <c r="B151" s="175">
        <f>'Données projet'!D144</f>
        <v>0</v>
      </c>
      <c r="C151" s="191">
        <f>50*'Données projet'!E144+13.8*('Données projet'!F144+'Données projet'!G144)+10*'Données projet'!H144</f>
        <v>0</v>
      </c>
      <c r="D151" s="182">
        <f t="shared" si="10"/>
        <v>0</v>
      </c>
      <c r="E151" s="193"/>
      <c r="F151" s="232"/>
      <c r="G151" s="204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">
      <c r="A152" s="42">
        <f>'Données projet'!A145</f>
        <v>0</v>
      </c>
      <c r="B152" s="175">
        <f>'Données projet'!D145</f>
        <v>0</v>
      </c>
      <c r="C152" s="191">
        <f>50*'Données projet'!E145+13.8*('Données projet'!F145+'Données projet'!G145)+10*'Données projet'!H145</f>
        <v>0</v>
      </c>
      <c r="D152" s="182">
        <f t="shared" si="10"/>
        <v>0</v>
      </c>
      <c r="E152" s="193"/>
      <c r="F152" s="232"/>
      <c r="G152" s="204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">
      <c r="A153" s="42">
        <f>'Données projet'!A146</f>
        <v>0</v>
      </c>
      <c r="B153" s="175">
        <f>'Données projet'!D146</f>
        <v>0</v>
      </c>
      <c r="C153" s="191">
        <f>50*'Données projet'!E146+13.8*('Données projet'!F146+'Données projet'!G146)+10*'Données projet'!H146</f>
        <v>0</v>
      </c>
      <c r="D153" s="182">
        <f t="shared" si="10"/>
        <v>0</v>
      </c>
      <c r="E153" s="193"/>
      <c r="F153" s="232"/>
      <c r="G153" s="202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">
      <c r="A154" s="42">
        <f>'Données projet'!A147</f>
        <v>0</v>
      </c>
      <c r="B154" s="175">
        <f>'Données projet'!D147</f>
        <v>0</v>
      </c>
      <c r="C154" s="191">
        <f>50*'Données projet'!E147+13.8*('Données projet'!F147+'Données projet'!G147)+10*'Données projet'!H147</f>
        <v>0</v>
      </c>
      <c r="D154" s="182">
        <f t="shared" si="10"/>
        <v>0</v>
      </c>
      <c r="E154" s="193"/>
      <c r="F154" s="232"/>
      <c r="G154" s="202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">
      <c r="A155" s="42">
        <f>'Données projet'!A148</f>
        <v>0</v>
      </c>
      <c r="B155" s="175">
        <f>'Données projet'!D148</f>
        <v>0</v>
      </c>
      <c r="C155" s="191">
        <f>50*'Données projet'!E148+13.8*('Données projet'!F148+'Données projet'!G148)+10*'Données projet'!H148</f>
        <v>0</v>
      </c>
      <c r="D155" s="182">
        <f t="shared" si="10"/>
        <v>0</v>
      </c>
      <c r="E155" s="193"/>
      <c r="F155" s="232"/>
      <c r="G155" s="202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">
      <c r="A156" s="42">
        <f>'Données projet'!A149</f>
        <v>0</v>
      </c>
      <c r="B156" s="175">
        <f>'Données projet'!D149</f>
        <v>0</v>
      </c>
      <c r="C156" s="191">
        <f>50*'Données projet'!E149+13.8*('Données projet'!F149+'Données projet'!G149)+10*'Données projet'!H149</f>
        <v>0</v>
      </c>
      <c r="D156" s="182">
        <f t="shared" si="10"/>
        <v>0</v>
      </c>
      <c r="E156" s="193"/>
      <c r="F156" s="232"/>
      <c r="G156" s="202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">
      <c r="A157" s="42">
        <f>'Données projet'!A150</f>
        <v>0</v>
      </c>
      <c r="B157" s="175">
        <f>'Données projet'!D150</f>
        <v>0</v>
      </c>
      <c r="C157" s="191">
        <f>50*'Données projet'!E150+13.8*('Données projet'!F150+'Données projet'!G150)+10*'Données projet'!H150</f>
        <v>0</v>
      </c>
      <c r="D157" s="182">
        <f t="shared" si="10"/>
        <v>0</v>
      </c>
      <c r="E157" s="193"/>
      <c r="F157" s="232"/>
      <c r="G157" s="202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">
      <c r="A158" s="42">
        <f>'Données projet'!A151</f>
        <v>0</v>
      </c>
      <c r="B158" s="175">
        <f>'Données projet'!D151</f>
        <v>0</v>
      </c>
      <c r="C158" s="191">
        <f>50*'Données projet'!E151+13.8*('Données projet'!F151+'Données projet'!G151)+10*'Données projet'!H151</f>
        <v>0</v>
      </c>
      <c r="D158" s="182">
        <f t="shared" si="10"/>
        <v>0</v>
      </c>
      <c r="E158" s="193"/>
      <c r="F158" s="232"/>
      <c r="G158" s="202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">
      <c r="A159" s="42">
        <f>'Données projet'!A152</f>
        <v>0</v>
      </c>
      <c r="B159" s="175">
        <f>'Données projet'!D152</f>
        <v>0</v>
      </c>
      <c r="C159" s="191">
        <f>50*'Données projet'!E152+13.8*('Données projet'!F152+'Données projet'!G152)+10*'Données projet'!H152</f>
        <v>0</v>
      </c>
      <c r="D159" s="182">
        <f t="shared" si="10"/>
        <v>0</v>
      </c>
      <c r="E159" s="193"/>
      <c r="F159" s="232"/>
      <c r="G159" s="202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">
      <c r="A160" s="42">
        <f>'Données projet'!A153</f>
        <v>0</v>
      </c>
      <c r="B160" s="175">
        <f>'Données projet'!D153</f>
        <v>0</v>
      </c>
      <c r="C160" s="191">
        <f>50*'Données projet'!E153+13.8*('Données projet'!F153+'Données projet'!G153)+10*'Données projet'!H153</f>
        <v>0</v>
      </c>
      <c r="D160" s="182">
        <f t="shared" si="10"/>
        <v>0</v>
      </c>
      <c r="E160" s="193"/>
      <c r="F160" s="232"/>
      <c r="G160" s="202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">
      <c r="A161" s="42">
        <f>'Données projet'!A154</f>
        <v>0</v>
      </c>
      <c r="B161" s="175">
        <f>'Données projet'!D154</f>
        <v>0</v>
      </c>
      <c r="C161" s="191">
        <f>150*'Données projet'!E154+13.8*('Données projet'!F154+'Données projet'!G154)+10*'Données projet'!H154</f>
        <v>0</v>
      </c>
      <c r="D161" s="182">
        <f t="shared" si="10"/>
        <v>0</v>
      </c>
      <c r="E161" s="193"/>
      <c r="F161" s="232"/>
      <c r="G161" s="202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">
      <c r="A162" s="42">
        <f>'Données projet'!A155</f>
        <v>0</v>
      </c>
      <c r="B162" s="175">
        <f>'Données projet'!D155</f>
        <v>0</v>
      </c>
      <c r="C162" s="191">
        <f>150*'Données projet'!E155+13.8*('Données projet'!F155+'Données projet'!G155)+10*'Données projet'!H155</f>
        <v>0</v>
      </c>
      <c r="D162" s="182">
        <f t="shared" si="10"/>
        <v>0</v>
      </c>
      <c r="E162" s="193"/>
      <c r="F162" s="232"/>
      <c r="G162" s="202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">
      <c r="A163" s="42">
        <f>'Données projet'!A156</f>
        <v>0</v>
      </c>
      <c r="B163" s="175">
        <f>'Données projet'!D156</f>
        <v>0</v>
      </c>
      <c r="C163" s="191">
        <f>150*'Données projet'!E156+13.8*('Données projet'!F156+'Données projet'!G156)+10*'Données projet'!H156</f>
        <v>0</v>
      </c>
      <c r="D163" s="182">
        <f t="shared" si="10"/>
        <v>0</v>
      </c>
      <c r="E163" s="193"/>
      <c r="F163" s="232"/>
      <c r="G163" s="202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">
      <c r="A164" s="42">
        <f>'Données projet'!A157</f>
        <v>0</v>
      </c>
      <c r="B164" s="175">
        <f>'Données projet'!D157</f>
        <v>0</v>
      </c>
      <c r="C164" s="191">
        <f>150*'Données projet'!E157+13.8*('Données projet'!F157+'Données projet'!G157)+10*'Données projet'!H157</f>
        <v>0</v>
      </c>
      <c r="D164" s="182">
        <f t="shared" si="10"/>
        <v>0</v>
      </c>
      <c r="E164" s="193"/>
      <c r="F164" s="232"/>
      <c r="G164" s="202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">
      <c r="A165" s="42">
        <f>'Données projet'!A158</f>
        <v>0</v>
      </c>
      <c r="B165" s="175">
        <f>'Données projet'!D158</f>
        <v>0</v>
      </c>
      <c r="C165" s="191">
        <f>150*'Données projet'!E158+13.8*('Données projet'!F158+'Données projet'!G158)+10*'Données projet'!H158</f>
        <v>0</v>
      </c>
      <c r="D165" s="182">
        <f t="shared" si="10"/>
        <v>0</v>
      </c>
      <c r="E165" s="193"/>
      <c r="F165" s="232"/>
      <c r="G165" s="202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">
      <c r="A166" s="42">
        <f>'Données projet'!A159</f>
        <v>0</v>
      </c>
      <c r="B166" s="175">
        <f>'Données projet'!D159</f>
        <v>0</v>
      </c>
      <c r="C166" s="191">
        <f>150*'Données projet'!E159+13.8*('Données projet'!F159+'Données projet'!G159)+10*'Données projet'!H159</f>
        <v>0</v>
      </c>
      <c r="D166" s="182">
        <f t="shared" si="10"/>
        <v>0</v>
      </c>
      <c r="E166" s="193"/>
      <c r="F166" s="232"/>
      <c r="G166" s="202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">
      <c r="A167" s="4"/>
      <c r="B167" s="4"/>
      <c r="C167" s="4"/>
      <c r="D167" s="4"/>
      <c r="E167" s="4"/>
      <c r="F167" s="229"/>
      <c r="G167" s="202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">
      <c r="A168" s="4"/>
      <c r="B168" s="4"/>
      <c r="C168" s="4"/>
      <c r="D168" s="4"/>
      <c r="E168" s="4"/>
      <c r="F168" s="229"/>
      <c r="G168" s="202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29"/>
      <c r="G169" s="202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">
      <c r="A170" s="4"/>
      <c r="B170" s="4"/>
      <c r="C170" s="4"/>
      <c r="D170" s="4"/>
      <c r="E170" s="4"/>
      <c r="F170" s="229"/>
      <c r="G170" s="202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16" x14ac:dyDescent="0.2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0"/>
      <c r="G171" s="202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ht="16" x14ac:dyDescent="0.2">
      <c r="A172" s="49">
        <v>0</v>
      </c>
      <c r="B172" s="198" t="s">
        <v>132</v>
      </c>
      <c r="C172" s="197" t="s">
        <v>132</v>
      </c>
      <c r="D172" s="196" t="s">
        <v>132</v>
      </c>
      <c r="E172" s="193"/>
      <c r="F172" s="230"/>
      <c r="G172" s="202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ht="16" x14ac:dyDescent="0.2">
      <c r="A173" s="49">
        <v>1</v>
      </c>
      <c r="B173" s="198" t="s">
        <v>132</v>
      </c>
      <c r="C173" s="197" t="s">
        <v>132</v>
      </c>
      <c r="D173" s="196" t="s">
        <v>132</v>
      </c>
      <c r="E173" s="193"/>
      <c r="F173" s="230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ht="16" x14ac:dyDescent="0.2">
      <c r="A174" s="49">
        <v>2</v>
      </c>
      <c r="B174" s="198" t="s">
        <v>132</v>
      </c>
      <c r="C174" s="197" t="s">
        <v>132</v>
      </c>
      <c r="D174" s="196" t="s">
        <v>132</v>
      </c>
      <c r="E174" s="193"/>
      <c r="F174" s="230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ht="16" x14ac:dyDescent="0.2">
      <c r="A175" s="49">
        <v>3</v>
      </c>
      <c r="B175" s="198" t="s">
        <v>132</v>
      </c>
      <c r="C175" s="197" t="s">
        <v>132</v>
      </c>
      <c r="D175" s="196" t="s">
        <v>132</v>
      </c>
      <c r="E175" s="193"/>
      <c r="F175" s="230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ht="16" x14ac:dyDescent="0.2">
      <c r="A176" s="49">
        <v>4</v>
      </c>
      <c r="B176" s="198" t="s">
        <v>132</v>
      </c>
      <c r="C176" s="197" t="s">
        <v>132</v>
      </c>
      <c r="D176" s="196" t="s">
        <v>132</v>
      </c>
      <c r="E176" s="193"/>
      <c r="F176" s="230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">
      <c r="A177" s="49">
        <v>5</v>
      </c>
      <c r="B177" s="198" t="s">
        <v>132</v>
      </c>
      <c r="C177" s="197" t="s">
        <v>132</v>
      </c>
      <c r="D177" s="196" t="s">
        <v>132</v>
      </c>
      <c r="E177" s="193"/>
      <c r="F177" s="230"/>
      <c r="G177" s="204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">
      <c r="A178" s="180">
        <f>'Données projet'!A166</f>
        <v>0</v>
      </c>
      <c r="B178" s="181">
        <f>'Données projet'!D166</f>
        <v>0</v>
      </c>
      <c r="C178" s="193">
        <f>300*'Données projet'!E166+13.8*('Données projet'!F166+'Données projet'!G168)+10*'Données projet'!H166</f>
        <v>0</v>
      </c>
      <c r="D178" s="179">
        <f>B178*C178</f>
        <v>0</v>
      </c>
      <c r="E178" s="193"/>
      <c r="F178" s="231"/>
      <c r="G178" s="204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">
      <c r="A179" s="180">
        <f>'Données projet'!A167</f>
        <v>0</v>
      </c>
      <c r="B179" s="181">
        <f>'Données projet'!D167</f>
        <v>0</v>
      </c>
      <c r="C179" s="193">
        <f>300*'Données projet'!E167+13.8*('Données projet'!F167+'Données projet'!G169)+10*'Données projet'!H167</f>
        <v>0</v>
      </c>
      <c r="D179" s="179">
        <f t="shared" ref="D179:D197" si="11">B179*C179</f>
        <v>0</v>
      </c>
      <c r="E179" s="193"/>
      <c r="F179" s="231"/>
      <c r="G179" s="204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">
      <c r="A180" s="180">
        <f>'Données projet'!A168</f>
        <v>0</v>
      </c>
      <c r="B180" s="181">
        <f>'Données projet'!D168</f>
        <v>0</v>
      </c>
      <c r="C180" s="193">
        <f>300*'Données projet'!E168+13.8*('Données projet'!F168+'Données projet'!G170)+10*'Données projet'!H168</f>
        <v>0</v>
      </c>
      <c r="D180" s="179">
        <f t="shared" si="11"/>
        <v>0</v>
      </c>
      <c r="E180" s="193"/>
      <c r="F180" s="231"/>
      <c r="G180" s="204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">
      <c r="A181" s="180">
        <f>'Données projet'!A169</f>
        <v>0</v>
      </c>
      <c r="B181" s="181">
        <f>'Données projet'!D169</f>
        <v>0</v>
      </c>
      <c r="C181" s="193">
        <f>300*'Données projet'!E169+13.8*('Données projet'!F169+'Données projet'!G171)+10*'Données projet'!H169</f>
        <v>0</v>
      </c>
      <c r="D181" s="179">
        <f t="shared" si="11"/>
        <v>0</v>
      </c>
      <c r="E181" s="193"/>
      <c r="F181" s="231"/>
      <c r="G181" s="204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">
      <c r="A182" s="180">
        <f>'Données projet'!A170</f>
        <v>0</v>
      </c>
      <c r="B182" s="181">
        <f>'Données projet'!D170</f>
        <v>0</v>
      </c>
      <c r="C182" s="193">
        <f>300*'Données projet'!E170+13.8*('Données projet'!F170+'Données projet'!G172)+10*'Données projet'!H170</f>
        <v>0</v>
      </c>
      <c r="D182" s="179">
        <f t="shared" si="11"/>
        <v>0</v>
      </c>
      <c r="E182" s="193"/>
      <c r="F182" s="231"/>
      <c r="G182" s="204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">
      <c r="A183" s="180">
        <f>'Données projet'!A171</f>
        <v>0</v>
      </c>
      <c r="B183" s="181">
        <f>'Données projet'!D171</f>
        <v>0</v>
      </c>
      <c r="C183" s="193">
        <f>300*'Données projet'!E171+13.8*('Données projet'!F171+'Données projet'!G173)+10*'Données projet'!H171</f>
        <v>0</v>
      </c>
      <c r="D183" s="179">
        <f t="shared" si="11"/>
        <v>0</v>
      </c>
      <c r="E183" s="193"/>
      <c r="F183" s="231"/>
      <c r="G183" s="204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">
      <c r="A184" s="180">
        <f>'Données projet'!A172</f>
        <v>0</v>
      </c>
      <c r="B184" s="181">
        <f>'Données projet'!D172</f>
        <v>0</v>
      </c>
      <c r="C184" s="193">
        <f>300*'Données projet'!E172+13.8*('Données projet'!F172+'Données projet'!G174)+10*'Données projet'!H172</f>
        <v>0</v>
      </c>
      <c r="D184" s="179">
        <f t="shared" si="11"/>
        <v>0</v>
      </c>
      <c r="E184" s="193"/>
      <c r="F184" s="231"/>
      <c r="G184" s="205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">
      <c r="A185" s="180">
        <f>'Données projet'!A173</f>
        <v>0</v>
      </c>
      <c r="B185" s="181">
        <f>'Données projet'!D173</f>
        <v>0</v>
      </c>
      <c r="C185" s="193">
        <f>300*'Données projet'!E173+13.8*('Données projet'!F173+'Données projet'!G175)+10*'Données projet'!H173</f>
        <v>0</v>
      </c>
      <c r="D185" s="179">
        <f t="shared" si="11"/>
        <v>0</v>
      </c>
      <c r="E185" s="193"/>
      <c r="F185" s="231"/>
      <c r="G185" s="205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">
      <c r="A186" s="180">
        <f>'Données projet'!A174</f>
        <v>0</v>
      </c>
      <c r="B186" s="181">
        <f>'Données projet'!D174</f>
        <v>0</v>
      </c>
      <c r="C186" s="193">
        <f>300*'Données projet'!E174+13.8*('Données projet'!F174+'Données projet'!G176)+10*'Données projet'!H174</f>
        <v>0</v>
      </c>
      <c r="D186" s="179">
        <f t="shared" si="11"/>
        <v>0</v>
      </c>
      <c r="E186" s="193"/>
      <c r="F186" s="231"/>
      <c r="G186" s="205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">
      <c r="A187" s="180">
        <f>'Données projet'!A175</f>
        <v>0</v>
      </c>
      <c r="B187" s="181">
        <f>'Données projet'!D175</f>
        <v>0</v>
      </c>
      <c r="C187" s="193">
        <f>300*'Données projet'!E175+13.8*('Données projet'!F175+'Données projet'!G177)+10*'Données projet'!H175</f>
        <v>0</v>
      </c>
      <c r="D187" s="179">
        <f t="shared" si="11"/>
        <v>0</v>
      </c>
      <c r="E187" s="193"/>
      <c r="F187" s="231"/>
      <c r="G187" s="205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">
      <c r="A188" s="180">
        <f>'Données projet'!A176</f>
        <v>0</v>
      </c>
      <c r="B188" s="181">
        <f>'Données projet'!D176</f>
        <v>0</v>
      </c>
      <c r="C188" s="193">
        <f>300*'Données projet'!E176+13.8*('Données projet'!F176+'Données projet'!G178)+10*'Données projet'!H176</f>
        <v>0</v>
      </c>
      <c r="D188" s="179">
        <f t="shared" si="11"/>
        <v>0</v>
      </c>
      <c r="E188" s="193"/>
      <c r="F188" s="231"/>
      <c r="G188" s="205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">
      <c r="A189" s="180">
        <f>'Données projet'!A177</f>
        <v>0</v>
      </c>
      <c r="B189" s="181">
        <f>'Données projet'!D177</f>
        <v>0</v>
      </c>
      <c r="C189" s="193">
        <f>300*'Données projet'!E177+13.8*('Données projet'!F177+'Données projet'!G179)+10*'Données projet'!H177</f>
        <v>0</v>
      </c>
      <c r="D189" s="179">
        <f t="shared" si="11"/>
        <v>0</v>
      </c>
      <c r="E189" s="193"/>
      <c r="F189" s="231"/>
      <c r="G189" s="205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">
      <c r="A190" s="180">
        <f>'Données projet'!A178</f>
        <v>0</v>
      </c>
      <c r="B190" s="181">
        <f>'Données projet'!D178</f>
        <v>0</v>
      </c>
      <c r="C190" s="193">
        <f>300*'Données projet'!E178+13.8*('Données projet'!F178+'Données projet'!G180)+10*'Données projet'!H178</f>
        <v>0</v>
      </c>
      <c r="D190" s="179">
        <f t="shared" si="11"/>
        <v>0</v>
      </c>
      <c r="E190" s="193"/>
      <c r="F190" s="231"/>
      <c r="G190" s="205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">
      <c r="A191" s="180">
        <f>'Données projet'!A179</f>
        <v>0</v>
      </c>
      <c r="B191" s="181">
        <f>'Données projet'!D179</f>
        <v>0</v>
      </c>
      <c r="C191" s="193">
        <f>300*'Données projet'!E179+13.8*('Données projet'!F179+'Données projet'!G181)+10*'Données projet'!H179</f>
        <v>0</v>
      </c>
      <c r="D191" s="179">
        <f t="shared" si="11"/>
        <v>0</v>
      </c>
      <c r="E191" s="193"/>
      <c r="F191" s="231"/>
      <c r="G191" s="205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">
      <c r="A192" s="180">
        <f>'Données projet'!A180</f>
        <v>0</v>
      </c>
      <c r="B192" s="181">
        <f>'Données projet'!D180</f>
        <v>0</v>
      </c>
      <c r="C192" s="193">
        <f>300*'Données projet'!E180+13.8*('Données projet'!F180+'Données projet'!G182)+10*'Données projet'!H180</f>
        <v>0</v>
      </c>
      <c r="D192" s="179">
        <f t="shared" si="11"/>
        <v>0</v>
      </c>
      <c r="E192" s="193"/>
      <c r="F192" s="231"/>
      <c r="G192" s="205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">
      <c r="A193" s="180">
        <f>'Données projet'!A181</f>
        <v>0</v>
      </c>
      <c r="B193" s="181">
        <f>'Données projet'!D181</f>
        <v>0</v>
      </c>
      <c r="C193" s="193">
        <f>300*'Données projet'!E181+13.8*('Données projet'!F181+'Données projet'!G183)+10*'Données projet'!H181</f>
        <v>0</v>
      </c>
      <c r="D193" s="179">
        <f t="shared" si="11"/>
        <v>0</v>
      </c>
      <c r="E193" s="193"/>
      <c r="F193" s="231"/>
      <c r="G193" s="205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">
      <c r="A194" s="180">
        <f>'Données projet'!A182</f>
        <v>0</v>
      </c>
      <c r="B194" s="181">
        <f>'Données projet'!D182</f>
        <v>0</v>
      </c>
      <c r="C194" s="193">
        <f>300*'Données projet'!E182+13.8*('Données projet'!F182+'Données projet'!G184)+10*'Données projet'!H182</f>
        <v>0</v>
      </c>
      <c r="D194" s="179">
        <f t="shared" si="11"/>
        <v>0</v>
      </c>
      <c r="E194" s="193"/>
      <c r="F194" s="231"/>
      <c r="G194" s="205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">
      <c r="A195" s="180">
        <f>'Données projet'!A183</f>
        <v>0</v>
      </c>
      <c r="B195" s="181">
        <f>'Données projet'!D183</f>
        <v>0</v>
      </c>
      <c r="C195" s="193">
        <f>300*'Données projet'!E183+13.8*('Données projet'!F183+'Données projet'!G185)+10*'Données projet'!H183</f>
        <v>0</v>
      </c>
      <c r="D195" s="179">
        <f t="shared" si="11"/>
        <v>0</v>
      </c>
      <c r="E195" s="193"/>
      <c r="F195" s="231"/>
      <c r="G195" s="205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">
      <c r="A196" s="180">
        <f>'Données projet'!A184</f>
        <v>0</v>
      </c>
      <c r="B196" s="181">
        <f>'Données projet'!D184</f>
        <v>0</v>
      </c>
      <c r="C196" s="193">
        <f>300*'Données projet'!E184+13.8*('Données projet'!F184+'Données projet'!G186)+10*'Données projet'!H184</f>
        <v>0</v>
      </c>
      <c r="D196" s="179">
        <f t="shared" si="11"/>
        <v>0</v>
      </c>
      <c r="E196" s="193"/>
      <c r="F196" s="231"/>
      <c r="G196" s="205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">
      <c r="A197" s="180">
        <f>'Données projet'!A185</f>
        <v>0</v>
      </c>
      <c r="B197" s="181">
        <f>'Données projet'!D185</f>
        <v>0</v>
      </c>
      <c r="C197" s="193">
        <f>300*'Données projet'!E185+13.8*('Données projet'!F185+'Données projet'!G187)+10*'Données projet'!H185</f>
        <v>0</v>
      </c>
      <c r="D197" s="179">
        <f t="shared" si="11"/>
        <v>0</v>
      </c>
      <c r="E197" s="193"/>
      <c r="F197" s="231"/>
      <c r="G197" s="205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">
      <c r="A198" s="4"/>
      <c r="B198" s="4"/>
      <c r="C198" s="4"/>
      <c r="D198" s="4"/>
      <c r="E198" s="4"/>
      <c r="F198" s="229"/>
      <c r="G198" s="205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">
      <c r="A199" s="4"/>
      <c r="B199" s="4"/>
      <c r="C199" s="4"/>
      <c r="D199" s="4"/>
      <c r="E199" s="4"/>
      <c r="F199" s="229"/>
      <c r="G199" s="205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29"/>
      <c r="G200" s="205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">
      <c r="A201" s="46"/>
      <c r="B201" s="4"/>
      <c r="C201" s="4"/>
      <c r="D201" s="4"/>
      <c r="E201" s="4"/>
      <c r="F201" s="229"/>
      <c r="G201" s="205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16" x14ac:dyDescent="0.2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0"/>
      <c r="G202" s="205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ht="16" x14ac:dyDescent="0.2">
      <c r="A203" s="49">
        <v>0</v>
      </c>
      <c r="B203" s="198" t="s">
        <v>132</v>
      </c>
      <c r="C203" s="197" t="s">
        <v>132</v>
      </c>
      <c r="D203" s="196" t="s">
        <v>132</v>
      </c>
      <c r="E203" s="193"/>
      <c r="F203" s="230"/>
      <c r="G203" s="205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ht="16" x14ac:dyDescent="0.2">
      <c r="A204" s="49">
        <v>1</v>
      </c>
      <c r="B204" s="198" t="s">
        <v>132</v>
      </c>
      <c r="C204" s="197" t="s">
        <v>132</v>
      </c>
      <c r="D204" s="196" t="s">
        <v>132</v>
      </c>
      <c r="E204" s="193"/>
      <c r="F204" s="230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ht="16" x14ac:dyDescent="0.2">
      <c r="A205" s="49">
        <v>2</v>
      </c>
      <c r="B205" s="198" t="s">
        <v>132</v>
      </c>
      <c r="C205" s="197" t="s">
        <v>132</v>
      </c>
      <c r="D205" s="196" t="s">
        <v>132</v>
      </c>
      <c r="E205" s="193"/>
      <c r="F205" s="230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ht="16" x14ac:dyDescent="0.2">
      <c r="A206" s="49">
        <v>3</v>
      </c>
      <c r="B206" s="198" t="s">
        <v>132</v>
      </c>
      <c r="C206" s="197" t="s">
        <v>132</v>
      </c>
      <c r="D206" s="196" t="s">
        <v>132</v>
      </c>
      <c r="E206" s="193"/>
      <c r="F206" s="230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ht="16" x14ac:dyDescent="0.2">
      <c r="A207" s="49">
        <v>4</v>
      </c>
      <c r="B207" s="198" t="s">
        <v>132</v>
      </c>
      <c r="C207" s="197" t="s">
        <v>132</v>
      </c>
      <c r="D207" s="196" t="s">
        <v>132</v>
      </c>
      <c r="E207" s="193"/>
      <c r="F207" s="230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ht="16" x14ac:dyDescent="0.2">
      <c r="A208" s="49">
        <v>5</v>
      </c>
      <c r="B208" s="198" t="s">
        <v>132</v>
      </c>
      <c r="C208" s="197" t="s">
        <v>132</v>
      </c>
      <c r="D208" s="196" t="s">
        <v>132</v>
      </c>
      <c r="E208" s="193"/>
      <c r="F208" s="230"/>
      <c r="G208" s="204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">
      <c r="A209" s="180">
        <f>'Données projet'!A192</f>
        <v>0</v>
      </c>
      <c r="B209" s="181">
        <f>'Données projet'!D192</f>
        <v>0</v>
      </c>
      <c r="C209" s="193">
        <f>300*'Données projet'!E192+13.8*('Données projet'!F192+'Données projet'!G192)+10*'Données projet'!H192</f>
        <v>0</v>
      </c>
      <c r="D209" s="179">
        <f>B209*C209</f>
        <v>0</v>
      </c>
      <c r="E209" s="193"/>
      <c r="F209" s="231"/>
      <c r="G209" s="204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">
      <c r="A210" s="180">
        <f>'Données projet'!A193</f>
        <v>0</v>
      </c>
      <c r="B210" s="181">
        <f>'Données projet'!D193</f>
        <v>0</v>
      </c>
      <c r="C210" s="193">
        <f>300*'Données projet'!E193+13.8*('Données projet'!F193+'Données projet'!G193)+10*'Données projet'!H193</f>
        <v>0</v>
      </c>
      <c r="D210" s="179">
        <f t="shared" ref="D210:D228" si="12">B210*C210</f>
        <v>0</v>
      </c>
      <c r="E210" s="193"/>
      <c r="F210" s="231"/>
      <c r="G210" s="204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">
      <c r="A211" s="180">
        <f>'Données projet'!A194</f>
        <v>0</v>
      </c>
      <c r="B211" s="181">
        <f>'Données projet'!D194</f>
        <v>0</v>
      </c>
      <c r="C211" s="193">
        <f>300*'Données projet'!E194+13.8*('Données projet'!F194+'Données projet'!G194)+10*'Données projet'!H194</f>
        <v>0</v>
      </c>
      <c r="D211" s="179">
        <f t="shared" si="12"/>
        <v>0</v>
      </c>
      <c r="E211" s="193"/>
      <c r="F211" s="231"/>
      <c r="G211" s="204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">
      <c r="A212" s="180">
        <f>'Données projet'!A195</f>
        <v>0</v>
      </c>
      <c r="B212" s="181">
        <f>'Données projet'!D195</f>
        <v>0</v>
      </c>
      <c r="C212" s="193">
        <f>300*'Données projet'!E195+13.8*('Données projet'!F195+'Données projet'!G195)+10*'Données projet'!H195</f>
        <v>0</v>
      </c>
      <c r="D212" s="179">
        <f t="shared" si="12"/>
        <v>0</v>
      </c>
      <c r="E212" s="193"/>
      <c r="F212" s="231"/>
      <c r="G212" s="204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">
      <c r="A213" s="180">
        <f>'Données projet'!A196</f>
        <v>0</v>
      </c>
      <c r="B213" s="181">
        <f>'Données projet'!D196</f>
        <v>0</v>
      </c>
      <c r="C213" s="193">
        <f>300*'Données projet'!E196+13.8*('Données projet'!F196+'Données projet'!G196)+10*'Données projet'!H196</f>
        <v>0</v>
      </c>
      <c r="D213" s="179">
        <f t="shared" si="12"/>
        <v>0</v>
      </c>
      <c r="E213" s="193"/>
      <c r="F213" s="231"/>
      <c r="G213" s="204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">
      <c r="A214" s="180">
        <f>'Données projet'!A197</f>
        <v>0</v>
      </c>
      <c r="B214" s="181">
        <f>'Données projet'!D197</f>
        <v>0</v>
      </c>
      <c r="C214" s="193">
        <f>300*'Données projet'!E197+13.8*('Données projet'!F197+'Données projet'!G197)+10*'Données projet'!H197</f>
        <v>0</v>
      </c>
      <c r="D214" s="179">
        <f t="shared" si="12"/>
        <v>0</v>
      </c>
      <c r="E214" s="193"/>
      <c r="F214" s="231"/>
      <c r="G214" s="204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">
      <c r="A215" s="180">
        <f>'Données projet'!A198</f>
        <v>0</v>
      </c>
      <c r="B215" s="181">
        <f>'Données projet'!D198</f>
        <v>0</v>
      </c>
      <c r="C215" s="193">
        <f>300*'Données projet'!E198+13.8*('Données projet'!F198+'Données projet'!G198)+10*'Données projet'!H198</f>
        <v>0</v>
      </c>
      <c r="D215" s="179">
        <f t="shared" si="12"/>
        <v>0</v>
      </c>
      <c r="E215" s="193"/>
      <c r="F215" s="231"/>
      <c r="G215" s="205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">
      <c r="A216" s="180">
        <f>'Données projet'!A199</f>
        <v>0</v>
      </c>
      <c r="B216" s="181">
        <f>'Données projet'!D199</f>
        <v>0</v>
      </c>
      <c r="C216" s="193">
        <f>300*'Données projet'!E199+13.8*('Données projet'!F199+'Données projet'!G199)+10*'Données projet'!H199</f>
        <v>0</v>
      </c>
      <c r="D216" s="179">
        <f t="shared" si="12"/>
        <v>0</v>
      </c>
      <c r="E216" s="193"/>
      <c r="F216" s="231"/>
      <c r="G216" s="205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">
      <c r="A217" s="180">
        <f>'Données projet'!A200</f>
        <v>0</v>
      </c>
      <c r="B217" s="181">
        <f>'Données projet'!D200</f>
        <v>0</v>
      </c>
      <c r="C217" s="193">
        <f>300*'Données projet'!E200+13.8*('Données projet'!F200+'Données projet'!G200)+10*'Données projet'!H200</f>
        <v>0</v>
      </c>
      <c r="D217" s="179">
        <f t="shared" si="12"/>
        <v>0</v>
      </c>
      <c r="E217" s="193"/>
      <c r="F217" s="231"/>
      <c r="G217" s="205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">
      <c r="A218" s="180">
        <f>'Données projet'!A201</f>
        <v>0</v>
      </c>
      <c r="B218" s="181">
        <f>'Données projet'!D201</f>
        <v>0</v>
      </c>
      <c r="C218" s="193">
        <f>300*'Données projet'!E201+13.8*('Données projet'!F201+'Données projet'!G201)+10*'Données projet'!H201</f>
        <v>0</v>
      </c>
      <c r="D218" s="179">
        <f t="shared" si="12"/>
        <v>0</v>
      </c>
      <c r="E218" s="193"/>
      <c r="F218" s="231"/>
      <c r="G218" s="205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">
      <c r="A219" s="180">
        <f>'Données projet'!A202</f>
        <v>0</v>
      </c>
      <c r="B219" s="181">
        <f>'Données projet'!D202</f>
        <v>0</v>
      </c>
      <c r="C219" s="193">
        <f>300*'Données projet'!E202+13.8*('Données projet'!F202+'Données projet'!G202)+10*'Données projet'!H202</f>
        <v>0</v>
      </c>
      <c r="D219" s="179">
        <f t="shared" si="12"/>
        <v>0</v>
      </c>
      <c r="E219" s="193"/>
      <c r="F219" s="231"/>
      <c r="G219" s="205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">
      <c r="A220" s="180">
        <f>'Données projet'!A203</f>
        <v>0</v>
      </c>
      <c r="B220" s="181">
        <f>'Données projet'!D203</f>
        <v>0</v>
      </c>
      <c r="C220" s="193">
        <f>300*'Données projet'!E203+13.8*('Données projet'!F203+'Données projet'!G203)+10*'Données projet'!H203</f>
        <v>0</v>
      </c>
      <c r="D220" s="179">
        <f t="shared" si="12"/>
        <v>0</v>
      </c>
      <c r="E220" s="193"/>
      <c r="F220" s="231"/>
      <c r="G220" s="205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">
      <c r="A221" s="180">
        <f>'Données projet'!A204</f>
        <v>0</v>
      </c>
      <c r="B221" s="181">
        <f>'Données projet'!D204</f>
        <v>0</v>
      </c>
      <c r="C221" s="193">
        <f>300*'Données projet'!E204+13.8*('Données projet'!F204+'Données projet'!G204)+10*'Données projet'!H204</f>
        <v>0</v>
      </c>
      <c r="D221" s="179">
        <f t="shared" si="12"/>
        <v>0</v>
      </c>
      <c r="E221" s="193"/>
      <c r="F221" s="231"/>
      <c r="G221" s="205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">
      <c r="A222" s="180">
        <f>'Données projet'!A205</f>
        <v>0</v>
      </c>
      <c r="B222" s="181">
        <f>'Données projet'!D205</f>
        <v>0</v>
      </c>
      <c r="C222" s="193">
        <f>300*'Données projet'!E205+13.8*('Données projet'!F205+'Données projet'!G205)+10*'Données projet'!H205</f>
        <v>0</v>
      </c>
      <c r="D222" s="179">
        <f t="shared" si="12"/>
        <v>0</v>
      </c>
      <c r="E222" s="193"/>
      <c r="F222" s="231"/>
      <c r="G222" s="205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">
      <c r="A223" s="180">
        <f>'Données projet'!A206</f>
        <v>0</v>
      </c>
      <c r="B223" s="181">
        <f>'Données projet'!D206</f>
        <v>0</v>
      </c>
      <c r="C223" s="193">
        <f>300*'Données projet'!E206+13.8*('Données projet'!F206+'Données projet'!G206)+10*'Données projet'!H206</f>
        <v>0</v>
      </c>
      <c r="D223" s="179">
        <f t="shared" si="12"/>
        <v>0</v>
      </c>
      <c r="E223" s="193"/>
      <c r="F223" s="231"/>
      <c r="G223" s="205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">
      <c r="A224" s="180">
        <f>'Données projet'!A207</f>
        <v>0</v>
      </c>
      <c r="B224" s="181">
        <f>'Données projet'!D207</f>
        <v>0</v>
      </c>
      <c r="C224" s="193">
        <f>300*'Données projet'!E207+13.8*('Données projet'!F207+'Données projet'!G207)+10*'Données projet'!H207</f>
        <v>0</v>
      </c>
      <c r="D224" s="179">
        <f t="shared" si="12"/>
        <v>0</v>
      </c>
      <c r="E224" s="193"/>
      <c r="F224" s="231"/>
      <c r="G224" s="205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">
      <c r="A225" s="180">
        <f>'Données projet'!A208</f>
        <v>0</v>
      </c>
      <c r="B225" s="181">
        <f>'Données projet'!D208</f>
        <v>0</v>
      </c>
      <c r="C225" s="193">
        <f>300*'Données projet'!E208+13.8*('Données projet'!F208+'Données projet'!G208)+10*'Données projet'!H208</f>
        <v>0</v>
      </c>
      <c r="D225" s="179">
        <f t="shared" si="12"/>
        <v>0</v>
      </c>
      <c r="E225" s="193"/>
      <c r="F225" s="231"/>
      <c r="G225" s="205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">
      <c r="A226" s="180">
        <f>'Données projet'!A209</f>
        <v>0</v>
      </c>
      <c r="B226" s="181">
        <f>'Données projet'!D209</f>
        <v>0</v>
      </c>
      <c r="C226" s="193">
        <f>150*'Données projet'!E209+13.8*('Données projet'!F209+'Données projet'!G209)+10*'Données projet'!H209</f>
        <v>0</v>
      </c>
      <c r="D226" s="179">
        <f t="shared" si="12"/>
        <v>0</v>
      </c>
      <c r="E226" s="193"/>
      <c r="F226" s="231"/>
      <c r="G226" s="205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">
      <c r="A227" s="180">
        <f>'Données projet'!A210</f>
        <v>0</v>
      </c>
      <c r="B227" s="181">
        <f>'Données projet'!D210</f>
        <v>0</v>
      </c>
      <c r="C227" s="193">
        <f>150*'Données projet'!E210+13.8*('Données projet'!F210+'Données projet'!G210)+10*'Données projet'!H210</f>
        <v>0</v>
      </c>
      <c r="D227" s="179">
        <f t="shared" si="12"/>
        <v>0</v>
      </c>
      <c r="E227" s="193"/>
      <c r="F227" s="231"/>
      <c r="G227" s="205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">
      <c r="A228" s="180">
        <f>'Données projet'!A211</f>
        <v>0</v>
      </c>
      <c r="B228" s="181">
        <f>'Données projet'!D211</f>
        <v>0</v>
      </c>
      <c r="C228" s="193">
        <f>150*'Données projet'!E211+13.8*('Données projet'!F211+'Données projet'!G211)+10*'Données projet'!H211</f>
        <v>0</v>
      </c>
      <c r="D228" s="179">
        <f t="shared" si="12"/>
        <v>0</v>
      </c>
      <c r="E228" s="193"/>
      <c r="F228" s="231"/>
      <c r="G228" s="205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">
      <c r="A229" s="4"/>
      <c r="B229" s="4"/>
      <c r="C229" s="4"/>
      <c r="D229" s="4"/>
      <c r="E229" s="4"/>
      <c r="F229" s="229"/>
      <c r="G229" s="205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">
      <c r="A230" s="4"/>
      <c r="B230" s="4"/>
      <c r="C230" s="4"/>
      <c r="D230" s="4"/>
      <c r="E230" s="4"/>
      <c r="F230" s="229"/>
      <c r="G230" s="205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29"/>
      <c r="G231" s="205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">
      <c r="A232" s="46"/>
      <c r="B232" s="4"/>
      <c r="C232" s="4"/>
      <c r="D232" s="4"/>
      <c r="E232" s="4"/>
      <c r="F232" s="229"/>
      <c r="G232" s="205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16" x14ac:dyDescent="0.2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0"/>
      <c r="G233" s="205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ht="16" x14ac:dyDescent="0.2">
      <c r="A234" s="49">
        <v>0</v>
      </c>
      <c r="B234" s="198" t="s">
        <v>132</v>
      </c>
      <c r="C234" s="197" t="s">
        <v>132</v>
      </c>
      <c r="D234" s="196" t="s">
        <v>132</v>
      </c>
      <c r="E234" s="193">
        <f>4605*1.12</f>
        <v>5157.6000000000004</v>
      </c>
      <c r="F234" s="230"/>
      <c r="G234" s="205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ht="16" x14ac:dyDescent="0.2">
      <c r="A235" s="49">
        <v>1</v>
      </c>
      <c r="B235" s="198" t="s">
        <v>132</v>
      </c>
      <c r="C235" s="197" t="s">
        <v>132</v>
      </c>
      <c r="D235" s="196" t="s">
        <v>132</v>
      </c>
      <c r="E235" s="193"/>
      <c r="F235" s="230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ht="16" x14ac:dyDescent="0.2">
      <c r="A236" s="49">
        <v>2</v>
      </c>
      <c r="B236" s="198" t="s">
        <v>132</v>
      </c>
      <c r="C236" s="197" t="s">
        <v>132</v>
      </c>
      <c r="D236" s="196" t="s">
        <v>132</v>
      </c>
      <c r="E236" s="193"/>
      <c r="F236" s="230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ht="16" x14ac:dyDescent="0.2">
      <c r="A237" s="49">
        <v>3</v>
      </c>
      <c r="B237" s="198" t="s">
        <v>132</v>
      </c>
      <c r="C237" s="197" t="s">
        <v>132</v>
      </c>
      <c r="D237" s="196" t="s">
        <v>132</v>
      </c>
      <c r="E237" s="193"/>
      <c r="F237" s="230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ht="16" x14ac:dyDescent="0.2">
      <c r="A238" s="49">
        <v>4</v>
      </c>
      <c r="B238" s="198" t="s">
        <v>132</v>
      </c>
      <c r="C238" s="197" t="s">
        <v>132</v>
      </c>
      <c r="D238" s="196" t="s">
        <v>132</v>
      </c>
      <c r="E238" s="193"/>
      <c r="F238" s="230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ht="16" x14ac:dyDescent="0.2">
      <c r="A239" s="49">
        <v>5</v>
      </c>
      <c r="B239" s="198" t="s">
        <v>132</v>
      </c>
      <c r="C239" s="197" t="s">
        <v>132</v>
      </c>
      <c r="D239" s="196" t="s">
        <v>132</v>
      </c>
      <c r="E239" s="193"/>
      <c r="F239" s="230"/>
      <c r="G239" s="204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">
      <c r="A240" s="180">
        <f>'Données projet'!A218</f>
        <v>0</v>
      </c>
      <c r="B240" s="181">
        <f>'Données projet'!D218</f>
        <v>0</v>
      </c>
      <c r="C240" s="193">
        <f>60*'Données projet'!E218+13.8*('Données projet'!F218+'Données projet'!G218)+10*'Données projet'!H218</f>
        <v>0</v>
      </c>
      <c r="D240" s="179">
        <f>B240*C240</f>
        <v>0</v>
      </c>
      <c r="E240" s="193"/>
      <c r="F240" s="231"/>
      <c r="G240" s="204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">
      <c r="A241" s="180">
        <f>'Données projet'!A219</f>
        <v>0</v>
      </c>
      <c r="B241" s="181">
        <f>'Données projet'!D219</f>
        <v>0</v>
      </c>
      <c r="C241" s="193">
        <f>60*'Données projet'!E219+13.8*('Données projet'!F219+'Données projet'!G219)+10*'Données projet'!H219</f>
        <v>0</v>
      </c>
      <c r="D241" s="179">
        <f t="shared" ref="D241:D259" si="13">B241*C241</f>
        <v>0</v>
      </c>
      <c r="E241" s="193"/>
      <c r="F241" s="231"/>
      <c r="G241" s="204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">
      <c r="A242" s="180">
        <f>'Données projet'!A220</f>
        <v>0</v>
      </c>
      <c r="B242" s="181">
        <f>'Données projet'!D220</f>
        <v>0</v>
      </c>
      <c r="C242" s="193">
        <f>60*'Données projet'!E220+13.8*('Données projet'!F220+'Données projet'!G220)+10*'Données projet'!H220</f>
        <v>0</v>
      </c>
      <c r="D242" s="179">
        <f t="shared" si="13"/>
        <v>0</v>
      </c>
      <c r="E242" s="193"/>
      <c r="F242" s="231"/>
      <c r="G242" s="204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">
      <c r="A243" s="180">
        <f>'Données projet'!A221</f>
        <v>0</v>
      </c>
      <c r="B243" s="181">
        <f>'Données projet'!D221</f>
        <v>0</v>
      </c>
      <c r="C243" s="193">
        <f>60*'Données projet'!E221+13.8*('Données projet'!F221+'Données projet'!G221)+10*'Données projet'!H221</f>
        <v>0</v>
      </c>
      <c r="D243" s="179">
        <f t="shared" si="13"/>
        <v>0</v>
      </c>
      <c r="E243" s="193"/>
      <c r="F243" s="231"/>
      <c r="G243" s="204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">
      <c r="A244" s="180">
        <f>'Données projet'!A222</f>
        <v>0</v>
      </c>
      <c r="B244" s="181">
        <f>'Données projet'!D222</f>
        <v>0</v>
      </c>
      <c r="C244" s="193">
        <f>60*'Données projet'!E222+13.8*('Données projet'!F222+'Données projet'!G222)+10*'Données projet'!H222</f>
        <v>0</v>
      </c>
      <c r="D244" s="179">
        <f t="shared" si="13"/>
        <v>0</v>
      </c>
      <c r="E244" s="193"/>
      <c r="F244" s="231"/>
      <c r="G244" s="204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">
      <c r="A245" s="180">
        <f>'Données projet'!A223</f>
        <v>0</v>
      </c>
      <c r="B245" s="181">
        <f>'Données projet'!D223</f>
        <v>0</v>
      </c>
      <c r="C245" s="193">
        <f>60*'Données projet'!E223+13.8*('Données projet'!F223+'Données projet'!G223)+10*'Données projet'!H223</f>
        <v>0</v>
      </c>
      <c r="D245" s="179">
        <f t="shared" si="13"/>
        <v>0</v>
      </c>
      <c r="E245" s="193"/>
      <c r="F245" s="231"/>
      <c r="G245" s="204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">
      <c r="A246" s="180">
        <f>'Données projet'!A224</f>
        <v>0</v>
      </c>
      <c r="B246" s="181">
        <f>'Données projet'!D224</f>
        <v>0</v>
      </c>
      <c r="C246" s="193">
        <f>60*'Données projet'!E224+13.8*('Données projet'!F224+'Données projet'!G224)+10*'Données projet'!H224</f>
        <v>0</v>
      </c>
      <c r="D246" s="179">
        <f t="shared" si="13"/>
        <v>0</v>
      </c>
      <c r="E246" s="193"/>
      <c r="F246" s="231"/>
      <c r="G246" s="205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">
      <c r="A247" s="180">
        <f>'Données projet'!A225</f>
        <v>0</v>
      </c>
      <c r="B247" s="181">
        <f>'Données projet'!D225</f>
        <v>0</v>
      </c>
      <c r="C247" s="193">
        <f>60*'Données projet'!E225+13.8*('Données projet'!F225+'Données projet'!G225)+10*'Données projet'!H225</f>
        <v>0</v>
      </c>
      <c r="D247" s="179">
        <f t="shared" si="13"/>
        <v>0</v>
      </c>
      <c r="E247" s="193"/>
      <c r="F247" s="231"/>
      <c r="G247" s="205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">
      <c r="A248" s="180">
        <f>'Données projet'!A226</f>
        <v>0</v>
      </c>
      <c r="B248" s="181">
        <f>'Données projet'!D226</f>
        <v>0</v>
      </c>
      <c r="C248" s="193">
        <f>60*'Données projet'!E226+13.8*('Données projet'!F226+'Données projet'!G226)+10*'Données projet'!H226</f>
        <v>0</v>
      </c>
      <c r="D248" s="179">
        <f t="shared" si="13"/>
        <v>0</v>
      </c>
      <c r="E248" s="193"/>
      <c r="F248" s="231"/>
      <c r="G248" s="205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">
      <c r="A249" s="180">
        <f>'Données projet'!A227</f>
        <v>0</v>
      </c>
      <c r="B249" s="181">
        <f>'Données projet'!D227</f>
        <v>0</v>
      </c>
      <c r="C249" s="193">
        <f>60*'Données projet'!E227+13.8*('Données projet'!F227+'Données projet'!G227)+10*'Données projet'!H227</f>
        <v>0</v>
      </c>
      <c r="D249" s="179">
        <f t="shared" si="13"/>
        <v>0</v>
      </c>
      <c r="E249" s="193"/>
      <c r="F249" s="231"/>
      <c r="G249" s="205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">
      <c r="A250" s="180">
        <f>'Données projet'!A228</f>
        <v>0</v>
      </c>
      <c r="B250" s="181">
        <f>'Données projet'!D228</f>
        <v>0</v>
      </c>
      <c r="C250" s="193">
        <f>60*'Données projet'!E228+13.8*('Données projet'!F228+'Données projet'!G228)+10*'Données projet'!H228</f>
        <v>0</v>
      </c>
      <c r="D250" s="179">
        <f t="shared" si="13"/>
        <v>0</v>
      </c>
      <c r="E250" s="193"/>
      <c r="F250" s="231"/>
      <c r="G250" s="205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">
      <c r="A251" s="180">
        <f>'Données projet'!A229</f>
        <v>0</v>
      </c>
      <c r="B251" s="181">
        <f>'Données projet'!D229</f>
        <v>0</v>
      </c>
      <c r="C251" s="193">
        <f>60*'Données projet'!E229+13.8*('Données projet'!F229+'Données projet'!G229)+10*'Données projet'!H229</f>
        <v>0</v>
      </c>
      <c r="D251" s="179">
        <f t="shared" si="13"/>
        <v>0</v>
      </c>
      <c r="E251" s="193"/>
      <c r="F251" s="231"/>
      <c r="G251" s="205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">
      <c r="A252" s="180">
        <f>'Données projet'!A230</f>
        <v>0</v>
      </c>
      <c r="B252" s="181">
        <f>'Données projet'!D230</f>
        <v>0</v>
      </c>
      <c r="C252" s="193">
        <f>60*'Données projet'!E230+13.8*('Données projet'!F230+'Données projet'!G230)+10*'Données projet'!H230</f>
        <v>0</v>
      </c>
      <c r="D252" s="179">
        <f t="shared" si="13"/>
        <v>0</v>
      </c>
      <c r="E252" s="193"/>
      <c r="F252" s="231"/>
      <c r="G252" s="205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">
      <c r="A253" s="180">
        <f>'Données projet'!A231</f>
        <v>0</v>
      </c>
      <c r="B253" s="181">
        <f>'Données projet'!D231</f>
        <v>0</v>
      </c>
      <c r="C253" s="193">
        <f>60*'Données projet'!E231+13.8*('Données projet'!F231+'Données projet'!G231)+10*'Données projet'!H231</f>
        <v>0</v>
      </c>
      <c r="D253" s="179">
        <f t="shared" si="13"/>
        <v>0</v>
      </c>
      <c r="E253" s="193"/>
      <c r="F253" s="231"/>
      <c r="G253" s="205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">
      <c r="A254" s="180">
        <f>'Données projet'!A232</f>
        <v>0</v>
      </c>
      <c r="B254" s="181">
        <f>'Données projet'!D232</f>
        <v>0</v>
      </c>
      <c r="C254" s="193">
        <f>60*'Données projet'!E232+13.8*('Données projet'!F232+'Données projet'!G232)+10*'Données projet'!H232</f>
        <v>0</v>
      </c>
      <c r="D254" s="179">
        <f t="shared" si="13"/>
        <v>0</v>
      </c>
      <c r="E254" s="193"/>
      <c r="F254" s="231"/>
      <c r="G254" s="205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">
      <c r="A255" s="180">
        <f>'Données projet'!A233</f>
        <v>0</v>
      </c>
      <c r="B255" s="181">
        <f>'Données projet'!D233</f>
        <v>0</v>
      </c>
      <c r="C255" s="193">
        <f>60*'Données projet'!E233+13.8*('Données projet'!F233+'Données projet'!G233)+10*'Données projet'!H233</f>
        <v>0</v>
      </c>
      <c r="D255" s="179">
        <f t="shared" si="13"/>
        <v>0</v>
      </c>
      <c r="E255" s="193"/>
      <c r="F255" s="231"/>
      <c r="G255" s="205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">
      <c r="A256" s="180">
        <f>'Données projet'!A234</f>
        <v>0</v>
      </c>
      <c r="B256" s="181">
        <f>'Données projet'!D234</f>
        <v>0</v>
      </c>
      <c r="C256" s="193">
        <f>60*'Données projet'!E234+13.8*('Données projet'!F234+'Données projet'!G234)+10*'Données projet'!H234</f>
        <v>0</v>
      </c>
      <c r="D256" s="179">
        <f t="shared" si="13"/>
        <v>0</v>
      </c>
      <c r="E256" s="193"/>
      <c r="F256" s="231"/>
      <c r="G256" s="205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">
      <c r="A257" s="180">
        <f>'Données projet'!A235</f>
        <v>0</v>
      </c>
      <c r="B257" s="181">
        <f>'Données projet'!D235</f>
        <v>0</v>
      </c>
      <c r="C257" s="193">
        <f>60*'Données projet'!E235+13.8*('Données projet'!F235+'Données projet'!G235)+10*'Données projet'!H235</f>
        <v>0</v>
      </c>
      <c r="D257" s="179">
        <f t="shared" si="13"/>
        <v>0</v>
      </c>
      <c r="E257" s="193"/>
      <c r="F257" s="231"/>
      <c r="G257" s="205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">
      <c r="A258" s="180">
        <f>'Données projet'!A236</f>
        <v>0</v>
      </c>
      <c r="B258" s="181">
        <f>'Données projet'!D236</f>
        <v>0</v>
      </c>
      <c r="C258" s="193">
        <f>60*'Données projet'!E236+13.8*('Données projet'!F236+'Données projet'!G236)+10*'Données projet'!H236</f>
        <v>0</v>
      </c>
      <c r="D258" s="179">
        <f t="shared" si="13"/>
        <v>0</v>
      </c>
      <c r="E258" s="193"/>
      <c r="F258" s="231"/>
      <c r="G258" s="205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">
      <c r="A259" s="180">
        <f>'Données projet'!A237</f>
        <v>0</v>
      </c>
      <c r="B259" s="181">
        <f>'Données projet'!D237</f>
        <v>0</v>
      </c>
      <c r="C259" s="193">
        <f>60*'Données projet'!E237+13.8*('Données projet'!F237+'Données projet'!G237)+10*'Données projet'!H237</f>
        <v>0</v>
      </c>
      <c r="D259" s="179">
        <f t="shared" si="13"/>
        <v>0</v>
      </c>
      <c r="E259" s="193"/>
      <c r="F259" s="231"/>
      <c r="G259" s="205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">
      <c r="A260" s="4"/>
      <c r="B260" s="4"/>
      <c r="C260" s="4"/>
      <c r="D260" s="4"/>
      <c r="E260" s="4"/>
      <c r="F260" s="229"/>
      <c r="G260" s="205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">
      <c r="A261" s="4"/>
      <c r="B261" s="4"/>
      <c r="C261" s="4"/>
      <c r="D261" s="4"/>
      <c r="E261" s="4"/>
      <c r="F261" s="229"/>
      <c r="G261" s="205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29"/>
      <c r="G262" s="205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">
      <c r="A263" s="46"/>
      <c r="B263" s="4"/>
      <c r="C263" s="4"/>
      <c r="D263" s="4"/>
      <c r="E263" s="4"/>
      <c r="F263" s="229"/>
      <c r="G263" s="205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ht="16" x14ac:dyDescent="0.2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0"/>
      <c r="G264" s="205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ht="16" x14ac:dyDescent="0.2">
      <c r="A265" s="49">
        <v>0</v>
      </c>
      <c r="B265" s="198" t="s">
        <v>132</v>
      </c>
      <c r="C265" s="197" t="s">
        <v>132</v>
      </c>
      <c r="D265" s="196" t="s">
        <v>132</v>
      </c>
      <c r="E265" s="193">
        <f>3258.92*1.12</f>
        <v>3649.9904000000006</v>
      </c>
      <c r="F265" s="230"/>
      <c r="G265" s="205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ht="16" x14ac:dyDescent="0.2">
      <c r="A266" s="49">
        <v>1</v>
      </c>
      <c r="B266" s="198" t="s">
        <v>132</v>
      </c>
      <c r="C266" s="197" t="s">
        <v>132</v>
      </c>
      <c r="D266" s="196" t="s">
        <v>132</v>
      </c>
      <c r="E266" s="193"/>
      <c r="F266" s="230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ht="16" x14ac:dyDescent="0.2">
      <c r="A267" s="49">
        <v>2</v>
      </c>
      <c r="B267" s="198" t="s">
        <v>132</v>
      </c>
      <c r="C267" s="197" t="s">
        <v>132</v>
      </c>
      <c r="D267" s="196" t="s">
        <v>132</v>
      </c>
      <c r="E267" s="193"/>
      <c r="F267" s="230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ht="16" x14ac:dyDescent="0.2">
      <c r="A268" s="49">
        <v>3</v>
      </c>
      <c r="B268" s="198" t="s">
        <v>132</v>
      </c>
      <c r="C268" s="197" t="s">
        <v>132</v>
      </c>
      <c r="D268" s="196" t="s">
        <v>132</v>
      </c>
      <c r="E268" s="193"/>
      <c r="F268" s="230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ht="16" x14ac:dyDescent="0.2">
      <c r="A269" s="49">
        <v>4</v>
      </c>
      <c r="B269" s="198" t="s">
        <v>132</v>
      </c>
      <c r="C269" s="197" t="s">
        <v>132</v>
      </c>
      <c r="D269" s="196" t="s">
        <v>132</v>
      </c>
      <c r="E269" s="193"/>
      <c r="F269" s="230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ht="16" x14ac:dyDescent="0.2">
      <c r="A270" s="49">
        <v>5</v>
      </c>
      <c r="B270" s="198" t="s">
        <v>132</v>
      </c>
      <c r="C270" s="197" t="s">
        <v>132</v>
      </c>
      <c r="D270" s="196" t="s">
        <v>132</v>
      </c>
      <c r="E270" s="193"/>
      <c r="F270" s="230"/>
      <c r="G270" s="204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">
      <c r="A271" s="180">
        <f>'Données projet'!A244</f>
        <v>0</v>
      </c>
      <c r="B271" s="181">
        <f>'Données projet'!D244</f>
        <v>0</v>
      </c>
      <c r="C271" s="193">
        <f>225*'Données projet'!E244+13.8*('Données projet'!F244+'Données projet'!G244)+10*'Données projet'!H244</f>
        <v>0</v>
      </c>
      <c r="D271" s="179">
        <f>B271*C271</f>
        <v>0</v>
      </c>
      <c r="E271" s="193"/>
      <c r="F271" s="231"/>
      <c r="G271" s="204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">
      <c r="A272" s="180">
        <f>'Données projet'!A245</f>
        <v>0</v>
      </c>
      <c r="B272" s="181">
        <f>'Données projet'!D245</f>
        <v>0</v>
      </c>
      <c r="C272" s="193">
        <f>225*'Données projet'!E245+13.8*('Données projet'!F245+'Données projet'!G245)+10*'Données projet'!H245</f>
        <v>0</v>
      </c>
      <c r="D272" s="179">
        <f t="shared" ref="D272:D290" si="14">B272*C272</f>
        <v>0</v>
      </c>
      <c r="E272" s="193"/>
      <c r="F272" s="231"/>
      <c r="G272" s="204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">
      <c r="A273" s="180">
        <f>'Données projet'!A246</f>
        <v>0</v>
      </c>
      <c r="B273" s="181">
        <f>'Données projet'!D246</f>
        <v>0</v>
      </c>
      <c r="C273" s="193">
        <f>225*'Données projet'!E246+13.8*('Données projet'!F246+'Données projet'!G246)+10*'Données projet'!H246</f>
        <v>0</v>
      </c>
      <c r="D273" s="179">
        <f t="shared" si="14"/>
        <v>0</v>
      </c>
      <c r="E273" s="193"/>
      <c r="F273" s="231"/>
      <c r="G273" s="204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">
      <c r="A274" s="180">
        <f>'Données projet'!A247</f>
        <v>0</v>
      </c>
      <c r="B274" s="181">
        <f>'Données projet'!D247</f>
        <v>0</v>
      </c>
      <c r="C274" s="193">
        <f>225*'Données projet'!E247+13.8*('Données projet'!F247+'Données projet'!G247)+10*'Données projet'!H247</f>
        <v>0</v>
      </c>
      <c r="D274" s="179">
        <f t="shared" si="14"/>
        <v>0</v>
      </c>
      <c r="E274" s="193"/>
      <c r="F274" s="231"/>
      <c r="G274" s="204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">
      <c r="A275" s="180">
        <f>'Données projet'!A248</f>
        <v>0</v>
      </c>
      <c r="B275" s="181">
        <f>'Données projet'!D248</f>
        <v>0</v>
      </c>
      <c r="C275" s="193">
        <f>225*'Données projet'!E248+13.8*('Données projet'!F248+'Données projet'!G248)+10*'Données projet'!H248</f>
        <v>0</v>
      </c>
      <c r="D275" s="179">
        <f t="shared" si="14"/>
        <v>0</v>
      </c>
      <c r="E275" s="193"/>
      <c r="F275" s="231"/>
      <c r="G275" s="204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">
      <c r="A276" s="180">
        <f>'Données projet'!A249</f>
        <v>0</v>
      </c>
      <c r="B276" s="181">
        <f>'Données projet'!D249</f>
        <v>0</v>
      </c>
      <c r="C276" s="193">
        <f>225*'Données projet'!E249+13.8*('Données projet'!F249+'Données projet'!G249)+10*'Données projet'!H249</f>
        <v>0</v>
      </c>
      <c r="D276" s="179">
        <f t="shared" si="14"/>
        <v>0</v>
      </c>
      <c r="E276" s="193"/>
      <c r="F276" s="231"/>
      <c r="G276" s="204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">
      <c r="A277" s="180">
        <f>'Données projet'!A250</f>
        <v>0</v>
      </c>
      <c r="B277" s="181">
        <f>'Données projet'!D250</f>
        <v>0</v>
      </c>
      <c r="C277" s="193">
        <f>225*'Données projet'!E250+13.8*('Données projet'!F250+'Données projet'!G250)+10*'Données projet'!H250</f>
        <v>0</v>
      </c>
      <c r="D277" s="179">
        <f t="shared" si="14"/>
        <v>0</v>
      </c>
      <c r="E277" s="193"/>
      <c r="F277" s="231"/>
      <c r="G277" s="205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">
      <c r="A278" s="180">
        <f>'Données projet'!A251</f>
        <v>0</v>
      </c>
      <c r="B278" s="181">
        <f>'Données projet'!D251</f>
        <v>0</v>
      </c>
      <c r="C278" s="193">
        <f>225*'Données projet'!E251+13.8*('Données projet'!F251+'Données projet'!G251)+10*'Données projet'!H251</f>
        <v>0</v>
      </c>
      <c r="D278" s="179">
        <f t="shared" si="14"/>
        <v>0</v>
      </c>
      <c r="E278" s="193"/>
      <c r="F278" s="231"/>
      <c r="G278" s="205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">
      <c r="A279" s="180">
        <f>'Données projet'!A252</f>
        <v>0</v>
      </c>
      <c r="B279" s="181">
        <f>'Données projet'!D252</f>
        <v>0</v>
      </c>
      <c r="C279" s="193">
        <f>225*'Données projet'!E252+13.8*('Données projet'!F252+'Données projet'!G252)+10*'Données projet'!H252</f>
        <v>0</v>
      </c>
      <c r="D279" s="179">
        <f t="shared" si="14"/>
        <v>0</v>
      </c>
      <c r="E279" s="193"/>
      <c r="F279" s="231"/>
      <c r="G279" s="205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">
      <c r="A280" s="180">
        <f>'Données projet'!A253</f>
        <v>0</v>
      </c>
      <c r="B280" s="181">
        <f>'Données projet'!D253</f>
        <v>0</v>
      </c>
      <c r="C280" s="193">
        <f>225*'Données projet'!E253+13.8*('Données projet'!F253+'Données projet'!G253)+10*'Données projet'!H253</f>
        <v>0</v>
      </c>
      <c r="D280" s="179">
        <f t="shared" si="14"/>
        <v>0</v>
      </c>
      <c r="E280" s="193"/>
      <c r="F280" s="231"/>
      <c r="G280" s="205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">
      <c r="A281" s="180">
        <f>'Données projet'!A254</f>
        <v>0</v>
      </c>
      <c r="B281" s="181">
        <f>'Données projet'!D254</f>
        <v>0</v>
      </c>
      <c r="C281" s="193">
        <f>225*'Données projet'!E254+13.8*('Données projet'!F254+'Données projet'!G254)+10*'Données projet'!H254</f>
        <v>0</v>
      </c>
      <c r="D281" s="179">
        <f t="shared" si="14"/>
        <v>0</v>
      </c>
      <c r="E281" s="193"/>
      <c r="F281" s="231"/>
      <c r="G281" s="205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">
      <c r="A282" s="180">
        <f>'Données projet'!A255</f>
        <v>0</v>
      </c>
      <c r="B282" s="181">
        <f>'Données projet'!D255</f>
        <v>0</v>
      </c>
      <c r="C282" s="193">
        <f>225*'Données projet'!E255+13.8*('Données projet'!F255+'Données projet'!G255)+10*'Données projet'!H255</f>
        <v>0</v>
      </c>
      <c r="D282" s="179">
        <f t="shared" si="14"/>
        <v>0</v>
      </c>
      <c r="E282" s="193"/>
      <c r="F282" s="231"/>
      <c r="G282" s="205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">
      <c r="A283" s="180">
        <f>'Données projet'!A256</f>
        <v>0</v>
      </c>
      <c r="B283" s="181">
        <f>'Données projet'!D256</f>
        <v>0</v>
      </c>
      <c r="C283" s="193">
        <f>225*'Données projet'!E256+13.8*('Données projet'!F256+'Données projet'!G256)+10*'Données projet'!H256</f>
        <v>0</v>
      </c>
      <c r="D283" s="179">
        <f t="shared" si="14"/>
        <v>0</v>
      </c>
      <c r="E283" s="193"/>
      <c r="F283" s="231"/>
      <c r="G283" s="205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">
      <c r="A284" s="180">
        <f>'Données projet'!A257</f>
        <v>0</v>
      </c>
      <c r="B284" s="181">
        <f>'Données projet'!D257</f>
        <v>0</v>
      </c>
      <c r="C284" s="193">
        <f>225*'Données projet'!E257+13.8*('Données projet'!F257+'Données projet'!G257)+10*'Données projet'!H257</f>
        <v>0</v>
      </c>
      <c r="D284" s="179">
        <f t="shared" si="14"/>
        <v>0</v>
      </c>
      <c r="E284" s="193"/>
      <c r="F284" s="231"/>
      <c r="G284" s="205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">
      <c r="A285" s="180">
        <f>'Données projet'!A258</f>
        <v>0</v>
      </c>
      <c r="B285" s="181">
        <f>'Données projet'!D258</f>
        <v>0</v>
      </c>
      <c r="C285" s="193">
        <f>225*'Données projet'!E258+13.8*('Données projet'!F258+'Données projet'!G258)+10*'Données projet'!H258</f>
        <v>0</v>
      </c>
      <c r="D285" s="179">
        <f t="shared" si="14"/>
        <v>0</v>
      </c>
      <c r="E285" s="193"/>
      <c r="F285" s="231"/>
      <c r="G285" s="205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">
      <c r="A286" s="180">
        <f>'Données projet'!A259</f>
        <v>0</v>
      </c>
      <c r="B286" s="181">
        <f>'Données projet'!D259</f>
        <v>0</v>
      </c>
      <c r="C286" s="193">
        <f>225*'Données projet'!E259+13.8*('Données projet'!F259+'Données projet'!G259)+10*'Données projet'!H259</f>
        <v>0</v>
      </c>
      <c r="D286" s="179">
        <f t="shared" si="14"/>
        <v>0</v>
      </c>
      <c r="E286" s="193"/>
      <c r="F286" s="231"/>
      <c r="G286" s="205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">
      <c r="A287" s="180">
        <f>'Données projet'!A260</f>
        <v>0</v>
      </c>
      <c r="B287" s="181">
        <f>'Données projet'!D260</f>
        <v>0</v>
      </c>
      <c r="C287" s="193">
        <f>225*'Données projet'!E260+13.8*('Données projet'!F260+'Données projet'!G260)+10*'Données projet'!H260</f>
        <v>0</v>
      </c>
      <c r="D287" s="179">
        <f t="shared" si="14"/>
        <v>0</v>
      </c>
      <c r="E287" s="193"/>
      <c r="F287" s="231"/>
      <c r="G287" s="205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">
      <c r="A288" s="180">
        <f>'Données projet'!A261</f>
        <v>0</v>
      </c>
      <c r="B288" s="181">
        <f>'Données projet'!D261</f>
        <v>0</v>
      </c>
      <c r="C288" s="193">
        <f>225*'Données projet'!E261+13.8*('Données projet'!F261+'Données projet'!G261)+10*'Données projet'!H261</f>
        <v>0</v>
      </c>
      <c r="D288" s="179">
        <f t="shared" si="14"/>
        <v>0</v>
      </c>
      <c r="E288" s="193"/>
      <c r="F288" s="231"/>
      <c r="G288" s="205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">
      <c r="A289" s="180">
        <f>'Données projet'!A262</f>
        <v>0</v>
      </c>
      <c r="B289" s="181">
        <f>'Données projet'!D262</f>
        <v>0</v>
      </c>
      <c r="C289" s="193">
        <f>60*'Données projet'!E262+13.8*('Données projet'!F262+'Données projet'!G262)+10*'Données projet'!H262</f>
        <v>0</v>
      </c>
      <c r="D289" s="179">
        <f t="shared" si="14"/>
        <v>0</v>
      </c>
      <c r="E289" s="193"/>
      <c r="F289" s="231"/>
      <c r="G289" s="205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">
      <c r="A290" s="180">
        <f>'Données projet'!A263</f>
        <v>0</v>
      </c>
      <c r="B290" s="181">
        <f>'Données projet'!D263</f>
        <v>0</v>
      </c>
      <c r="C290" s="193">
        <f>60*'Données projet'!E263+13.8*('Données projet'!F263+'Données projet'!G263)+10*'Données projet'!H263</f>
        <v>0</v>
      </c>
      <c r="D290" s="179">
        <f t="shared" si="14"/>
        <v>0</v>
      </c>
      <c r="E290" s="193"/>
      <c r="F290" s="231"/>
      <c r="G290" s="205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">
      <c r="A291" s="4"/>
      <c r="B291" s="4"/>
      <c r="C291" s="4"/>
      <c r="D291" s="4"/>
      <c r="E291" s="4"/>
      <c r="F291" s="229"/>
      <c r="G291" s="205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">
      <c r="A292" s="4"/>
      <c r="B292" s="4"/>
      <c r="C292" s="4"/>
      <c r="D292" s="4"/>
      <c r="E292" s="4"/>
      <c r="F292" s="229"/>
      <c r="G292" s="205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29"/>
      <c r="G293" s="205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">
      <c r="A294" s="46"/>
      <c r="B294" s="4"/>
      <c r="C294" s="4"/>
      <c r="D294" s="4"/>
      <c r="E294" s="4"/>
      <c r="F294" s="229"/>
      <c r="G294" s="205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ht="16" x14ac:dyDescent="0.2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0"/>
      <c r="G295" s="205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ht="16" x14ac:dyDescent="0.2">
      <c r="A296" s="49">
        <v>0</v>
      </c>
      <c r="B296" s="198" t="s">
        <v>132</v>
      </c>
      <c r="C296" s="197" t="s">
        <v>132</v>
      </c>
      <c r="D296" s="196" t="s">
        <v>132</v>
      </c>
      <c r="E296" s="193"/>
      <c r="F296" s="230"/>
      <c r="G296" s="205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ht="16" x14ac:dyDescent="0.2">
      <c r="A297" s="49">
        <v>1</v>
      </c>
      <c r="B297" s="198" t="s">
        <v>132</v>
      </c>
      <c r="C297" s="197" t="s">
        <v>132</v>
      </c>
      <c r="D297" s="196" t="s">
        <v>132</v>
      </c>
      <c r="E297" s="193"/>
      <c r="F297" s="230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ht="16" x14ac:dyDescent="0.2">
      <c r="A298" s="49">
        <v>2</v>
      </c>
      <c r="B298" s="198" t="s">
        <v>132</v>
      </c>
      <c r="C298" s="197" t="s">
        <v>132</v>
      </c>
      <c r="D298" s="196" t="s">
        <v>132</v>
      </c>
      <c r="E298" s="193"/>
      <c r="F298" s="230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ht="16" x14ac:dyDescent="0.2">
      <c r="A299" s="49">
        <v>3</v>
      </c>
      <c r="B299" s="198" t="s">
        <v>132</v>
      </c>
      <c r="C299" s="197" t="s">
        <v>132</v>
      </c>
      <c r="D299" s="196" t="s">
        <v>132</v>
      </c>
      <c r="E299" s="193"/>
      <c r="F299" s="230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ht="16" x14ac:dyDescent="0.2">
      <c r="A300" s="49">
        <v>4</v>
      </c>
      <c r="B300" s="198" t="s">
        <v>132</v>
      </c>
      <c r="C300" s="197" t="s">
        <v>132</v>
      </c>
      <c r="D300" s="196" t="s">
        <v>132</v>
      </c>
      <c r="E300" s="193"/>
      <c r="F300" s="230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ht="16" x14ac:dyDescent="0.2">
      <c r="A301" s="49">
        <v>5</v>
      </c>
      <c r="B301" s="198" t="s">
        <v>132</v>
      </c>
      <c r="C301" s="197" t="s">
        <v>132</v>
      </c>
      <c r="D301" s="196" t="s">
        <v>132</v>
      </c>
      <c r="E301" s="193"/>
      <c r="F301" s="230"/>
      <c r="G301" s="204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">
      <c r="A302" s="180">
        <f>'Données projet'!A270</f>
        <v>0</v>
      </c>
      <c r="B302" s="181">
        <f>'Données projet'!D270</f>
        <v>0</v>
      </c>
      <c r="C302" s="191">
        <f>80*'Données projet'!E270+13.8*('Données projet'!F270+'Données projet'!G270)+10*'Données projet'!H270</f>
        <v>0</v>
      </c>
      <c r="D302" s="182">
        <f>B302*C302</f>
        <v>0</v>
      </c>
      <c r="E302" s="193"/>
      <c r="F302" s="232"/>
      <c r="G302" s="204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">
      <c r="A303" s="180">
        <f>'Données projet'!A271</f>
        <v>0</v>
      </c>
      <c r="B303" s="181">
        <f>'Données projet'!D271</f>
        <v>0</v>
      </c>
      <c r="C303" s="191">
        <f>80*'Données projet'!E271+13.8*('Données projet'!F271+'Données projet'!G271)+10*'Données projet'!H271</f>
        <v>0</v>
      </c>
      <c r="D303" s="182">
        <f t="shared" ref="D303:D321" si="15">B303*C303</f>
        <v>0</v>
      </c>
      <c r="E303" s="193"/>
      <c r="F303" s="232"/>
      <c r="G303" s="204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">
      <c r="A304" s="180">
        <f>'Données projet'!A272</f>
        <v>0</v>
      </c>
      <c r="B304" s="181">
        <f>'Données projet'!D272</f>
        <v>0</v>
      </c>
      <c r="C304" s="191">
        <f>80*'Données projet'!E272+13.8*('Données projet'!F272+'Données projet'!G272)+10*'Données projet'!H272</f>
        <v>0</v>
      </c>
      <c r="D304" s="182">
        <f t="shared" si="15"/>
        <v>0</v>
      </c>
      <c r="E304" s="193"/>
      <c r="F304" s="232"/>
      <c r="G304" s="204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">
      <c r="A305" s="180">
        <f>'Données projet'!A273</f>
        <v>0</v>
      </c>
      <c r="B305" s="181">
        <f>'Données projet'!D273</f>
        <v>0</v>
      </c>
      <c r="C305" s="191">
        <f>80*'Données projet'!E273+13.8*('Données projet'!F273+'Données projet'!G273)+10*'Données projet'!H273</f>
        <v>0</v>
      </c>
      <c r="D305" s="182">
        <f t="shared" si="15"/>
        <v>0</v>
      </c>
      <c r="E305" s="193"/>
      <c r="F305" s="232"/>
      <c r="G305" s="204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">
      <c r="A306" s="180">
        <f>'Données projet'!A274</f>
        <v>0</v>
      </c>
      <c r="B306" s="181">
        <f>'Données projet'!D274</f>
        <v>0</v>
      </c>
      <c r="C306" s="191">
        <f>80*'Données projet'!E274+13.8*('Données projet'!F274+'Données projet'!G274)+10*'Données projet'!H274</f>
        <v>0</v>
      </c>
      <c r="D306" s="182">
        <f t="shared" si="15"/>
        <v>0</v>
      </c>
      <c r="E306" s="193"/>
      <c r="F306" s="232"/>
      <c r="G306" s="204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">
      <c r="A307" s="180">
        <f>'Données projet'!A275</f>
        <v>0</v>
      </c>
      <c r="B307" s="181">
        <f>'Données projet'!D275</f>
        <v>0</v>
      </c>
      <c r="C307" s="191">
        <f>80*'Données projet'!E275+13.8*('Données projet'!F275+'Données projet'!G275)+10*'Données projet'!H275</f>
        <v>0</v>
      </c>
      <c r="D307" s="182">
        <f t="shared" si="15"/>
        <v>0</v>
      </c>
      <c r="E307" s="193"/>
      <c r="F307" s="232"/>
      <c r="G307" s="204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">
      <c r="A308" s="180">
        <f>'Données projet'!A276</f>
        <v>0</v>
      </c>
      <c r="B308" s="181">
        <f>'Données projet'!D276</f>
        <v>0</v>
      </c>
      <c r="C308" s="191">
        <f>80*'Données projet'!E276+13.8*('Données projet'!F276+'Données projet'!G276)+10*'Données projet'!H276</f>
        <v>0</v>
      </c>
      <c r="D308" s="182">
        <f t="shared" si="15"/>
        <v>0</v>
      </c>
      <c r="E308" s="193"/>
      <c r="F308" s="232"/>
      <c r="G308" s="202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">
      <c r="A309" s="180">
        <f>'Données projet'!A277</f>
        <v>0</v>
      </c>
      <c r="B309" s="181">
        <f>'Données projet'!D277</f>
        <v>0</v>
      </c>
      <c r="C309" s="191">
        <f>80*'Données projet'!E277+13.8*('Données projet'!F277+'Données projet'!G277)+10*'Données projet'!H277</f>
        <v>0</v>
      </c>
      <c r="D309" s="182">
        <f t="shared" si="15"/>
        <v>0</v>
      </c>
      <c r="E309" s="193"/>
      <c r="F309" s="232"/>
      <c r="G309" s="202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">
      <c r="A310" s="180">
        <f>'Données projet'!A278</f>
        <v>0</v>
      </c>
      <c r="B310" s="181">
        <f>'Données projet'!D278</f>
        <v>0</v>
      </c>
      <c r="C310" s="191">
        <f>80*'Données projet'!E278+13.8*('Données projet'!F278+'Données projet'!G278)+10*'Données projet'!H278</f>
        <v>0</v>
      </c>
      <c r="D310" s="182">
        <f t="shared" si="15"/>
        <v>0</v>
      </c>
      <c r="E310" s="193"/>
      <c r="F310" s="232"/>
      <c r="G310" s="202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">
      <c r="A311" s="180">
        <f>'Données projet'!A279</f>
        <v>0</v>
      </c>
      <c r="B311" s="181">
        <f>'Données projet'!D279</f>
        <v>0</v>
      </c>
      <c r="C311" s="191">
        <f>80*'Données projet'!E279+13.8*('Données projet'!F279+'Données projet'!G279)+10*'Données projet'!H279</f>
        <v>0</v>
      </c>
      <c r="D311" s="182">
        <f t="shared" si="15"/>
        <v>0</v>
      </c>
      <c r="E311" s="193"/>
      <c r="F311" s="232"/>
      <c r="G311" s="202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">
      <c r="A312" s="180">
        <f>'Données projet'!A280</f>
        <v>0</v>
      </c>
      <c r="B312" s="181">
        <f>'Données projet'!D280</f>
        <v>0</v>
      </c>
      <c r="C312" s="191">
        <f>80*'Données projet'!E280+13.8*('Données projet'!F280+'Données projet'!G280)+10*'Données projet'!H280</f>
        <v>0</v>
      </c>
      <c r="D312" s="182">
        <f t="shared" si="15"/>
        <v>0</v>
      </c>
      <c r="E312" s="193"/>
      <c r="F312" s="232"/>
      <c r="G312" s="202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">
      <c r="A313" s="180">
        <f>'Données projet'!A281</f>
        <v>0</v>
      </c>
      <c r="B313" s="181">
        <f>'Données projet'!D281</f>
        <v>0</v>
      </c>
      <c r="C313" s="191">
        <f>80*'Données projet'!E281+13.8*('Données projet'!F281+'Données projet'!G281)+10*'Données projet'!H281</f>
        <v>0</v>
      </c>
      <c r="D313" s="182">
        <f t="shared" si="15"/>
        <v>0</v>
      </c>
      <c r="E313" s="193"/>
      <c r="F313" s="232"/>
      <c r="G313" s="202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">
      <c r="A314" s="180">
        <f>'Données projet'!A282</f>
        <v>0</v>
      </c>
      <c r="B314" s="181">
        <f>'Données projet'!D282</f>
        <v>0</v>
      </c>
      <c r="C314" s="191">
        <f>80*'Données projet'!E282+13.8*('Données projet'!F282+'Données projet'!G282)+10*'Données projet'!H282</f>
        <v>0</v>
      </c>
      <c r="D314" s="182">
        <f t="shared" si="15"/>
        <v>0</v>
      </c>
      <c r="E314" s="193"/>
      <c r="F314" s="232"/>
      <c r="G314" s="202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">
      <c r="A315" s="180">
        <f>'Données projet'!A283</f>
        <v>0</v>
      </c>
      <c r="B315" s="181">
        <f>'Données projet'!D283</f>
        <v>0</v>
      </c>
      <c r="C315" s="191">
        <f>80*'Données projet'!E283+13.8*('Données projet'!F283+'Données projet'!G283)+10*'Données projet'!H283</f>
        <v>0</v>
      </c>
      <c r="D315" s="182">
        <f t="shared" si="15"/>
        <v>0</v>
      </c>
      <c r="E315" s="193"/>
      <c r="F315" s="232"/>
      <c r="G315" s="202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">
      <c r="A316" s="180">
        <f>'Données projet'!A284</f>
        <v>0</v>
      </c>
      <c r="B316" s="181">
        <f>'Données projet'!D284</f>
        <v>0</v>
      </c>
      <c r="C316" s="191">
        <f>80*'Données projet'!E284+13.8*('Données projet'!F284+'Données projet'!G284)+10*'Données projet'!H284</f>
        <v>0</v>
      </c>
      <c r="D316" s="182">
        <f t="shared" si="15"/>
        <v>0</v>
      </c>
      <c r="E316" s="193"/>
      <c r="F316" s="232"/>
      <c r="G316" s="202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">
      <c r="A317" s="180">
        <f>'Données projet'!A285</f>
        <v>0</v>
      </c>
      <c r="B317" s="181">
        <f>'Données projet'!D285</f>
        <v>0</v>
      </c>
      <c r="C317" s="191">
        <f>80*'Données projet'!E285+13.8*('Données projet'!F285+'Données projet'!G285)+10*'Données projet'!H285</f>
        <v>0</v>
      </c>
      <c r="D317" s="182">
        <f>B317*C317</f>
        <v>0</v>
      </c>
      <c r="E317" s="193"/>
      <c r="F317" s="232"/>
      <c r="G317" s="202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">
      <c r="A318" s="180">
        <f>'Données projet'!A286</f>
        <v>0</v>
      </c>
      <c r="B318" s="181">
        <f>'Données projet'!D286</f>
        <v>0</v>
      </c>
      <c r="C318" s="191">
        <f>80*'Données projet'!E286+13.8*('Données projet'!F286+'Données projet'!G286)+10*'Données projet'!H286</f>
        <v>0</v>
      </c>
      <c r="D318" s="182">
        <f t="shared" si="15"/>
        <v>0</v>
      </c>
      <c r="E318" s="193"/>
      <c r="F318" s="232"/>
      <c r="G318" s="202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">
      <c r="A319" s="180">
        <f>'Données projet'!A287</f>
        <v>0</v>
      </c>
      <c r="B319" s="181">
        <f>'Données projet'!D287</f>
        <v>0</v>
      </c>
      <c r="C319" s="191">
        <f>80*'Données projet'!E287+13.8*('Données projet'!F287+'Données projet'!G287)+10*'Données projet'!H287</f>
        <v>0</v>
      </c>
      <c r="D319" s="182">
        <f t="shared" si="15"/>
        <v>0</v>
      </c>
      <c r="E319" s="193"/>
      <c r="F319" s="232"/>
      <c r="G319" s="202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">
      <c r="A320" s="180">
        <f>'Données projet'!A288</f>
        <v>0</v>
      </c>
      <c r="B320" s="181">
        <f>'Données projet'!D288</f>
        <v>0</v>
      </c>
      <c r="C320" s="191">
        <f>80*'Données projet'!E288+13.8*('Données projet'!F288+'Données projet'!G288)+10*'Données projet'!H288</f>
        <v>0</v>
      </c>
      <c r="D320" s="182">
        <f t="shared" si="15"/>
        <v>0</v>
      </c>
      <c r="E320" s="193"/>
      <c r="F320" s="232"/>
      <c r="G320" s="202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">
      <c r="A321" s="180">
        <f>'Données projet'!A289</f>
        <v>0</v>
      </c>
      <c r="B321" s="181">
        <f>'Données projet'!D289</f>
        <v>0</v>
      </c>
      <c r="C321" s="191">
        <f>80*'Données projet'!E289+13.8*('Données projet'!F289+'Données projet'!G289)+10*'Données projet'!H289</f>
        <v>0</v>
      </c>
      <c r="D321" s="182">
        <f t="shared" si="15"/>
        <v>0</v>
      </c>
      <c r="E321" s="193"/>
      <c r="F321" s="232"/>
      <c r="G321" s="202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">
      <c r="G322" s="202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">
      <c r="G323" s="202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">
      <c r="G324" s="202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">
      <c r="G325" s="202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">
      <c r="G326" s="202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">
      <c r="G327" s="202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2024-03-06T17:18:27Z</dcterms:modified>
</cp:coreProperties>
</file>