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LACAUNE (81) - CABROL Juliette (Catherine MILHAU)\Dossier à déposer\"/>
    </mc:Choice>
  </mc:AlternateContent>
  <xr:revisionPtr revIDLastSave="0" documentId="13_ncr:1_{C7EBF00F-C650-430B-B1F5-6F4ED77AA6EB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<sst xmlns="http://schemas.openxmlformats.org/spreadsheetml/2006/main" count="1171" uniqueCount="324">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</sst>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0" zoomScale="90" zoomScaleNormal="90" workbookViewId="0">
      <selection activeCell="E71" sqref="E7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0.5</v>
      </c>
      <c r="D9" s="36">
        <f t="shared" ref="D9:D18" si="0">C9*$C$5</f>
        <v>0.85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0.5</v>
      </c>
      <c r="D10" s="36">
        <f t="shared" si="0"/>
        <v>0.85</v>
      </c>
      <c r="E10" s="37">
        <v>82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/>
      <c r="F36" s="54"/>
      <c r="G36" s="54"/>
      <c r="H36" s="54">
        <v>1</v>
      </c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/>
      <c r="F37" s="54"/>
      <c r="G37" s="54"/>
      <c r="H37" s="54">
        <v>1</v>
      </c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22</v>
      </c>
      <c r="B62" s="63">
        <v>123</v>
      </c>
      <c r="C62" s="63">
        <v>1</v>
      </c>
      <c r="D62" s="63">
        <v>16</v>
      </c>
      <c r="E62" s="54">
        <v>0</v>
      </c>
      <c r="F62" s="54"/>
      <c r="G62" s="54">
        <v>1</v>
      </c>
      <c r="H62" s="54"/>
      <c r="I62" s="56">
        <f>IFERROR(B62/A62,"")</f>
        <v>5.5909090909090908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144</v>
      </c>
      <c r="C63" s="63">
        <v>2</v>
      </c>
      <c r="D63" s="63">
        <v>17</v>
      </c>
      <c r="E63" s="54">
        <v>0.2</v>
      </c>
      <c r="F63" s="54"/>
      <c r="G63" s="54">
        <v>0.8</v>
      </c>
      <c r="H63" s="54"/>
      <c r="I63" s="52">
        <f>IF(A63&lt;&gt;0,(B63-(B62-D62))/(A63-A62),"")</f>
        <v>12.333333333333334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194</v>
      </c>
      <c r="C64" s="63">
        <v>3</v>
      </c>
      <c r="D64" s="63">
        <v>34</v>
      </c>
      <c r="E64" s="54">
        <v>0.4</v>
      </c>
      <c r="F64" s="54"/>
      <c r="G64" s="54">
        <v>0.6</v>
      </c>
      <c r="H64" s="54"/>
      <c r="I64" s="52">
        <f>IF(A64&lt;&gt;0,(B64-(B63-D63))/(A64-A63),"")</f>
        <v>13.4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233</v>
      </c>
      <c r="C65" s="63">
        <v>4</v>
      </c>
      <c r="D65" s="63">
        <v>41</v>
      </c>
      <c r="E65" s="54">
        <v>0.45</v>
      </c>
      <c r="F65" s="54"/>
      <c r="G65" s="54">
        <v>0.55000000000000004</v>
      </c>
      <c r="H65" s="54"/>
      <c r="I65" s="52">
        <f>IF(A65&lt;&gt;0,(B65-(B64-D64))/(A65-A64),"")</f>
        <v>14.6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264</v>
      </c>
      <c r="C66" s="63">
        <v>5</v>
      </c>
      <c r="D66" s="63">
        <v>41</v>
      </c>
      <c r="E66" s="54"/>
      <c r="F66" s="54"/>
      <c r="G66" s="54"/>
      <c r="H66" s="54"/>
      <c r="I66" s="52">
        <f t="shared" ref="I66:I81" si="2">IF(A66&lt;&gt;0,(B66-(B65-D65))/(A66-A65),"")</f>
        <v>14.4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306</v>
      </c>
      <c r="C67" s="63">
        <v>6</v>
      </c>
      <c r="D67" s="63">
        <v>53</v>
      </c>
      <c r="E67" s="54"/>
      <c r="F67" s="54"/>
      <c r="G67" s="54"/>
      <c r="H67" s="54"/>
      <c r="I67" s="52">
        <f t="shared" si="2"/>
        <v>16.600000000000001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340</v>
      </c>
      <c r="C68" s="63">
        <v>7</v>
      </c>
      <c r="D68" s="63">
        <v>53</v>
      </c>
      <c r="E68" s="54"/>
      <c r="F68" s="54"/>
      <c r="G68" s="54"/>
      <c r="H68" s="54"/>
      <c r="I68" s="52">
        <f t="shared" si="2"/>
        <v>17.399999999999999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58</v>
      </c>
      <c r="B69" s="53">
        <v>428</v>
      </c>
      <c r="C69" s="53">
        <v>8</v>
      </c>
      <c r="D69" s="53">
        <v>78</v>
      </c>
      <c r="E69" s="54"/>
      <c r="F69" s="54"/>
      <c r="G69" s="54"/>
      <c r="H69" s="54"/>
      <c r="I69" s="52">
        <f t="shared" si="2"/>
        <v>17.625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66</v>
      </c>
      <c r="B70" s="53">
        <v>483</v>
      </c>
      <c r="C70" s="53">
        <v>9</v>
      </c>
      <c r="D70" s="53">
        <v>65</v>
      </c>
      <c r="E70" s="54"/>
      <c r="F70" s="54"/>
      <c r="G70" s="54"/>
      <c r="H70" s="54"/>
      <c r="I70" s="52">
        <f t="shared" si="2"/>
        <v>16.625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74</v>
      </c>
      <c r="B71" s="53">
        <v>521</v>
      </c>
      <c r="C71" s="53">
        <v>10</v>
      </c>
      <c r="D71" s="53">
        <v>37</v>
      </c>
      <c r="E71" s="54"/>
      <c r="F71" s="54"/>
      <c r="G71" s="54"/>
      <c r="H71" s="54"/>
      <c r="I71" s="52">
        <f t="shared" si="2"/>
        <v>12.875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82</v>
      </c>
      <c r="B72" s="53">
        <v>555</v>
      </c>
      <c r="C72" s="53">
        <v>11</v>
      </c>
      <c r="D72" s="53">
        <v>555</v>
      </c>
      <c r="E72" s="54"/>
      <c r="F72" s="54"/>
      <c r="G72" s="54"/>
      <c r="H72" s="54"/>
      <c r="I72" s="52">
        <f t="shared" si="2"/>
        <v>8.875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310.95287409903602</v>
      </c>
      <c r="T3" s="62">
        <f>IF('Données projet'!E9&gt;30,$R$33-$H$33,LOOKUP('Données projet'!$E$9,$A$3:$A$203,R3:R203)-LOOKUP('Données projet'!$E$9,$A$3:$A$203,$H$3:$H$203))</f>
        <v>224.10083380795163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287.69656598881124</v>
      </c>
      <c r="AO3" s="62">
        <f>IF('Données projet'!E10&gt;30,$AM$33-$H$33,LOOKUP('Données projet'!$E$10,$A$3:$A$203,AM3:AM203)-LOOKUP('Données projet'!$E$10,$A$3:$A$203,$H$3:$H$203))</f>
        <v>221.9773436301067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294.89641891074018</v>
      </c>
      <c r="S4" s="62">
        <f ca="1">AVERAGE(OFFSET($R$3,0,0,'Données projet'!$E$9+1,1))-AVERAGE(OFFSET($H$3,0,0,'Données projet'!$E$9+1,1))</f>
        <v>310.95287409903602</v>
      </c>
      <c r="T4" s="62">
        <f>$T$3</f>
        <v>224.10083380795163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5.5909090909090908</v>
      </c>
      <c r="AI4" s="14">
        <f>IF('Données projet'!$A$62&gt;35,AI3+AH4-AQ3,IF(A4&lt;'Données projet'!$A$62,$AF$205^A4,IF(A4='Données projet'!$A$62,'Données projet'!$B$62,AI3+AH4-AQ3)))</f>
        <v>1.244502252163008</v>
      </c>
      <c r="AJ4" s="14">
        <f>AI4*VLOOKUP('Données projet'!$B$10,Paramètres!$A$1:$I$89,3,0)*VLOOKUP('Données projet'!$B$10,Paramètres!$A$1:$I$89,5,0)</f>
        <v>0.74421234679347892</v>
      </c>
      <c r="AK4" s="14">
        <f>EXP(-1.0587+0.8836*LN(AJ4)+0.284)</f>
        <v>0.3549632728022305</v>
      </c>
      <c r="AL4" s="22">
        <f t="shared" ref="AL4:AL67" si="4">(AJ4+AK4)*0.475*44/12</f>
        <v>1.9143975374625271</v>
      </c>
      <c r="AM4" s="62">
        <f t="shared" ref="AM4:AM67" si="5">AL4+(AD4+AE4)*44/12</f>
        <v>295.24773087079586</v>
      </c>
      <c r="AN4" s="62">
        <f ca="1">AVERAGE(OFFSET($AM$3,0,0,'Données projet'!$E$10+1,1))-AVERAGE(OFFSET($H$3,0,0,'Données projet'!$E$10+1,1))</f>
        <v>287.69656598881124</v>
      </c>
      <c r="AO4" s="62">
        <f>$AO$3</f>
        <v>221.9773436301067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295.32747390874374</v>
      </c>
      <c r="S5" s="62">
        <f ca="1">AVERAGE(OFFSET($R$3,0,0,'Données projet'!$E$9+1,1))-AVERAGE(OFFSET($H$3,0,0,'Données projet'!$E$9+1,1))</f>
        <v>310.95287409903602</v>
      </c>
      <c r="T5" s="62">
        <f t="shared" ref="T5:T68" si="34">$T$3</f>
        <v>224.10083380795163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5.5909090909090908</v>
      </c>
      <c r="AI5" s="14">
        <f>IF('Données projet'!$A$62&gt;35,AI4+AH5-AQ4,IF(A5&lt;'Données projet'!$A$62,$AF$205^A5,IF(A5='Données projet'!$A$62,'Données projet'!$B$62,AI4+AH5-AQ4)))</f>
        <v>1.5487858556387992</v>
      </c>
      <c r="AJ5" s="14">
        <f>AI5*VLOOKUP('Données projet'!$B$10,Paramètres!$A$1:$I$89,3,0)*VLOOKUP('Données projet'!$B$10,Paramètres!$A$1:$I$89,5,0)</f>
        <v>0.92617394167200195</v>
      </c>
      <c r="AK5" s="14">
        <f t="shared" ref="AK5:AK68" si="35">EXP(-1.0587+0.8836*LN(AJ5)+0.284)</f>
        <v>0.43064718121421069</v>
      </c>
      <c r="AL5" s="22">
        <f t="shared" si="4"/>
        <v>2.3631301223601535</v>
      </c>
      <c r="AM5" s="62">
        <f t="shared" si="5"/>
        <v>295.69646345569345</v>
      </c>
      <c r="AN5" s="62">
        <f ca="1">AVERAGE(OFFSET($AM$3,0,0,'Données projet'!$E$10+1,1))-AVERAGE(OFFSET($H$3,0,0,'Données projet'!$E$10+1,1))</f>
        <v>287.69656598881124</v>
      </c>
      <c r="AO5" s="62">
        <f t="shared" ref="AO5:AO68" si="36">$AO$3</f>
        <v>221.9773436301067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295.8778838402435</v>
      </c>
      <c r="S6" s="62">
        <f ca="1">AVERAGE(OFFSET($R$3,0,0,'Données projet'!$E$9+1,1))-AVERAGE(OFFSET($H$3,0,0,'Données projet'!$E$9+1,1))</f>
        <v>310.95287409903602</v>
      </c>
      <c r="T6" s="62">
        <f t="shared" si="34"/>
        <v>224.10083380795163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5.5909090909090908</v>
      </c>
      <c r="AI6" s="14">
        <f>IF('Données projet'!$A$62&gt;35,AI5+AH6-AQ5,IF(A6&lt;'Données projet'!$A$62,$AF$205^A6,IF(A6='Données projet'!$A$62,'Données projet'!$B$62,AI5+AH6-AQ5)))</f>
        <v>1.927467485460697</v>
      </c>
      <c r="AJ6" s="14">
        <f>AI6*VLOOKUP('Données projet'!$B$10,Paramètres!$A$1:$I$89,3,0)*VLOOKUP('Données projet'!$B$10,Paramètres!$A$1:$I$89,5,0)</f>
        <v>1.152625556305497</v>
      </c>
      <c r="AK6" s="14">
        <f t="shared" si="35"/>
        <v>0.52246812247269758</v>
      </c>
      <c r="AL6" s="22">
        <f t="shared" si="4"/>
        <v>2.9174548238720219</v>
      </c>
      <c r="AM6" s="62">
        <f t="shared" si="5"/>
        <v>296.25078815720536</v>
      </c>
      <c r="AN6" s="62">
        <f ca="1">AVERAGE(OFFSET($AM$3,0,0,'Données projet'!$E$10+1,1))-AVERAGE(OFFSET($H$3,0,0,'Données projet'!$E$10+1,1))</f>
        <v>287.69656598881124</v>
      </c>
      <c r="AO6" s="62">
        <f t="shared" si="36"/>
        <v>221.9773436301067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296.58082314457886</v>
      </c>
      <c r="S7" s="62">
        <f ca="1">AVERAGE(OFFSET($R$3,0,0,'Données projet'!$E$9+1,1))-AVERAGE(OFFSET($H$3,0,0,'Données projet'!$E$9+1,1))</f>
        <v>310.95287409903602</v>
      </c>
      <c r="T7" s="62">
        <f t="shared" si="34"/>
        <v>224.10083380795163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5.5909090909090908</v>
      </c>
      <c r="AI7" s="14">
        <f>IF('Données projet'!$A$62&gt;35,AI6+AH7-AQ6,IF(A7&lt;'Données projet'!$A$62,$AF$205^A7,IF(A7='Données projet'!$A$62,'Données projet'!$B$62,AI6+AH7-AQ6)))</f>
        <v>2.3987376266268075</v>
      </c>
      <c r="AJ7" s="14">
        <f>AI7*VLOOKUP('Données projet'!$B$10,Paramètres!$A$1:$I$89,3,0)*VLOOKUP('Données projet'!$B$10,Paramètres!$A$1:$I$89,5,0)</f>
        <v>1.4344451007228309</v>
      </c>
      <c r="AK7" s="14">
        <f t="shared" si="35"/>
        <v>0.63386677286612625</v>
      </c>
      <c r="AL7" s="22">
        <f t="shared" si="4"/>
        <v>3.6023098465007668</v>
      </c>
      <c r="AM7" s="62">
        <f t="shared" si="5"/>
        <v>296.93564317983407</v>
      </c>
      <c r="AN7" s="62">
        <f ca="1">AVERAGE(OFFSET($AM$3,0,0,'Données projet'!$E$10+1,1))-AVERAGE(OFFSET($H$3,0,0,'Données projet'!$E$10+1,1))</f>
        <v>287.69656598881124</v>
      </c>
      <c r="AO7" s="62">
        <f t="shared" si="36"/>
        <v>221.9773436301067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297.47871993550461</v>
      </c>
      <c r="S8" s="62">
        <f ca="1">AVERAGE(OFFSET($R$3,0,0,'Données projet'!$E$9+1,1))-AVERAGE(OFFSET($H$3,0,0,'Données projet'!$E$9+1,1))</f>
        <v>310.95287409903602</v>
      </c>
      <c r="T8" s="62">
        <f t="shared" si="34"/>
        <v>224.10083380795163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5.5909090909090908</v>
      </c>
      <c r="AI8" s="14">
        <f>IF('Données projet'!$A$62&gt;35,AI7+AH8-AQ7,IF(A8&lt;'Données projet'!$A$62,$AF$205^A8,IF(A8='Données projet'!$A$62,'Données projet'!$B$62,AI7+AH8-AQ7)))</f>
        <v>2.9852343786852105</v>
      </c>
      <c r="AJ8" s="14">
        <f>AI8*VLOOKUP('Données projet'!$B$10,Paramètres!$A$1:$I$89,3,0)*VLOOKUP('Données projet'!$B$10,Paramètres!$A$1:$I$89,5,0)</f>
        <v>1.785170158453756</v>
      </c>
      <c r="AK8" s="14">
        <f t="shared" si="35"/>
        <v>0.7690174164926461</v>
      </c>
      <c r="AL8" s="22">
        <f t="shared" si="4"/>
        <v>4.4485433596983173</v>
      </c>
      <c r="AM8" s="62">
        <f t="shared" si="5"/>
        <v>297.78187669303162</v>
      </c>
      <c r="AN8" s="62">
        <f ca="1">AVERAGE(OFFSET($AM$3,0,0,'Données projet'!$E$10+1,1))-AVERAGE(OFFSET($H$3,0,0,'Données projet'!$E$10+1,1))</f>
        <v>287.69656598881124</v>
      </c>
      <c r="AO8" s="62">
        <f t="shared" si="36"/>
        <v>221.9773436301067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298.62584576955311</v>
      </c>
      <c r="S9" s="62">
        <f ca="1">AVERAGE(OFFSET($R$3,0,0,'Données projet'!$E$9+1,1))-AVERAGE(OFFSET($H$3,0,0,'Données projet'!$E$9+1,1))</f>
        <v>310.95287409903602</v>
      </c>
      <c r="T9" s="62">
        <f t="shared" si="34"/>
        <v>224.10083380795163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5.5909090909090908</v>
      </c>
      <c r="AI9" s="14">
        <f>IF('Données projet'!$A$62&gt;35,AI8+AH9-AQ8,IF(A9&lt;'Données projet'!$A$62,$AF$205^A9,IF(A9='Données projet'!$A$62,'Données projet'!$B$62,AI8+AH9-AQ8)))</f>
        <v>3.7151309075081826</v>
      </c>
      <c r="AJ9" s="14">
        <f>AI9*VLOOKUP('Données projet'!$B$10,Paramètres!$A$1:$I$89,3,0)*VLOOKUP('Données projet'!$B$10,Paramètres!$A$1:$I$89,5,0)</f>
        <v>2.2216482826898933</v>
      </c>
      <c r="AK9" s="14">
        <f t="shared" si="35"/>
        <v>0.93298436230530435</v>
      </c>
      <c r="AL9" s="22">
        <f t="shared" si="4"/>
        <v>5.4943185233666361</v>
      </c>
      <c r="AM9" s="62">
        <f t="shared" si="5"/>
        <v>298.82765185669996</v>
      </c>
      <c r="AN9" s="62">
        <f ca="1">AVERAGE(OFFSET($AM$3,0,0,'Données projet'!$E$10+1,1))-AVERAGE(OFFSET($H$3,0,0,'Données projet'!$E$10+1,1))</f>
        <v>287.69656598881124</v>
      </c>
      <c r="AO9" s="62">
        <f t="shared" si="36"/>
        <v>221.9773436301067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300.09163240970821</v>
      </c>
      <c r="S10" s="62">
        <f ca="1">AVERAGE(OFFSET($R$3,0,0,'Données projet'!$E$9+1,1))-AVERAGE(OFFSET($H$3,0,0,'Données projet'!$E$9+1,1))</f>
        <v>310.95287409903602</v>
      </c>
      <c r="T10" s="62">
        <f t="shared" si="34"/>
        <v>224.10083380795163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5.5909090909090908</v>
      </c>
      <c r="AI10" s="14">
        <f>IF('Données projet'!$A$62&gt;35,AI9+AH10-AQ9,IF(A10&lt;'Données projet'!$A$62,$AF$205^A10,IF(A10='Données projet'!$A$62,'Données projet'!$B$62,AI9+AH10-AQ9)))</f>
        <v>4.6234887814743333</v>
      </c>
      <c r="AJ10" s="14">
        <f>AI10*VLOOKUP('Données projet'!$B$10,Paramètres!$A$1:$I$89,3,0)*VLOOKUP('Données projet'!$B$10,Paramètres!$A$1:$I$89,5,0)</f>
        <v>2.7648462913216516</v>
      </c>
      <c r="AK10" s="14">
        <f t="shared" si="35"/>
        <v>1.1319117118000401</v>
      </c>
      <c r="AL10" s="22">
        <f t="shared" si="4"/>
        <v>6.7868535221036126</v>
      </c>
      <c r="AM10" s="62">
        <f t="shared" si="5"/>
        <v>300.12018685543694</v>
      </c>
      <c r="AN10" s="62">
        <f ca="1">AVERAGE(OFFSET($AM$3,0,0,'Données projet'!$E$10+1,1))-AVERAGE(OFFSET($H$3,0,0,'Données projet'!$E$10+1,1))</f>
        <v>287.69656598881124</v>
      </c>
      <c r="AO10" s="62">
        <f t="shared" si="36"/>
        <v>221.9773436301067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301.96492023616713</v>
      </c>
      <c r="S11" s="62">
        <f ca="1">AVERAGE(OFFSET($R$3,0,0,'Données projet'!$E$9+1,1))-AVERAGE(OFFSET($H$3,0,0,'Données projet'!$E$9+1,1))</f>
        <v>310.95287409903602</v>
      </c>
      <c r="T11" s="62">
        <f t="shared" si="34"/>
        <v>224.10083380795163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5.5909090909090908</v>
      </c>
      <c r="AI11" s="14">
        <f>IF('Données projet'!$A$62&gt;35,AI10+AH11-AQ10,IF(A11&lt;'Données projet'!$A$62,$AF$205^A11,IF(A11='Données projet'!$A$62,'Données projet'!$B$62,AI10+AH11-AQ10)))</f>
        <v>5.7539422013952093</v>
      </c>
      <c r="AJ11" s="14">
        <f>AI11*VLOOKUP('Données projet'!$B$10,Paramètres!$A$1:$I$89,3,0)*VLOOKUP('Données projet'!$B$10,Paramètres!$A$1:$I$89,5,0)</f>
        <v>3.4408574364343356</v>
      </c>
      <c r="AK11" s="14">
        <f t="shared" si="35"/>
        <v>1.3732535882427113</v>
      </c>
      <c r="AL11" s="22">
        <f t="shared" si="4"/>
        <v>8.3845767013125236</v>
      </c>
      <c r="AM11" s="62">
        <f t="shared" si="5"/>
        <v>301.71791003464585</v>
      </c>
      <c r="AN11" s="62">
        <f ca="1">AVERAGE(OFFSET($AM$3,0,0,'Données projet'!$E$10+1,1))-AVERAGE(OFFSET($H$3,0,0,'Données projet'!$E$10+1,1))</f>
        <v>287.69656598881124</v>
      </c>
      <c r="AO11" s="62">
        <f t="shared" si="36"/>
        <v>221.9773436301067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304.35940071300303</v>
      </c>
      <c r="S12" s="62">
        <f ca="1">AVERAGE(OFFSET($R$3,0,0,'Données projet'!$E$9+1,1))-AVERAGE(OFFSET($H$3,0,0,'Données projet'!$E$9+1,1))</f>
        <v>310.95287409903602</v>
      </c>
      <c r="T12" s="62">
        <f t="shared" si="34"/>
        <v>224.10083380795163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5.5909090909090908</v>
      </c>
      <c r="AI12" s="14">
        <f>IF('Données projet'!$A$62&gt;35,AI11+AH12-AQ11,IF(A12&lt;'Données projet'!$A$62,$AF$205^A12,IF(A12='Données projet'!$A$62,'Données projet'!$B$62,AI11+AH12-AQ11)))</f>
        <v>7.1607940284521145</v>
      </c>
      <c r="AJ12" s="14">
        <f>AI12*VLOOKUP('Données projet'!$B$10,Paramètres!$A$1:$I$89,3,0)*VLOOKUP('Données projet'!$B$10,Paramètres!$A$1:$I$89,5,0)</f>
        <v>4.2821548290143649</v>
      </c>
      <c r="AK12" s="14">
        <f t="shared" si="35"/>
        <v>1.6660534544894132</v>
      </c>
      <c r="AL12" s="22">
        <f t="shared" si="4"/>
        <v>10.359796093769079</v>
      </c>
      <c r="AM12" s="62">
        <f t="shared" si="5"/>
        <v>303.69312942710241</v>
      </c>
      <c r="AN12" s="62">
        <f ca="1">AVERAGE(OFFSET($AM$3,0,0,'Données projet'!$E$10+1,1))-AVERAGE(OFFSET($H$3,0,0,'Données projet'!$E$10+1,1))</f>
        <v>287.69656598881124</v>
      </c>
      <c r="AO12" s="62">
        <f t="shared" si="36"/>
        <v>221.9773436301067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307.42058941449875</v>
      </c>
      <c r="S13" s="62">
        <f ca="1">AVERAGE(OFFSET($R$3,0,0,'Données projet'!$E$9+1,1))-AVERAGE(OFFSET($H$3,0,0,'Données projet'!$E$9+1,1))</f>
        <v>310.95287409903602</v>
      </c>
      <c r="T13" s="62">
        <f t="shared" si="34"/>
        <v>224.10083380795163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5.5909090909090908</v>
      </c>
      <c r="AI13" s="14">
        <f>IF('Données projet'!$A$62&gt;35,AI12+AH13-AQ12,IF(A13&lt;'Données projet'!$A$62,$AF$205^A13,IF(A13='Données projet'!$A$62,'Données projet'!$B$62,AI12+AH13-AQ12)))</f>
        <v>8.9116242956840761</v>
      </c>
      <c r="AJ13" s="14">
        <f>AI13*VLOOKUP('Données projet'!$B$10,Paramètres!$A$1:$I$89,3,0)*VLOOKUP('Données projet'!$B$10,Paramètres!$A$1:$I$89,5,0)</f>
        <v>5.3291513288190782</v>
      </c>
      <c r="AK13" s="14">
        <f t="shared" si="35"/>
        <v>2.0212829858817885</v>
      </c>
      <c r="AL13" s="22">
        <f t="shared" si="4"/>
        <v>12.802006431437341</v>
      </c>
      <c r="AM13" s="62">
        <f t="shared" si="5"/>
        <v>306.13533976477066</v>
      </c>
      <c r="AN13" s="62">
        <f ca="1">AVERAGE(OFFSET($AM$3,0,0,'Données projet'!$E$10+1,1))-AVERAGE(OFFSET($H$3,0,0,'Données projet'!$E$10+1,1))</f>
        <v>287.69656598881124</v>
      </c>
      <c r="AO13" s="62">
        <f t="shared" si="36"/>
        <v>221.9773436301067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311.33476117897868</v>
      </c>
      <c r="S14" s="62">
        <f ca="1">AVERAGE(OFFSET($R$3,0,0,'Données projet'!$E$9+1,1))-AVERAGE(OFFSET($H$3,0,0,'Données projet'!$E$9+1,1))</f>
        <v>310.95287409903602</v>
      </c>
      <c r="T14" s="62">
        <f t="shared" si="34"/>
        <v>224.10083380795163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5.5909090909090908</v>
      </c>
      <c r="AI14" s="14">
        <f>IF('Données projet'!$A$62&gt;35,AI13+AH14-AQ13,IF(A14&lt;'Données projet'!$A$62,$AF$205^A14,IF(A14='Données projet'!$A$62,'Données projet'!$B$62,AI13+AH14-AQ13)))</f>
        <v>11.090536506409412</v>
      </c>
      <c r="AJ14" s="14">
        <f>AI14*VLOOKUP('Données projet'!$B$10,Paramètres!$A$1:$I$89,3,0)*VLOOKUP('Données projet'!$B$10,Paramètres!$A$1:$I$89,5,0)</f>
        <v>6.6321408308328289</v>
      </c>
      <c r="AK14" s="14">
        <f t="shared" si="35"/>
        <v>2.4522531963221348</v>
      </c>
      <c r="AL14" s="22">
        <f t="shared" si="4"/>
        <v>15.821986263961561</v>
      </c>
      <c r="AM14" s="62">
        <f t="shared" si="5"/>
        <v>309.15531959729486</v>
      </c>
      <c r="AN14" s="62">
        <f ca="1">AVERAGE(OFFSET($AM$3,0,0,'Données projet'!$E$10+1,1))-AVERAGE(OFFSET($H$3,0,0,'Données projet'!$E$10+1,1))</f>
        <v>287.69656598881124</v>
      </c>
      <c r="AO14" s="62">
        <f t="shared" si="36"/>
        <v>221.9773436301067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316.3404009375538</v>
      </c>
      <c r="S15" s="62">
        <f ca="1">AVERAGE(OFFSET($R$3,0,0,'Données projet'!$E$9+1,1))-AVERAGE(OFFSET($H$3,0,0,'Données projet'!$E$9+1,1))</f>
        <v>310.95287409903602</v>
      </c>
      <c r="T15" s="62">
        <f t="shared" si="34"/>
        <v>224.10083380795163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5.5909090909090908</v>
      </c>
      <c r="AI15" s="14">
        <f>IF('Données projet'!$A$62&gt;35,AI14+AH15-AQ14,IF(A15&lt;'Données projet'!$A$62,$AF$205^A15,IF(A15='Données projet'!$A$62,'Données projet'!$B$62,AI14+AH15-AQ14)))</f>
        <v>13.802197659922571</v>
      </c>
      <c r="AJ15" s="14">
        <f>AI15*VLOOKUP('Données projet'!$B$10,Paramètres!$A$1:$I$89,3,0)*VLOOKUP('Données projet'!$B$10,Paramètres!$A$1:$I$89,5,0)</f>
        <v>8.2537142006336985</v>
      </c>
      <c r="AK15" s="14">
        <f t="shared" si="35"/>
        <v>2.9751132230743558</v>
      </c>
      <c r="AL15" s="22">
        <f t="shared" si="4"/>
        <v>19.556874429624859</v>
      </c>
      <c r="AM15" s="62">
        <f t="shared" si="5"/>
        <v>312.8902077629582</v>
      </c>
      <c r="AN15" s="62">
        <f ca="1">AVERAGE(OFFSET($AM$3,0,0,'Données projet'!$E$10+1,1))-AVERAGE(OFFSET($H$3,0,0,'Données projet'!$E$10+1,1))</f>
        <v>287.69656598881124</v>
      </c>
      <c r="AO15" s="62">
        <f t="shared" si="36"/>
        <v>221.9773436301067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322.74288029609767</v>
      </c>
      <c r="S16" s="62">
        <f ca="1">AVERAGE(OFFSET($R$3,0,0,'Données projet'!$E$9+1,1))-AVERAGE(OFFSET($H$3,0,0,'Données projet'!$E$9+1,1))</f>
        <v>310.95287409903602</v>
      </c>
      <c r="T16" s="62">
        <f t="shared" si="34"/>
        <v>224.10083380795163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5.5909090909090908</v>
      </c>
      <c r="AI16" s="14">
        <f>IF('Données projet'!$A$62&gt;35,AI15+AH16-AQ15,IF(A16&lt;'Données projet'!$A$62,$AF$205^A16,IF(A16='Données projet'!$A$62,'Données projet'!$B$62,AI15+AH16-AQ15)))</f>
        <v>17.17686607257264</v>
      </c>
      <c r="AJ16" s="14">
        <f>AI16*VLOOKUP('Données projet'!$B$10,Paramètres!$A$1:$I$89,3,0)*VLOOKUP('Données projet'!$B$10,Paramètres!$A$1:$I$89,5,0)</f>
        <v>10.27176591139844</v>
      </c>
      <c r="AK16" s="14">
        <f t="shared" si="35"/>
        <v>3.609455460548272</v>
      </c>
      <c r="AL16" s="22">
        <f t="shared" si="4"/>
        <v>24.176460556140523</v>
      </c>
      <c r="AM16" s="62">
        <f t="shared" si="5"/>
        <v>317.50979388947383</v>
      </c>
      <c r="AN16" s="62">
        <f ca="1">AVERAGE(OFFSET($AM$3,0,0,'Données projet'!$E$10+1,1))-AVERAGE(OFFSET($H$3,0,0,'Données projet'!$E$10+1,1))</f>
        <v>287.69656598881124</v>
      </c>
      <c r="AO16" s="62">
        <f t="shared" si="36"/>
        <v>221.9773436301067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330.93327083690383</v>
      </c>
      <c r="S17" s="62">
        <f ca="1">AVERAGE(OFFSET($R$3,0,0,'Données projet'!$E$9+1,1))-AVERAGE(OFFSET($H$3,0,0,'Données projet'!$E$9+1,1))</f>
        <v>310.95287409903602</v>
      </c>
      <c r="T17" s="62">
        <f t="shared" si="34"/>
        <v>224.10083380795163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5.5909090909090908</v>
      </c>
      <c r="AI17" s="14">
        <f>IF('Données projet'!$A$62&gt;35,AI16+AH17-AQ16,IF(A17&lt;'Données projet'!$A$62,$AF$205^A17,IF(A17='Données projet'!$A$62,'Données projet'!$B$62,AI16+AH17-AQ16)))</f>
        <v>21.376648512419013</v>
      </c>
      <c r="AJ17" s="14">
        <f>AI17*VLOOKUP('Données projet'!$B$10,Paramètres!$A$1:$I$89,3,0)*VLOOKUP('Données projet'!$B$10,Paramètres!$A$1:$I$89,5,0)</f>
        <v>12.783235810426572</v>
      </c>
      <c r="AK17" s="14">
        <f t="shared" si="35"/>
        <v>4.3790497183898731</v>
      </c>
      <c r="AL17" s="22">
        <f t="shared" si="4"/>
        <v>29.890980629355308</v>
      </c>
      <c r="AM17" s="62">
        <f t="shared" si="5"/>
        <v>323.2243139626886</v>
      </c>
      <c r="AN17" s="62">
        <f ca="1">AVERAGE(OFFSET($AM$3,0,0,'Données projet'!$E$10+1,1))-AVERAGE(OFFSET($H$3,0,0,'Données projet'!$E$10+1,1))</f>
        <v>287.69656598881124</v>
      </c>
      <c r="AO17" s="62">
        <f t="shared" si="36"/>
        <v>221.9773436301067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341.41246294557129</v>
      </c>
      <c r="S18" s="62">
        <f ca="1">AVERAGE(OFFSET($R$3,0,0,'Données projet'!$E$9+1,1))-AVERAGE(OFFSET($H$3,0,0,'Données projet'!$E$9+1,1))</f>
        <v>310.95287409903602</v>
      </c>
      <c r="T18" s="62">
        <f t="shared" si="34"/>
        <v>224.10083380795163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5.5909090909090908</v>
      </c>
      <c r="AI18" s="14">
        <f>IF('Données projet'!$A$62&gt;35,AI17+AH18-AQ17,IF(A18&lt;'Données projet'!$A$62,$AF$205^A18,IF(A18='Données projet'!$A$62,'Données projet'!$B$62,AI17+AH18-AQ17)))</f>
        <v>26.603287217402478</v>
      </c>
      <c r="AJ18" s="14">
        <f>AI18*VLOOKUP('Données projet'!$B$10,Paramètres!$A$1:$I$89,3,0)*VLOOKUP('Données projet'!$B$10,Paramètres!$A$1:$I$89,5,0)</f>
        <v>15.908765756006684</v>
      </c>
      <c r="AK18" s="14">
        <f t="shared" si="35"/>
        <v>5.312733913945455</v>
      </c>
      <c r="AL18" s="22">
        <f t="shared" si="4"/>
        <v>36.960778591833304</v>
      </c>
      <c r="AM18" s="62">
        <f t="shared" si="5"/>
        <v>330.29411192516659</v>
      </c>
      <c r="AN18" s="62">
        <f ca="1">AVERAGE(OFFSET($AM$3,0,0,'Données projet'!$E$10+1,1))-AVERAGE(OFFSET($H$3,0,0,'Données projet'!$E$10+1,1))</f>
        <v>287.69656598881124</v>
      </c>
      <c r="AO18" s="62">
        <f t="shared" si="36"/>
        <v>221.9773436301067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354.82208993415543</v>
      </c>
      <c r="S19" s="62">
        <f ca="1">AVERAGE(OFFSET($R$3,0,0,'Données projet'!$E$9+1,1))-AVERAGE(OFFSET($H$3,0,0,'Données projet'!$E$9+1,1))</f>
        <v>310.95287409903602</v>
      </c>
      <c r="T19" s="62">
        <f t="shared" si="34"/>
        <v>224.10083380795163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5.5909090909090908</v>
      </c>
      <c r="AI19" s="14">
        <f>IF('Données projet'!$A$62&gt;35,AI18+AH19-AQ18,IF(A19&lt;'Données projet'!$A$62,$AF$205^A19,IF(A19='Données projet'!$A$62,'Données projet'!$B$62,AI18+AH19-AQ18)))</f>
        <v>33.107850856996748</v>
      </c>
      <c r="AJ19" s="14">
        <f>AI19*VLOOKUP('Données projet'!$B$10,Paramètres!$A$1:$I$89,3,0)*VLOOKUP('Données projet'!$B$10,Paramètres!$A$1:$I$89,5,0)</f>
        <v>19.798494812484059</v>
      </c>
      <c r="AK19" s="14">
        <f t="shared" si="35"/>
        <v>6.4454946747588586</v>
      </c>
      <c r="AL19" s="22">
        <f t="shared" si="4"/>
        <v>45.70828169028141</v>
      </c>
      <c r="AM19" s="62">
        <f t="shared" si="5"/>
        <v>339.04161502361472</v>
      </c>
      <c r="AN19" s="62">
        <f ca="1">AVERAGE(OFFSET($AM$3,0,0,'Données projet'!$E$10+1,1))-AVERAGE(OFFSET($H$3,0,0,'Données projet'!$E$10+1,1))</f>
        <v>287.69656598881124</v>
      </c>
      <c r="AO19" s="62">
        <f t="shared" si="36"/>
        <v>221.9773436301067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371.98418210076898</v>
      </c>
      <c r="S20" s="62">
        <f ca="1">AVERAGE(OFFSET($R$3,0,0,'Données projet'!$E$9+1,1))-AVERAGE(OFFSET($H$3,0,0,'Données projet'!$E$9+1,1))</f>
        <v>310.95287409903602</v>
      </c>
      <c r="T20" s="62">
        <f t="shared" si="34"/>
        <v>224.10083380795163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5.5909090909090908</v>
      </c>
      <c r="AI20" s="14">
        <f>IF('Données projet'!$A$62&gt;35,AI19+AH20-AQ19,IF(A20&lt;'Données projet'!$A$62,$AF$205^A20,IF(A20='Données projet'!$A$62,'Données projet'!$B$62,AI19+AH20-AQ19)))</f>
        <v>41.202794955809431</v>
      </c>
      <c r="AJ20" s="14">
        <f>AI20*VLOOKUP('Données projet'!$B$10,Paramètres!$A$1:$I$89,3,0)*VLOOKUP('Données projet'!$B$10,Paramètres!$A$1:$I$89,5,0)</f>
        <v>24.639271383574041</v>
      </c>
      <c r="AK20" s="14">
        <f t="shared" si="35"/>
        <v>7.8197783429910519</v>
      </c>
      <c r="AL20" s="22">
        <f t="shared" si="4"/>
        <v>56.532844940434195</v>
      </c>
      <c r="AM20" s="62">
        <f t="shared" si="5"/>
        <v>349.8661782737675</v>
      </c>
      <c r="AN20" s="62">
        <f ca="1">AVERAGE(OFFSET($AM$3,0,0,'Données projet'!$E$10+1,1))-AVERAGE(OFFSET($H$3,0,0,'Données projet'!$E$10+1,1))</f>
        <v>287.69656598881124</v>
      </c>
      <c r="AO20" s="62">
        <f t="shared" si="36"/>
        <v>221.9773436301067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393.95202082891387</v>
      </c>
      <c r="S21" s="62">
        <f ca="1">AVERAGE(OFFSET($R$3,0,0,'Données projet'!$E$9+1,1))-AVERAGE(OFFSET($H$3,0,0,'Données projet'!$E$9+1,1))</f>
        <v>310.95287409903602</v>
      </c>
      <c r="T21" s="62">
        <f t="shared" si="34"/>
        <v>224.10083380795163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5.5909090909090908</v>
      </c>
      <c r="AI21" s="14">
        <f>IF('Données projet'!$A$62&gt;35,AI20+AH21-AQ20,IF(A21&lt;'Données projet'!$A$62,$AF$205^A21,IF(A21='Données projet'!$A$62,'Données projet'!$B$62,AI20+AH21-AQ20)))</f>
        <v>51.276971117915458</v>
      </c>
      <c r="AJ21" s="14">
        <f>AI21*VLOOKUP('Données projet'!$B$10,Paramètres!$A$1:$I$89,3,0)*VLOOKUP('Données projet'!$B$10,Paramètres!$A$1:$I$89,5,0)</f>
        <v>30.663628728513448</v>
      </c>
      <c r="AK21" s="14">
        <f t="shared" si="35"/>
        <v>9.4870815071768995</v>
      </c>
      <c r="AL21" s="22">
        <f t="shared" si="4"/>
        <v>69.929153660494023</v>
      </c>
      <c r="AM21" s="62">
        <f t="shared" si="5"/>
        <v>363.26248699382734</v>
      </c>
      <c r="AN21" s="62">
        <f ca="1">AVERAGE(OFFSET($AM$3,0,0,'Données projet'!$E$10+1,1))-AVERAGE(OFFSET($H$3,0,0,'Données projet'!$E$10+1,1))</f>
        <v>287.69656598881124</v>
      </c>
      <c r="AO21" s="62">
        <f t="shared" si="36"/>
        <v>221.9773436301067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422.07536317537841</v>
      </c>
      <c r="S22" s="62">
        <f ca="1">AVERAGE(OFFSET($R$3,0,0,'Données projet'!$E$9+1,1))-AVERAGE(OFFSET($H$3,0,0,'Données projet'!$E$9+1,1))</f>
        <v>310.95287409903602</v>
      </c>
      <c r="T22" s="62">
        <f t="shared" si="34"/>
        <v>224.10083380795163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5.5909090909090908</v>
      </c>
      <c r="AI22" s="14">
        <f>IF('Données projet'!$A$62&gt;35,AI21+AH22-AQ21,IF(A22&lt;'Données projet'!$A$62,$AF$205^A22,IF(A22='Données projet'!$A$62,'Données projet'!$B$62,AI21+AH22-AQ21)))</f>
        <v>63.814306040343304</v>
      </c>
      <c r="AJ22" s="14">
        <f>AI22*VLOOKUP('Données projet'!$B$10,Paramètres!$A$1:$I$89,3,0)*VLOOKUP('Données projet'!$B$10,Paramètres!$A$1:$I$89,5,0)</f>
        <v>38.160955012125299</v>
      </c>
      <c r="AK22" s="14">
        <f t="shared" si="35"/>
        <v>11.509880661066306</v>
      </c>
      <c r="AL22" s="22">
        <f t="shared" si="4"/>
        <v>86.510038797475374</v>
      </c>
      <c r="AM22" s="62">
        <f t="shared" si="5"/>
        <v>379.84337213080869</v>
      </c>
      <c r="AN22" s="62">
        <f ca="1">AVERAGE(OFFSET($AM$3,0,0,'Données projet'!$E$10+1,1))-AVERAGE(OFFSET($H$3,0,0,'Données projet'!$E$10+1,1))</f>
        <v>287.69656598881124</v>
      </c>
      <c r="AO22" s="62">
        <f t="shared" si="36"/>
        <v>221.9773436301067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458.08410667645524</v>
      </c>
      <c r="S23" s="62">
        <f ca="1">AVERAGE(OFFSET($R$3,0,0,'Données projet'!$E$9+1,1))-AVERAGE(OFFSET($H$3,0,0,'Données projet'!$E$9+1,1))</f>
        <v>310.95287409903602</v>
      </c>
      <c r="T23" s="62">
        <f t="shared" si="34"/>
        <v>224.10083380795163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5.5909090909090908</v>
      </c>
      <c r="AI23" s="14">
        <f>IF('Données projet'!$A$62&gt;35,AI22+AH23-AQ22,IF(A23&lt;'Données projet'!$A$62,$AF$205^A23,IF(A23='Données projet'!$A$62,'Données projet'!$B$62,AI22+AH23-AQ22)))</f>
        <v>79.417047587426694</v>
      </c>
      <c r="AJ23" s="14">
        <f>AI23*VLOOKUP('Données projet'!$B$10,Paramètres!$A$1:$I$89,3,0)*VLOOKUP('Données projet'!$B$10,Paramètres!$A$1:$I$89,5,0)</f>
        <v>47.49139445728116</v>
      </c>
      <c r="AK23" s="14">
        <f t="shared" si="35"/>
        <v>13.96397329692701</v>
      </c>
      <c r="AL23" s="22">
        <f t="shared" si="4"/>
        <v>107.03476550524589</v>
      </c>
      <c r="AM23" s="62">
        <f t="shared" si="5"/>
        <v>400.36809883857921</v>
      </c>
      <c r="AN23" s="62">
        <f ca="1">AVERAGE(OFFSET($AM$3,0,0,'Données projet'!$E$10+1,1))-AVERAGE(OFFSET($H$3,0,0,'Données projet'!$E$10+1,1))</f>
        <v>287.69656598881124</v>
      </c>
      <c r="AO23" s="62">
        <f t="shared" si="36"/>
        <v>221.9773436301067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467.42729018925093</v>
      </c>
      <c r="S24" s="62">
        <f ca="1">AVERAGE(OFFSET($R$3,0,0,'Données projet'!$E$9+1,1))-AVERAGE(OFFSET($H$3,0,0,'Données projet'!$E$9+1,1))</f>
        <v>310.95287409903602</v>
      </c>
      <c r="T24" s="62">
        <f t="shared" si="34"/>
        <v>224.10083380795163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5.5909090909090908</v>
      </c>
      <c r="AI24" s="14">
        <f>IF('Données projet'!$A$62&gt;35,AI23+AH24-AQ23,IF(A24&lt;'Données projet'!$A$62,$AF$205^A24,IF(A24='Données projet'!$A$62,'Données projet'!$B$62,AI23+AH24-AQ23)))</f>
        <v>98.834694582689295</v>
      </c>
      <c r="AJ24" s="14">
        <f>AI24*VLOOKUP('Données projet'!$B$10,Paramètres!$A$1:$I$89,3,0)*VLOOKUP('Données projet'!$B$10,Paramètres!$A$1:$I$89,5,0)</f>
        <v>59.103147360448204</v>
      </c>
      <c r="AK24" s="14">
        <f t="shared" si="35"/>
        <v>16.94131815778756</v>
      </c>
      <c r="AL24" s="22">
        <f t="shared" si="4"/>
        <v>132.44411077759398</v>
      </c>
      <c r="AM24" s="62">
        <f t="shared" si="5"/>
        <v>425.77744411092726</v>
      </c>
      <c r="AN24" s="62">
        <f ca="1">AVERAGE(OFFSET($AM$3,0,0,'Données projet'!$E$10+1,1))-AVERAGE(OFFSET($H$3,0,0,'Données projet'!$E$10+1,1))</f>
        <v>287.69656598881124</v>
      </c>
      <c r="AO24" s="62">
        <f t="shared" si="36"/>
        <v>221.9773436301067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476.75869306268868</v>
      </c>
      <c r="S25" s="62">
        <f ca="1">AVERAGE(OFFSET($R$3,0,0,'Données projet'!$E$9+1,1))-AVERAGE(OFFSET($H$3,0,0,'Données projet'!$E$9+1,1))</f>
        <v>310.95287409903602</v>
      </c>
      <c r="T25" s="62">
        <f t="shared" si="34"/>
        <v>224.10083380795163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123</v>
      </c>
      <c r="AG25" s="13">
        <f>VLOOKUP(A25,'Données projet'!$A$61:$I$81,9,0)</f>
        <v>5.5909090909090908</v>
      </c>
      <c r="AH25" s="13">
        <f t="array" ref="AH25">INDEX(AG:AG,MIN(IF(ISNUMBER(AG25:AG221),ROW(AG25:AG221),"")))</f>
        <v>5.5909090909090908</v>
      </c>
      <c r="AI25" s="14">
        <f>IF('Données projet'!$A$62&gt;35,AI24+AH25-AQ24,IF(A25&lt;'Données projet'!$A$62,$AF$205^A25,IF(A25='Données projet'!$A$62,'Données projet'!$B$62,AI24+AH25-AQ24)))</f>
        <v>123</v>
      </c>
      <c r="AJ25" s="14">
        <f>AI25*VLOOKUP('Données projet'!$B$10,Paramètres!$A$1:$I$89,3,0)*VLOOKUP('Données projet'!$B$10,Paramètres!$A$1:$I$89,5,0)</f>
        <v>73.554000000000016</v>
      </c>
      <c r="AK25" s="14">
        <f t="shared" si="35"/>
        <v>20.553481077376691</v>
      </c>
      <c r="AL25" s="22">
        <f t="shared" si="4"/>
        <v>163.90386287643108</v>
      </c>
      <c r="AM25" s="62">
        <f t="shared" si="5"/>
        <v>457.23719620976442</v>
      </c>
      <c r="AN25" s="62">
        <f ca="1">AVERAGE(OFFSET($AM$3,0,0,'Données projet'!$E$10+1,1))-AVERAGE(OFFSET($H$3,0,0,'Données projet'!$E$10+1,1))</f>
        <v>287.69656598881124</v>
      </c>
      <c r="AO25" s="62">
        <f t="shared" si="36"/>
        <v>221.9773436301067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16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1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10.833198622733226</v>
      </c>
      <c r="AX25" s="23">
        <f t="shared" si="6"/>
        <v>10.833198622733226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486.07899978226311</v>
      </c>
      <c r="S26" s="62">
        <f ca="1">AVERAGE(OFFSET($R$3,0,0,'Données projet'!$E$9+1,1))-AVERAGE(OFFSET($H$3,0,0,'Données projet'!$E$9+1,1))</f>
        <v>310.95287409903602</v>
      </c>
      <c r="T26" s="62">
        <f t="shared" si="34"/>
        <v>224.10083380795163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12.333333333333334</v>
      </c>
      <c r="AI26" s="14">
        <f>IF('Données projet'!$A$62&gt;35,AI25+AH26-AQ25,IF(A26&lt;'Données projet'!$A$62,$AF$205^A26,IF(A26='Données projet'!$A$62,'Données projet'!$B$62,AI25+AH26-AQ25)))</f>
        <v>119.33333333333334</v>
      </c>
      <c r="AJ26" s="14">
        <f>AI26*VLOOKUP('Données projet'!$B$10,Paramètres!$A$1:$I$89,3,0)*VLOOKUP('Données projet'!$B$10,Paramètres!$A$1:$I$89,5,0)</f>
        <v>71.361333333333349</v>
      </c>
      <c r="AK26" s="14">
        <f t="shared" si="35"/>
        <v>20.011144716858571</v>
      </c>
      <c r="AL26" s="22">
        <f t="shared" si="4"/>
        <v>159.14039927075092</v>
      </c>
      <c r="AM26" s="62">
        <f t="shared" si="5"/>
        <v>452.47373260408426</v>
      </c>
      <c r="AN26" s="62">
        <f ca="1">AVERAGE(OFFSET($AM$3,0,0,'Données projet'!$E$10+1,1))-AVERAGE(OFFSET($H$3,0,0,'Données projet'!$E$10+1,1))</f>
        <v>287.69656598881124</v>
      </c>
      <c r="AO26" s="62">
        <f t="shared" si="36"/>
        <v>221.9773436301067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7.6602282080754316</v>
      </c>
      <c r="AX26" s="23">
        <f t="shared" si="6"/>
        <v>7.6602282080754316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495.38882314153864</v>
      </c>
      <c r="S27" s="62">
        <f ca="1">AVERAGE(OFFSET($R$3,0,0,'Données projet'!$E$9+1,1))-AVERAGE(OFFSET($H$3,0,0,'Données projet'!$E$9+1,1))</f>
        <v>310.95287409903602</v>
      </c>
      <c r="T27" s="62">
        <f t="shared" si="34"/>
        <v>224.10083380795163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12.333333333333334</v>
      </c>
      <c r="AI27" s="14">
        <f>IF('Données projet'!$A$62&gt;35,AI26+AH27-AQ26,IF(A27&lt;'Données projet'!$A$62,$AF$205^A27,IF(A27='Données projet'!$A$62,'Données projet'!$B$62,AI26+AH27-AQ26)))</f>
        <v>131.66666666666669</v>
      </c>
      <c r="AJ27" s="14">
        <f>AI27*VLOOKUP('Données projet'!$B$10,Paramètres!$A$1:$I$89,3,0)*VLOOKUP('Données projet'!$B$10,Paramètres!$A$1:$I$89,5,0)</f>
        <v>78.736666666666679</v>
      </c>
      <c r="AK27" s="14">
        <f t="shared" si="35"/>
        <v>21.828006984037064</v>
      </c>
      <c r="AL27" s="22">
        <f t="shared" si="4"/>
        <v>175.15013994164235</v>
      </c>
      <c r="AM27" s="62">
        <f t="shared" si="5"/>
        <v>468.48347327497567</v>
      </c>
      <c r="AN27" s="62">
        <f ca="1">AVERAGE(OFFSET($AM$3,0,0,'Données projet'!$E$10+1,1))-AVERAGE(OFFSET($H$3,0,0,'Données projet'!$E$10+1,1))</f>
        <v>287.69656598881124</v>
      </c>
      <c r="AO27" s="62">
        <f t="shared" si="36"/>
        <v>221.9773436301067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5.416599311366614</v>
      </c>
      <c r="AX27" s="23">
        <f t="shared" si="6"/>
        <v>5.416599311366614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504.68871478129415</v>
      </c>
      <c r="S28" s="62">
        <f ca="1">AVERAGE(OFFSET($R$3,0,0,'Données projet'!$E$9+1,1))-AVERAGE(OFFSET($H$3,0,0,'Données projet'!$E$9+1,1))</f>
        <v>310.95287409903602</v>
      </c>
      <c r="T28" s="62">
        <f t="shared" si="34"/>
        <v>224.10083380795163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144</v>
      </c>
      <c r="AG28" s="13">
        <f>VLOOKUP(A28,'Données projet'!$A$61:$I$81,9,0)</f>
        <v>12.333333333333334</v>
      </c>
      <c r="AH28" s="13">
        <f t="array" ref="AH28">INDEX(AG:AG,MIN(IF(ISNUMBER(AG28:AG224),ROW(AG28:AG224),"")))</f>
        <v>12.333333333333334</v>
      </c>
      <c r="AI28" s="14">
        <f>IF('Données projet'!$A$62&gt;35,AI27+AH28-AQ27,IF(A28&lt;'Données projet'!$A$62,$AF$205^A28,IF(A28='Données projet'!$A$62,'Données projet'!$B$62,AI27+AH28-AQ27)))</f>
        <v>144.00000000000003</v>
      </c>
      <c r="AJ28" s="14">
        <f>AI28*VLOOKUP('Données projet'!$B$10,Paramètres!$A$1:$I$89,3,0)*VLOOKUP('Données projet'!$B$10,Paramètres!$A$1:$I$89,5,0)</f>
        <v>86.112000000000009</v>
      </c>
      <c r="AK28" s="14">
        <f t="shared" si="35"/>
        <v>23.625136642852297</v>
      </c>
      <c r="AL28" s="22">
        <f t="shared" si="4"/>
        <v>191.12551298630106</v>
      </c>
      <c r="AM28" s="62">
        <f t="shared" si="5"/>
        <v>484.4588463196344</v>
      </c>
      <c r="AN28" s="62">
        <f ca="1">AVERAGE(OFFSET($AM$3,0,0,'Données projet'!$E$10+1,1))-AVERAGE(OFFSET($H$3,0,0,'Données projet'!$E$10+1,1))</f>
        <v>287.69656598881124</v>
      </c>
      <c r="AO28" s="62">
        <f t="shared" si="36"/>
        <v>221.9773436301067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17</v>
      </c>
      <c r="AR28" s="17">
        <f>IF(ISNA(VLOOKUP(A28,'Données projet'!$A$61:$I$81,5,0)),0%,VLOOKUP(A28,'Données projet'!$A$61:$I$81,5,0)*VLOOKUP('Données projet'!$B$10,Paramètres!$A$1:$I$89,7,0))</f>
        <v>9.0000000000000011E-2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0.8</v>
      </c>
      <c r="AU28" s="23">
        <f>EXP(-LN(2)/35)*AU27+(1-EXP(-LN(2)/35))/(LN(2)/35)*AQ28*AR28*VLOOKUP('Données projet'!$B$10,Paramètres!$A$1:$I$89,3,0)*0.475*44/12</f>
        <v>1.2137268828598531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13.038332933360959</v>
      </c>
      <c r="AX28" s="23">
        <f t="shared" si="6"/>
        <v>14.252059816220811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513.97917377376575</v>
      </c>
      <c r="S29" s="62">
        <f ca="1">AVERAGE(OFFSET($R$3,0,0,'Données projet'!$E$9+1,1))-AVERAGE(OFFSET($H$3,0,0,'Données projet'!$E$9+1,1))</f>
        <v>310.95287409903602</v>
      </c>
      <c r="T29" s="62">
        <f t="shared" si="34"/>
        <v>224.10083380795163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13.4</v>
      </c>
      <c r="AI29" s="14">
        <f>IF('Données projet'!$A$62&gt;35,AI28+AH29-AQ28,IF(A29&lt;'Données projet'!$A$62,$AF$205^A29,IF(A29='Données projet'!$A$62,'Données projet'!$B$62,AI28+AH29-AQ28)))</f>
        <v>140.40000000000003</v>
      </c>
      <c r="AJ29" s="14">
        <f>AI29*VLOOKUP('Données projet'!$B$10,Paramètres!$A$1:$I$89,3,0)*VLOOKUP('Données projet'!$B$10,Paramètres!$A$1:$I$89,5,0)</f>
        <v>83.959200000000024</v>
      </c>
      <c r="AK29" s="14">
        <f t="shared" si="35"/>
        <v>23.102490880810642</v>
      </c>
      <c r="AL29" s="22">
        <f t="shared" si="4"/>
        <v>186.46577828407854</v>
      </c>
      <c r="AM29" s="62">
        <f t="shared" si="5"/>
        <v>479.79911161741188</v>
      </c>
      <c r="AN29" s="62">
        <f ca="1">AVERAGE(OFFSET($AM$3,0,0,'Données projet'!$E$10+1,1))-AVERAGE(OFFSET($H$3,0,0,'Données projet'!$E$10+1,1))</f>
        <v>287.69656598881124</v>
      </c>
      <c r="AO29" s="62">
        <f t="shared" si="36"/>
        <v>221.9773436301067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1.1899264389872712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9.2194936325474242</v>
      </c>
      <c r="AX29" s="23">
        <f t="shared" si="6"/>
        <v>10.409420071534695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523.260653683383</v>
      </c>
      <c r="S30" s="62">
        <f ca="1">AVERAGE(OFFSET($R$3,0,0,'Données projet'!$E$9+1,1))-AVERAGE(OFFSET($H$3,0,0,'Données projet'!$E$9+1,1))</f>
        <v>310.95287409903602</v>
      </c>
      <c r="T30" s="62">
        <f t="shared" si="34"/>
        <v>224.10083380795163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13.4</v>
      </c>
      <c r="AI30" s="14">
        <f>IF('Données projet'!$A$62&gt;35,AI29+AH30-AQ29,IF(A30&lt;'Données projet'!$A$62,$AF$205^A30,IF(A30='Données projet'!$A$62,'Données projet'!$B$62,AI29+AH30-AQ29)))</f>
        <v>153.80000000000004</v>
      </c>
      <c r="AJ30" s="14">
        <f>AI30*VLOOKUP('Données projet'!$B$10,Paramètres!$A$1:$I$89,3,0)*VLOOKUP('Données projet'!$B$10,Paramètres!$A$1:$I$89,5,0)</f>
        <v>91.972400000000022</v>
      </c>
      <c r="AK30" s="14">
        <f t="shared" si="35"/>
        <v>25.040318527820091</v>
      </c>
      <c r="AL30" s="22">
        <f t="shared" si="4"/>
        <v>203.79715143595334</v>
      </c>
      <c r="AM30" s="62">
        <f t="shared" si="5"/>
        <v>497.13048476928668</v>
      </c>
      <c r="AN30" s="62">
        <f ca="1">AVERAGE(OFFSET($AM$3,0,0,'Données projet'!$E$10+1,1))-AVERAGE(OFFSET($H$3,0,0,'Données projet'!$E$10+1,1))</f>
        <v>287.69656598881124</v>
      </c>
      <c r="AO30" s="62">
        <f t="shared" si="36"/>
        <v>221.9773436301067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1.1665927073021936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6.5191664666804803</v>
      </c>
      <c r="AX30" s="23">
        <f t="shared" si="6"/>
        <v>7.6857591739826736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532.53356842626727</v>
      </c>
      <c r="S31" s="62">
        <f ca="1">AVERAGE(OFFSET($R$3,0,0,'Données projet'!$E$9+1,1))-AVERAGE(OFFSET($H$3,0,0,'Données projet'!$E$9+1,1))</f>
        <v>310.95287409903602</v>
      </c>
      <c r="T31" s="62">
        <f t="shared" si="34"/>
        <v>224.10083380795163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13.4</v>
      </c>
      <c r="AI31" s="14">
        <f>IF('Données projet'!$A$62&gt;35,AI30+AH31-AQ30,IF(A31&lt;'Données projet'!$A$62,$AF$205^A31,IF(A31='Données projet'!$A$62,'Données projet'!$B$62,AI30+AH31-AQ30)))</f>
        <v>167.20000000000005</v>
      </c>
      <c r="AJ31" s="14">
        <f>AI31*VLOOKUP('Données projet'!$B$10,Paramètres!$A$1:$I$89,3,0)*VLOOKUP('Données projet'!$B$10,Paramètres!$A$1:$I$89,5,0)</f>
        <v>99.985600000000034</v>
      </c>
      <c r="AK31" s="14">
        <f t="shared" si="35"/>
        <v>26.958566918169435</v>
      </c>
      <c r="AL31" s="22">
        <f t="shared" si="4"/>
        <v>221.09442404914515</v>
      </c>
      <c r="AM31" s="62">
        <f t="shared" si="5"/>
        <v>514.42775738247849</v>
      </c>
      <c r="AN31" s="62">
        <f ca="1">AVERAGE(OFFSET($AM$3,0,0,'Données projet'!$E$10+1,1))-AVERAGE(OFFSET($H$3,0,0,'Données projet'!$E$10+1,1))</f>
        <v>287.69656598881124</v>
      </c>
      <c r="AO31" s="62">
        <f t="shared" si="36"/>
        <v>221.9773436301067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1.143716535863289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4.609746816273713</v>
      </c>
      <c r="AX31" s="23">
        <f t="shared" si="6"/>
        <v>5.7534633521370022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541.79829717248401</v>
      </c>
      <c r="S32" s="62">
        <f ca="1">AVERAGE(OFFSET($R$3,0,0,'Données projet'!$E$9+1,1))-AVERAGE(OFFSET($H$3,0,0,'Données projet'!$E$9+1,1))</f>
        <v>310.95287409903602</v>
      </c>
      <c r="T32" s="62">
        <f t="shared" si="34"/>
        <v>224.10083380795163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13.4</v>
      </c>
      <c r="AI32" s="14">
        <f>IF('Données projet'!$A$62&gt;35,AI31+AH32-AQ31,IF(A32&lt;'Données projet'!$A$62,$AF$205^A32,IF(A32='Données projet'!$A$62,'Données projet'!$B$62,AI31+AH32-AQ31)))</f>
        <v>180.60000000000005</v>
      </c>
      <c r="AJ32" s="14">
        <f>AI32*VLOOKUP('Données projet'!$B$10,Paramètres!$A$1:$I$89,3,0)*VLOOKUP('Données projet'!$B$10,Paramètres!$A$1:$I$89,5,0)</f>
        <v>107.99880000000003</v>
      </c>
      <c r="AK32" s="14">
        <f t="shared" si="35"/>
        <v>28.85898360070161</v>
      </c>
      <c r="AL32" s="22">
        <f t="shared" si="4"/>
        <v>238.36063977122203</v>
      </c>
      <c r="AM32" s="62">
        <f t="shared" si="5"/>
        <v>531.69397310455531</v>
      </c>
      <c r="AN32" s="62">
        <f ca="1">AVERAGE(OFFSET($AM$3,0,0,'Données projet'!$E$10+1,1))-AVERAGE(OFFSET($H$3,0,0,'Données projet'!$E$10+1,1))</f>
        <v>287.69656598881124</v>
      </c>
      <c r="AO32" s="62">
        <f t="shared" si="36"/>
        <v>221.9773436301067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1.1212889521932148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3.2595832333402406</v>
      </c>
      <c r="AX32" s="23">
        <f t="shared" si="6"/>
        <v>4.3808721855334554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551.05518847804308</v>
      </c>
      <c r="S33" s="62">
        <f ca="1">AVERAGE(OFFSET($R$3,0,0,'Données projet'!$E$9+1,1))-AVERAGE(OFFSET($H$3,0,0,'Données projet'!$E$9+1,1))</f>
        <v>310.95287409903602</v>
      </c>
      <c r="T33" s="62">
        <f t="shared" si="34"/>
        <v>224.10083380795163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194</v>
      </c>
      <c r="AG33" s="13">
        <f>VLOOKUP(A33,'Données projet'!$A$61:$I$81,9,0)</f>
        <v>13.4</v>
      </c>
      <c r="AH33" s="13">
        <f t="array" ref="AH33">INDEX(AG:AG,MIN(IF(ISNUMBER(AG33:AG229),ROW(AG33:AG229),"")))</f>
        <v>13.4</v>
      </c>
      <c r="AI33" s="14">
        <f>IF('Données projet'!$A$62&gt;35,AI32+AH33-AQ32,IF(A33&lt;'Données projet'!$A$62,$AF$205^A33,IF(A33='Données projet'!$A$62,'Données projet'!$B$62,AI32+AH33-AQ32)))</f>
        <v>194.00000000000006</v>
      </c>
      <c r="AJ33" s="14">
        <f>AI33*VLOOKUP('Données projet'!$B$10,Paramètres!$A$1:$I$89,3,0)*VLOOKUP('Données projet'!$B$10,Paramètres!$A$1:$I$89,5,0)</f>
        <v>116.01200000000003</v>
      </c>
      <c r="AK33" s="14">
        <f t="shared" si="35"/>
        <v>30.743042086238173</v>
      </c>
      <c r="AL33" s="22">
        <f t="shared" si="4"/>
        <v>255.59836496686489</v>
      </c>
      <c r="AM33" s="62">
        <f t="shared" si="5"/>
        <v>548.93169830019815</v>
      </c>
      <c r="AN33" s="62">
        <f ca="1">AVERAGE(OFFSET($AM$3,0,0,'Données projet'!$E$10+1,1))-AVERAGE(OFFSET($H$3,0,0,'Données projet'!$E$10+1,1))</f>
        <v>287.69656598881124</v>
      </c>
      <c r="AO33" s="62">
        <f t="shared" si="36"/>
        <v>221.9773436301067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34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0.6</v>
      </c>
      <c r="AU33" s="23">
        <f>EXP(-LN(2)/35)*AU32+(1-EXP(-LN(2)/35))/(LN(2)/35)*AQ33*AR33*VLOOKUP('Données projet'!$B$10,Paramètres!$A$1:$I$89,3,0)*0.475*44/12</f>
        <v>5.9542086911988479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16.117201652121722</v>
      </c>
      <c r="AX33" s="23">
        <f t="shared" si="6"/>
        <v>22.071410343320569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561.10851204261951</v>
      </c>
      <c r="S34" s="62">
        <f ca="1">AVERAGE(OFFSET($R$3,0,0,'Données projet'!$E$9+1,1))-AVERAGE(OFFSET($H$3,0,0,'Données projet'!$E$9+1,1))</f>
        <v>310.95287409903602</v>
      </c>
      <c r="T34" s="62">
        <f t="shared" si="34"/>
        <v>224.10083380795163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IF('Données projet'!$A$62&gt;35,AI33+AH34-AQ33,IF(A34&lt;'Données projet'!$A$62,$AF$205^A34,IF(A34='Données projet'!$A$62,'Données projet'!$B$62,AI33+AH34-AQ33)))</f>
        <v>174.60000000000005</v>
      </c>
      <c r="AJ34" s="14">
        <f>AI34*VLOOKUP('Données projet'!$B$10,Paramètres!$A$1:$I$89,3,0)*VLOOKUP('Données projet'!$B$10,Paramètres!$A$1:$I$89,5,0)</f>
        <v>104.41080000000004</v>
      </c>
      <c r="AK34" s="14">
        <f t="shared" si="35"/>
        <v>28.010155571424168</v>
      </c>
      <c r="AL34" s="22">
        <f t="shared" si="4"/>
        <v>230.63316428689714</v>
      </c>
      <c r="AM34" s="62">
        <f t="shared" si="5"/>
        <v>523.96649762023048</v>
      </c>
      <c r="AN34" s="62">
        <f ca="1">AVERAGE(OFFSET($AM$3,0,0,'Données projet'!$E$10+1,1))-AVERAGE(OFFSET($H$3,0,0,'Données projet'!$E$10+1,1))</f>
        <v>287.69656598881124</v>
      </c>
      <c r="AO34" s="62">
        <f t="shared" si="36"/>
        <v>221.9773436301067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5.8374502904731385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11.396582581966298</v>
      </c>
      <c r="AX34" s="23">
        <f t="shared" si="6"/>
        <v>17.234032872439435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571.15333587310352</v>
      </c>
      <c r="S35" s="62">
        <f ca="1">AVERAGE(OFFSET($R$3,0,0,'Données projet'!$E$9+1,1))-AVERAGE(OFFSET($H$3,0,0,'Données projet'!$E$9+1,1))</f>
        <v>310.95287409903602</v>
      </c>
      <c r="T35" s="62">
        <f t="shared" si="34"/>
        <v>224.10083380795163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IF('Données projet'!$A$62&gt;35,AI34+AH35-AQ34,IF(A35&lt;'Données projet'!$A$62,$AF$205^A35,IF(A35='Données projet'!$A$62,'Données projet'!$B$62,AI34+AH35-AQ34)))</f>
        <v>189.20000000000005</v>
      </c>
      <c r="AJ35" s="14">
        <f>AI35*VLOOKUP('Données projet'!$B$10,Paramètres!$A$1:$I$89,3,0)*VLOOKUP('Données projet'!$B$10,Paramètres!$A$1:$I$89,5,0)</f>
        <v>113.14160000000004</v>
      </c>
      <c r="AK35" s="14">
        <f t="shared" si="35"/>
        <v>30.069952587742019</v>
      </c>
      <c r="AL35" s="22">
        <f t="shared" si="4"/>
        <v>249.42678742365072</v>
      </c>
      <c r="AM35" s="62">
        <f t="shared" si="5"/>
        <v>542.76012075698407</v>
      </c>
      <c r="AN35" s="62">
        <f ca="1">AVERAGE(OFFSET($AM$3,0,0,'Données projet'!$E$10+1,1))-AVERAGE(OFFSET($H$3,0,0,'Données projet'!$E$10+1,1))</f>
        <v>287.69656598881124</v>
      </c>
      <c r="AO35" s="62">
        <f t="shared" si="36"/>
        <v>221.9773436301067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5.7229814507700683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8.0586008260608626</v>
      </c>
      <c r="AX35" s="23">
        <f t="shared" si="6"/>
        <v>13.781582276830932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581.19001082450427</v>
      </c>
      <c r="S36" s="62">
        <f ca="1">AVERAGE(OFFSET($R$3,0,0,'Données projet'!$E$9+1,1))-AVERAGE(OFFSET($H$3,0,0,'Données projet'!$E$9+1,1))</f>
        <v>310.95287409903602</v>
      </c>
      <c r="T36" s="62">
        <f t="shared" si="34"/>
        <v>224.10083380795163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IF('Données projet'!$A$62&gt;35,AI35+AH36-AQ35,IF(A36&lt;'Données projet'!$A$62,$AF$205^A36,IF(A36='Données projet'!$A$62,'Données projet'!$B$62,AI35+AH36-AQ35)))</f>
        <v>203.80000000000004</v>
      </c>
      <c r="AJ36" s="14">
        <f>AI36*VLOOKUP('Données projet'!$B$10,Paramètres!$A$1:$I$89,3,0)*VLOOKUP('Données projet'!$B$10,Paramètres!$A$1:$I$89,5,0)</f>
        <v>121.87240000000003</v>
      </c>
      <c r="AK36" s="14">
        <f t="shared" si="35"/>
        <v>32.111311550408985</v>
      </c>
      <c r="AL36" s="22">
        <f t="shared" si="4"/>
        <v>268.1882976169623</v>
      </c>
      <c r="AM36" s="62">
        <f t="shared" si="5"/>
        <v>561.52163095029562</v>
      </c>
      <c r="AN36" s="62">
        <f ca="1">AVERAGE(OFFSET($AM$3,0,0,'Données projet'!$E$10+1,1))-AVERAGE(OFFSET($H$3,0,0,'Données projet'!$E$10+1,1))</f>
        <v>287.69656598881124</v>
      </c>
      <c r="AO36" s="62">
        <f t="shared" si="36"/>
        <v>221.9773436301067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5.6107572751944765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5.6982912909831498</v>
      </c>
      <c r="AX36" s="23">
        <f t="shared" si="6"/>
        <v>11.309048566177626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591.21886127008952</v>
      </c>
      <c r="S37" s="62">
        <f ca="1">AVERAGE(OFFSET($R$3,0,0,'Données projet'!$E$9+1,1))-AVERAGE(OFFSET($H$3,0,0,'Données projet'!$E$9+1,1))</f>
        <v>310.95287409903602</v>
      </c>
      <c r="T37" s="62">
        <f t="shared" si="34"/>
        <v>224.10083380795163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IF('Données projet'!$A$62&gt;35,AI36+AH37-AQ36,IF(A37&lt;'Données projet'!$A$62,$AF$205^A37,IF(A37='Données projet'!$A$62,'Données projet'!$B$62,AI36+AH37-AQ36)))</f>
        <v>218.40000000000003</v>
      </c>
      <c r="AJ37" s="14">
        <f>AI37*VLOOKUP('Données projet'!$B$10,Paramètres!$A$1:$I$89,3,0)*VLOOKUP('Données projet'!$B$10,Paramètres!$A$1:$I$89,5,0)</f>
        <v>130.60320000000004</v>
      </c>
      <c r="AK37" s="14">
        <f t="shared" si="35"/>
        <v>34.135703567016428</v>
      </c>
      <c r="AL37" s="22">
        <f t="shared" si="4"/>
        <v>286.92025704588701</v>
      </c>
      <c r="AM37" s="62">
        <f t="shared" si="5"/>
        <v>580.25359037922033</v>
      </c>
      <c r="AN37" s="62">
        <f ca="1">AVERAGE(OFFSET($AM$3,0,0,'Données projet'!$E$10+1,1))-AVERAGE(OFFSET($H$3,0,0,'Données projet'!$E$10+1,1))</f>
        <v>287.69656598881124</v>
      </c>
      <c r="AO37" s="62">
        <f t="shared" si="36"/>
        <v>221.9773436301067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5.5007337472519344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4.0293004130304322</v>
      </c>
      <c r="AX37" s="23">
        <f t="shared" si="6"/>
        <v>9.5300341602823657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601.24018794377184</v>
      </c>
      <c r="S38" s="62">
        <f ca="1">AVERAGE(OFFSET($R$3,0,0,'Données projet'!$E$9+1,1))-AVERAGE(OFFSET($H$3,0,0,'Données projet'!$E$9+1,1))</f>
        <v>310.95287409903602</v>
      </c>
      <c r="T38" s="62">
        <f t="shared" si="34"/>
        <v>224.10083380795163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233</v>
      </c>
      <c r="AG38" s="13">
        <f>VLOOKUP(A38,'Données projet'!$A$61:$I$81,9,0)</f>
        <v>14.6</v>
      </c>
      <c r="AH38" s="13">
        <f t="array" ref="AH38">INDEX(AG:AG,MIN(IF(ISNUMBER(AG38:AG234),ROW(AG38:AG234),"")))</f>
        <v>14.6</v>
      </c>
      <c r="AI38" s="14">
        <f>IF('Données projet'!$A$62&gt;35,AI37+AH38-AQ37,IF(A38&lt;'Données projet'!$A$62,$AF$205^A38,IF(A38='Données projet'!$A$62,'Données projet'!$B$62,AI37+AH38-AQ37)))</f>
        <v>233.00000000000003</v>
      </c>
      <c r="AJ38" s="14">
        <f>AI38*VLOOKUP('Données projet'!$B$10,Paramètres!$A$1:$I$89,3,0)*VLOOKUP('Données projet'!$B$10,Paramètres!$A$1:$I$89,5,0)</f>
        <v>139.33400000000003</v>
      </c>
      <c r="AK38" s="14">
        <f t="shared" si="35"/>
        <v>36.144391930570897</v>
      </c>
      <c r="AL38" s="22">
        <f t="shared" si="4"/>
        <v>305.62486594574438</v>
      </c>
      <c r="AM38" s="62">
        <f t="shared" si="5"/>
        <v>598.95819927907769</v>
      </c>
      <c r="AN38" s="62">
        <f ca="1">AVERAGE(OFFSET($AM$3,0,0,'Données projet'!$E$10+1,1))-AVERAGE(OFFSET($H$3,0,0,'Données projet'!$E$10+1,1))</f>
        <v>287.69656598881124</v>
      </c>
      <c r="AO38" s="62">
        <f t="shared" si="36"/>
        <v>221.9773436301067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projet'!$B$10,Paramètres!$A$1:$I$89,7,0))</f>
        <v>0.20250000000000001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0.55000000000000004</v>
      </c>
      <c r="AU38" s="23">
        <f>EXP(-LN(2)/35)*AU37+(1-EXP(-LN(2)/35))/(LN(2)/35)*AQ38*AR38*VLOOKUP('Données projet'!$B$10,Paramètres!$A$1:$I$89,3,0)*0.475*44/12</f>
        <v>11.979120945574117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18.11718495440622</v>
      </c>
      <c r="AX38" s="23">
        <f t="shared" si="6"/>
        <v>30.096305899980337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611.25427039286365</v>
      </c>
      <c r="S39" s="62">
        <f ca="1">AVERAGE(OFFSET($R$3,0,0,'Données projet'!$E$9+1,1))-AVERAGE(OFFSET($H$3,0,0,'Données projet'!$E$9+1,1))</f>
        <v>310.95287409903602</v>
      </c>
      <c r="T39" s="62">
        <f t="shared" si="34"/>
        <v>224.10083380795163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14.4</v>
      </c>
      <c r="AI39" s="14">
        <f>IF('Données projet'!$A$62&gt;35,AI38+AH39-AQ38,IF(A39&lt;'Données projet'!$A$62,$AF$205^A39,IF(A39='Données projet'!$A$62,'Données projet'!$B$62,AI38+AH39-AQ38)))</f>
        <v>206.40000000000003</v>
      </c>
      <c r="AJ39" s="14">
        <f>AI39*VLOOKUP('Données projet'!$B$10,Paramètres!$A$1:$I$89,3,0)*VLOOKUP('Données projet'!$B$10,Paramètres!$A$1:$I$89,5,0)</f>
        <v>123.42720000000003</v>
      </c>
      <c r="AK39" s="14">
        <f t="shared" si="35"/>
        <v>32.473022671122074</v>
      </c>
      <c r="AL39" s="22">
        <f t="shared" si="4"/>
        <v>271.5262211522043</v>
      </c>
      <c r="AM39" s="62">
        <f t="shared" si="5"/>
        <v>564.85955448553761</v>
      </c>
      <c r="AN39" s="62">
        <f ca="1">AVERAGE(OFFSET($AM$3,0,0,'Données projet'!$E$10+1,1))-AVERAGE(OFFSET($H$3,0,0,'Données projet'!$E$10+1,1))</f>
        <v>287.69656598881124</v>
      </c>
      <c r="AO39" s="62">
        <f t="shared" si="36"/>
        <v>221.9773436301067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11.744217690373723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12.810784337271532</v>
      </c>
      <c r="AX39" s="23">
        <f t="shared" si="6"/>
        <v>24.555002027645255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621.26136910545756</v>
      </c>
      <c r="S40" s="62">
        <f ca="1">AVERAGE(OFFSET($R$3,0,0,'Données projet'!$E$9+1,1))-AVERAGE(OFFSET($H$3,0,0,'Données projet'!$E$9+1,1))</f>
        <v>310.95287409903602</v>
      </c>
      <c r="T40" s="62">
        <f t="shared" si="34"/>
        <v>224.10083380795163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14.4</v>
      </c>
      <c r="AI40" s="14">
        <f>IF('Données projet'!$A$62&gt;35,AI39+AH40-AQ39,IF(A40&lt;'Données projet'!$A$62,$AF$205^A40,IF(A40='Données projet'!$A$62,'Données projet'!$B$62,AI39+AH40-AQ39)))</f>
        <v>220.80000000000004</v>
      </c>
      <c r="AJ40" s="14">
        <f>AI40*VLOOKUP('Données projet'!$B$10,Paramètres!$A$1:$I$89,3,0)*VLOOKUP('Données projet'!$B$10,Paramètres!$A$1:$I$89,5,0)</f>
        <v>132.03840000000005</v>
      </c>
      <c r="AK40" s="14">
        <f t="shared" si="35"/>
        <v>34.466946374534373</v>
      </c>
      <c r="AL40" s="22">
        <f t="shared" si="4"/>
        <v>289.99681160231415</v>
      </c>
      <c r="AM40" s="62">
        <f t="shared" si="5"/>
        <v>583.33014493564747</v>
      </c>
      <c r="AN40" s="62">
        <f ca="1">AVERAGE(OFFSET($AM$3,0,0,'Données projet'!$E$10+1,1))-AVERAGE(OFFSET($H$3,0,0,'Données projet'!$E$10+1,1))</f>
        <v>287.69656598881124</v>
      </c>
      <c r="AO40" s="62">
        <f t="shared" si="36"/>
        <v>221.9773436301067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11.513920744730973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9.0585924772031117</v>
      </c>
      <c r="AX40" s="23">
        <f t="shared" si="6"/>
        <v>20.572513221934084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631.2617273644139</v>
      </c>
      <c r="S41" s="62">
        <f ca="1">AVERAGE(OFFSET($R$3,0,0,'Données projet'!$E$9+1,1))-AVERAGE(OFFSET($H$3,0,0,'Données projet'!$E$9+1,1))</f>
        <v>310.95287409903602</v>
      </c>
      <c r="T41" s="62">
        <f t="shared" si="34"/>
        <v>224.10083380795163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14.4</v>
      </c>
      <c r="AI41" s="14">
        <f>IF('Données projet'!$A$62&gt;35,AI40+AH41-AQ40,IF(A41&lt;'Données projet'!$A$62,$AF$205^A41,IF(A41='Données projet'!$A$62,'Données projet'!$B$62,AI40+AH41-AQ40)))</f>
        <v>235.20000000000005</v>
      </c>
      <c r="AJ41" s="14">
        <f>AI41*VLOOKUP('Données projet'!$B$10,Paramètres!$A$1:$I$89,3,0)*VLOOKUP('Données projet'!$B$10,Paramètres!$A$1:$I$89,5,0)</f>
        <v>140.64960000000002</v>
      </c>
      <c r="AK41" s="14">
        <f t="shared" si="35"/>
        <v>36.445779615258601</v>
      </c>
      <c r="AL41" s="22">
        <f t="shared" si="4"/>
        <v>308.44111949657542</v>
      </c>
      <c r="AM41" s="62">
        <f t="shared" si="5"/>
        <v>601.7744528299088</v>
      </c>
      <c r="AN41" s="62">
        <f ca="1">AVERAGE(OFFSET($AM$3,0,0,'Données projet'!$E$10+1,1))-AVERAGE(OFFSET($H$3,0,0,'Données projet'!$E$10+1,1))</f>
        <v>287.69656598881124</v>
      </c>
      <c r="AO41" s="62">
        <f t="shared" si="36"/>
        <v>221.9773436301067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11.288139781725009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6.4053921686357667</v>
      </c>
      <c r="AX41" s="23">
        <f t="shared" si="6"/>
        <v>17.693531950360775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641.25557287030847</v>
      </c>
      <c r="S42" s="62">
        <f ca="1">AVERAGE(OFFSET($R$3,0,0,'Données projet'!$E$9+1,1))-AVERAGE(OFFSET($H$3,0,0,'Données projet'!$E$9+1,1))</f>
        <v>310.95287409903602</v>
      </c>
      <c r="T42" s="62">
        <f t="shared" si="34"/>
        <v>224.10083380795163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14.4</v>
      </c>
      <c r="AI42" s="14">
        <f>IF('Données projet'!$A$62&gt;35,AI41+AH42-AQ41,IF(A42&lt;'Données projet'!$A$62,$AF$205^A42,IF(A42='Données projet'!$A$62,'Données projet'!$B$62,AI41+AH42-AQ41)))</f>
        <v>249.60000000000005</v>
      </c>
      <c r="AJ42" s="14">
        <f>AI42*VLOOKUP('Données projet'!$B$10,Paramètres!$A$1:$I$89,3,0)*VLOOKUP('Données projet'!$B$10,Paramètres!$A$1:$I$89,5,0)</f>
        <v>149.26080000000005</v>
      </c>
      <c r="AK42" s="14">
        <f t="shared" si="35"/>
        <v>38.410551499792909</v>
      </c>
      <c r="AL42" s="22">
        <f t="shared" si="4"/>
        <v>326.86093719547273</v>
      </c>
      <c r="AM42" s="62">
        <f t="shared" si="5"/>
        <v>620.1942705288061</v>
      </c>
      <c r="AN42" s="62">
        <f ca="1">AVERAGE(OFFSET($AM$3,0,0,'Données projet'!$E$10+1,1))-AVERAGE(OFFSET($H$3,0,0,'Données projet'!$E$10+1,1))</f>
        <v>287.69656598881124</v>
      </c>
      <c r="AO42" s="62">
        <f t="shared" si="36"/>
        <v>221.9773436301067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11.066786245690803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4.5292962386015567</v>
      </c>
      <c r="AX42" s="23">
        <f t="shared" si="6"/>
        <v>15.59608248429236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651.24311916807903</v>
      </c>
      <c r="S43" s="62">
        <f ca="1">AVERAGE(OFFSET($R$3,0,0,'Données projet'!$E$9+1,1))-AVERAGE(OFFSET($H$3,0,0,'Données projet'!$E$9+1,1))</f>
        <v>310.95287409903602</v>
      </c>
      <c r="T43" s="62">
        <f t="shared" si="34"/>
        <v>224.10083380795163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264</v>
      </c>
      <c r="AG43" s="13">
        <f>VLOOKUP(A43,'Données projet'!$A$61:$I$81,9,0)</f>
        <v>14.4</v>
      </c>
      <c r="AH43" s="13">
        <f t="array" ref="AH43">INDEX(AG:AG,MIN(IF(ISNUMBER(AG43:AG239),ROW(AG43:AG239),"")))</f>
        <v>14.4</v>
      </c>
      <c r="AI43" s="14">
        <f>IF('Données projet'!$A$62&gt;35,AI42+AH43-AQ42,IF(A43&lt;'Données projet'!$A$62,$AF$205^A43,IF(A43='Données projet'!$A$62,'Données projet'!$B$62,AI42+AH43-AQ42)))</f>
        <v>264.00000000000006</v>
      </c>
      <c r="AJ43" s="14">
        <f>AI43*VLOOKUP('Données projet'!$B$10,Paramètres!$A$1:$I$89,3,0)*VLOOKUP('Données projet'!$B$10,Paramètres!$A$1:$I$89,5,0)</f>
        <v>157.87200000000004</v>
      </c>
      <c r="AK43" s="14">
        <f t="shared" si="35"/>
        <v>40.362165684361159</v>
      </c>
      <c r="AL43" s="22">
        <f t="shared" si="4"/>
        <v>345.25783856692902</v>
      </c>
      <c r="AM43" s="62">
        <f t="shared" si="5"/>
        <v>638.59117190026234</v>
      </c>
      <c r="AN43" s="62">
        <f ca="1">AVERAGE(OFFSET($AM$3,0,0,'Données projet'!$E$10+1,1))-AVERAGE(OFFSET($H$3,0,0,'Données projet'!$E$10+1,1))</f>
        <v>287.69656598881124</v>
      </c>
      <c r="AO43" s="62">
        <f t="shared" si="36"/>
        <v>221.9773436301067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10.849773317485901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3.2026960843178838</v>
      </c>
      <c r="AX43" s="23">
        <f t="shared" si="6"/>
        <v>14.052469401803785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574.66708190815643</v>
      </c>
      <c r="S44" s="62">
        <f ca="1">AVERAGE(OFFSET($R$3,0,0,'Données projet'!$E$9+1,1))-AVERAGE(OFFSET($H$3,0,0,'Données projet'!$E$9+1,1))</f>
        <v>310.95287409903602</v>
      </c>
      <c r="T44" s="62">
        <f t="shared" si="34"/>
        <v>224.10083380795163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16.600000000000001</v>
      </c>
      <c r="AI44" s="14">
        <f>IF('Données projet'!$A$62&gt;35,AI43+AH44-AQ43,IF(A44&lt;'Données projet'!$A$62,$AF$205^A44,IF(A44='Données projet'!$A$62,'Données projet'!$B$62,AI43+AH44-AQ43)))</f>
        <v>239.60000000000008</v>
      </c>
      <c r="AJ44" s="14">
        <f>AI44*VLOOKUP('Données projet'!$B$10,Paramètres!$A$1:$I$89,3,0)*VLOOKUP('Données projet'!$B$10,Paramètres!$A$1:$I$89,5,0)</f>
        <v>143.28080000000006</v>
      </c>
      <c r="AK44" s="14">
        <f t="shared" si="35"/>
        <v>37.047574465948976</v>
      </c>
      <c r="AL44" s="22">
        <f t="shared" si="4"/>
        <v>314.07191886152788</v>
      </c>
      <c r="AM44" s="62">
        <f t="shared" si="5"/>
        <v>607.40525219486119</v>
      </c>
      <c r="AN44" s="62">
        <f ca="1">AVERAGE(OFFSET($AM$3,0,0,'Données projet'!$E$10+1,1))-AVERAGE(OFFSET($H$3,0,0,'Données projet'!$E$10+1,1))</f>
        <v>287.69656598881124</v>
      </c>
      <c r="AO44" s="62">
        <f t="shared" si="36"/>
        <v>221.9773436301067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10.637015880438282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2.2646481193007784</v>
      </c>
      <c r="AX44" s="23">
        <f t="shared" si="6"/>
        <v>12.901663999739061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586.20539479108106</v>
      </c>
      <c r="S45" s="62">
        <f ca="1">AVERAGE(OFFSET($R$3,0,0,'Données projet'!$E$9+1,1))-AVERAGE(OFFSET($H$3,0,0,'Données projet'!$E$9+1,1))</f>
        <v>310.95287409903602</v>
      </c>
      <c r="T45" s="62">
        <f t="shared" si="34"/>
        <v>224.10083380795163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16.600000000000001</v>
      </c>
      <c r="AI45" s="14">
        <f>IF('Données projet'!$A$62&gt;35,AI44+AH45-AQ44,IF(A45&lt;'Données projet'!$A$62,$AF$205^A45,IF(A45='Données projet'!$A$62,'Données projet'!$B$62,AI44+AH45-AQ44)))</f>
        <v>256.2000000000001</v>
      </c>
      <c r="AJ45" s="14">
        <f>AI45*VLOOKUP('Données projet'!$B$10,Paramètres!$A$1:$I$89,3,0)*VLOOKUP('Données projet'!$B$10,Paramètres!$A$1:$I$89,5,0)</f>
        <v>153.20760000000007</v>
      </c>
      <c r="AK45" s="14">
        <f t="shared" si="35"/>
        <v>39.306624169832133</v>
      </c>
      <c r="AL45" s="22">
        <f t="shared" si="4"/>
        <v>335.29560709579107</v>
      </c>
      <c r="AM45" s="62">
        <f t="shared" si="5"/>
        <v>628.62894042912444</v>
      </c>
      <c r="AN45" s="62">
        <f ca="1">AVERAGE(OFFSET($AM$3,0,0,'Données projet'!$E$10+1,1))-AVERAGE(OFFSET($H$3,0,0,'Données projet'!$E$10+1,1))</f>
        <v>287.69656598881124</v>
      </c>
      <c r="AO45" s="62">
        <f t="shared" si="36"/>
        <v>221.9773436301067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10.428430486961943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1.6013480421589419</v>
      </c>
      <c r="AX45" s="23">
        <f t="shared" si="6"/>
        <v>12.029778529120886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597.73356152561087</v>
      </c>
      <c r="S46" s="62">
        <f ca="1">AVERAGE(OFFSET($R$3,0,0,'Données projet'!$E$9+1,1))-AVERAGE(OFFSET($H$3,0,0,'Données projet'!$E$9+1,1))</f>
        <v>310.95287409903602</v>
      </c>
      <c r="T46" s="62">
        <f t="shared" si="34"/>
        <v>224.10083380795163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16.600000000000001</v>
      </c>
      <c r="AI46" s="14">
        <f>IF('Données projet'!$A$62&gt;35,AI45+AH46-AQ45,IF(A46&lt;'Données projet'!$A$62,$AF$205^A46,IF(A46='Données projet'!$A$62,'Données projet'!$B$62,AI45+AH46-AQ45)))</f>
        <v>272.80000000000013</v>
      </c>
      <c r="AJ46" s="14">
        <f>AI46*VLOOKUP('Données projet'!$B$10,Paramètres!$A$1:$I$89,3,0)*VLOOKUP('Données projet'!$B$10,Paramètres!$A$1:$I$89,5,0)</f>
        <v>163.13440000000008</v>
      </c>
      <c r="AK46" s="14">
        <f t="shared" si="35"/>
        <v>41.548687845426002</v>
      </c>
      <c r="AL46" s="22">
        <f t="shared" si="4"/>
        <v>356.48971133078379</v>
      </c>
      <c r="AM46" s="62">
        <f t="shared" si="5"/>
        <v>649.82304466411711</v>
      </c>
      <c r="AN46" s="62">
        <f ca="1">AVERAGE(OFFSET($AM$3,0,0,'Données projet'!$E$10+1,1))-AVERAGE(OFFSET($H$3,0,0,'Données projet'!$E$10+1,1))</f>
        <v>287.69656598881124</v>
      </c>
      <c r="AO46" s="62">
        <f t="shared" si="36"/>
        <v>221.9773436301067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10.223935325827147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1.1323240596503892</v>
      </c>
      <c r="AX46" s="23">
        <f t="shared" si="6"/>
        <v>11.356259385477536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609.25202067881673</v>
      </c>
      <c r="S47" s="62">
        <f ca="1">AVERAGE(OFFSET($R$3,0,0,'Données projet'!$E$9+1,1))-AVERAGE(OFFSET($H$3,0,0,'Données projet'!$E$9+1,1))</f>
        <v>310.95287409903602</v>
      </c>
      <c r="T47" s="62">
        <f t="shared" si="34"/>
        <v>224.10083380795163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16.600000000000001</v>
      </c>
      <c r="AI47" s="14">
        <f>IF('Données projet'!$A$62&gt;35,AI46+AH47-AQ46,IF(A47&lt;'Données projet'!$A$62,$AF$205^A47,IF(A47='Données projet'!$A$62,'Données projet'!$B$62,AI46+AH47-AQ46)))</f>
        <v>289.40000000000015</v>
      </c>
      <c r="AJ47" s="14">
        <f>AI47*VLOOKUP('Données projet'!$B$10,Paramètres!$A$1:$I$89,3,0)*VLOOKUP('Données projet'!$B$10,Paramètres!$A$1:$I$89,5,0)</f>
        <v>173.0612000000001</v>
      </c>
      <c r="AK47" s="14">
        <f t="shared" si="35"/>
        <v>43.774916798471111</v>
      </c>
      <c r="AL47" s="22">
        <f t="shared" si="4"/>
        <v>377.65623675733735</v>
      </c>
      <c r="AM47" s="62">
        <f t="shared" si="5"/>
        <v>670.98957009067067</v>
      </c>
      <c r="AN47" s="62">
        <f ca="1">AVERAGE(OFFSET($AM$3,0,0,'Données projet'!$E$10+1,1))-AVERAGE(OFFSET($H$3,0,0,'Données projet'!$E$10+1,1))</f>
        <v>287.69656598881124</v>
      </c>
      <c r="AO47" s="62">
        <f t="shared" si="36"/>
        <v>221.9773436301067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10.023450190072474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0.80067402107947094</v>
      </c>
      <c r="AX47" s="23">
        <f t="shared" si="6"/>
        <v>10.824124211151945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620.7611762122209</v>
      </c>
      <c r="S48" s="62">
        <f ca="1">AVERAGE(OFFSET($R$3,0,0,'Données projet'!$E$9+1,1))-AVERAGE(OFFSET($H$3,0,0,'Données projet'!$E$9+1,1))</f>
        <v>310.95287409903602</v>
      </c>
      <c r="T48" s="62">
        <f t="shared" si="34"/>
        <v>224.10083380795163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306</v>
      </c>
      <c r="AG48" s="13">
        <f>VLOOKUP(A48,'Données projet'!$A$61:$I$81,9,0)</f>
        <v>16.600000000000001</v>
      </c>
      <c r="AH48" s="13">
        <f t="array" ref="AH48">INDEX(AG:AG,MIN(IF(ISNUMBER(AG48:AG244),ROW(AG48:AG244),"")))</f>
        <v>16.600000000000001</v>
      </c>
      <c r="AI48" s="14">
        <f>IF('Données projet'!$A$62&gt;35,AI47+AH48-AQ47,IF(A48&lt;'Données projet'!$A$62,$AF$205^A48,IF(A48='Données projet'!$A$62,'Données projet'!$B$62,AI47+AH48-AQ47)))</f>
        <v>306.00000000000017</v>
      </c>
      <c r="AJ48" s="14">
        <f>AI48*VLOOKUP('Données projet'!$B$10,Paramètres!$A$1:$I$89,3,0)*VLOOKUP('Données projet'!$B$10,Paramètres!$A$1:$I$89,5,0)</f>
        <v>182.98800000000011</v>
      </c>
      <c r="AK48" s="14">
        <f t="shared" si="35"/>
        <v>45.986322796524874</v>
      </c>
      <c r="AL48" s="22">
        <f t="shared" si="4"/>
        <v>398.79694553728103</v>
      </c>
      <c r="AM48" s="62">
        <f t="shared" si="5"/>
        <v>692.13027887061435</v>
      </c>
      <c r="AN48" s="62">
        <f ca="1">AVERAGE(OFFSET($AM$3,0,0,'Données projet'!$E$10+1,1))-AVERAGE(OFFSET($H$3,0,0,'Données projet'!$E$10+1,1))</f>
        <v>287.69656598881124</v>
      </c>
      <c r="AO48" s="62">
        <f t="shared" si="36"/>
        <v>221.9773436301067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9.8268964455460903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0.56616202982519459</v>
      </c>
      <c r="AX48" s="23">
        <f t="shared" si="6"/>
        <v>10.393058475371285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632.26140135884771</v>
      </c>
      <c r="S49" s="62">
        <f ca="1">AVERAGE(OFFSET($R$3,0,0,'Données projet'!$E$9+1,1))-AVERAGE(OFFSET($H$3,0,0,'Données projet'!$E$9+1,1))</f>
        <v>310.95287409903602</v>
      </c>
      <c r="T49" s="62">
        <f t="shared" si="34"/>
        <v>224.10083380795163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17.399999999999999</v>
      </c>
      <c r="AI49" s="14">
        <f>IF('Données projet'!$A$62&gt;35,AI48+AH49-AQ48,IF(A49&lt;'Données projet'!$A$62,$AF$205^A49,IF(A49='Données projet'!$A$62,'Données projet'!$B$62,AI48+AH49-AQ48)))</f>
        <v>270.40000000000015</v>
      </c>
      <c r="AJ49" s="14">
        <f>AI49*VLOOKUP('Données projet'!$B$10,Paramètres!$A$1:$I$89,3,0)*VLOOKUP('Données projet'!$B$10,Paramètres!$A$1:$I$89,5,0)</f>
        <v>161.6992000000001</v>
      </c>
      <c r="AK49" s="14">
        <f t="shared" si="35"/>
        <v>41.225538754249229</v>
      </c>
      <c r="AL49" s="22">
        <f t="shared" si="4"/>
        <v>353.42725333031763</v>
      </c>
      <c r="AM49" s="62">
        <f t="shared" si="5"/>
        <v>646.76058666365088</v>
      </c>
      <c r="AN49" s="62">
        <f ca="1">AVERAGE(OFFSET($AM$3,0,0,'Données projet'!$E$10+1,1))-AVERAGE(OFFSET($H$3,0,0,'Données projet'!$E$10+1,1))</f>
        <v>287.69656598881124</v>
      </c>
      <c r="AO49" s="62">
        <f t="shared" si="36"/>
        <v>221.9773436301067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9.6341970000639225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0.40033701053973547</v>
      </c>
      <c r="AX49" s="23">
        <f t="shared" si="6"/>
        <v>10.034534010603657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643.75304194633452</v>
      </c>
      <c r="S50" s="62">
        <f ca="1">AVERAGE(OFFSET($R$3,0,0,'Données projet'!$E$9+1,1))-AVERAGE(OFFSET($H$3,0,0,'Données projet'!$E$9+1,1))</f>
        <v>310.95287409903602</v>
      </c>
      <c r="T50" s="62">
        <f t="shared" si="34"/>
        <v>224.10083380795163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17.399999999999999</v>
      </c>
      <c r="AI50" s="14">
        <f>IF('Données projet'!$A$62&gt;35,AI49+AH50-AQ49,IF(A50&lt;'Données projet'!$A$62,$AF$205^A50,IF(A50='Données projet'!$A$62,'Données projet'!$B$62,AI49+AH50-AQ49)))</f>
        <v>287.80000000000013</v>
      </c>
      <c r="AJ50" s="14">
        <f>AI50*VLOOKUP('Données projet'!$B$10,Paramètres!$A$1:$I$89,3,0)*VLOOKUP('Données projet'!$B$10,Paramètres!$A$1:$I$89,5,0)</f>
        <v>172.10440000000008</v>
      </c>
      <c r="AK50" s="14">
        <f t="shared" si="35"/>
        <v>43.561001176960559</v>
      </c>
      <c r="AL50" s="22">
        <f t="shared" si="4"/>
        <v>375.61724038320648</v>
      </c>
      <c r="AM50" s="62">
        <f t="shared" si="5"/>
        <v>668.95057371653979</v>
      </c>
      <c r="AN50" s="62">
        <f ca="1">AVERAGE(OFFSET($AM$3,0,0,'Données projet'!$E$10+1,1))-AVERAGE(OFFSET($H$3,0,0,'Données projet'!$E$10+1,1))</f>
        <v>287.69656598881124</v>
      </c>
      <c r="AO50" s="62">
        <f t="shared" si="36"/>
        <v>221.9773436301067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9.4452762731726043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0.2830810149125973</v>
      </c>
      <c r="AX50" s="23">
        <f t="shared" si="6"/>
        <v>9.7283572880852009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655.23641926118682</v>
      </c>
      <c r="S51" s="62">
        <f ca="1">AVERAGE(OFFSET($R$3,0,0,'Données projet'!$E$9+1,1))-AVERAGE(OFFSET($H$3,0,0,'Données projet'!$E$9+1,1))</f>
        <v>310.95287409903602</v>
      </c>
      <c r="T51" s="62">
        <f t="shared" si="34"/>
        <v>224.10083380795163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17.399999999999999</v>
      </c>
      <c r="AI51" s="14">
        <f>IF('Données projet'!$A$62&gt;35,AI50+AH51-AQ50,IF(A51&lt;'Données projet'!$A$62,$AF$205^A51,IF(A51='Données projet'!$A$62,'Données projet'!$B$62,AI50+AH51-AQ50)))</f>
        <v>305.2000000000001</v>
      </c>
      <c r="AJ51" s="14">
        <f>AI51*VLOOKUP('Données projet'!$B$10,Paramètres!$A$1:$I$89,3,0)*VLOOKUP('Données projet'!$B$10,Paramètres!$A$1:$I$89,5,0)</f>
        <v>182.50960000000006</v>
      </c>
      <c r="AK51" s="14">
        <f t="shared" si="35"/>
        <v>45.880075205637056</v>
      </c>
      <c r="AL51" s="22">
        <f t="shared" si="4"/>
        <v>397.77868431648454</v>
      </c>
      <c r="AM51" s="62">
        <f t="shared" si="5"/>
        <v>691.11201764981786</v>
      </c>
      <c r="AN51" s="62">
        <f ca="1">AVERAGE(OFFSET($AM$3,0,0,'Données projet'!$E$10+1,1))-AVERAGE(OFFSET($H$3,0,0,'Données projet'!$E$10+1,1))</f>
        <v>287.69656598881124</v>
      </c>
      <c r="AO51" s="62">
        <f t="shared" si="36"/>
        <v>221.9773436301067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9.2600601665053599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0.20016850526986774</v>
      </c>
      <c r="AX51" s="23">
        <f t="shared" si="6"/>
        <v>9.4602286717752282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666.71183253038839</v>
      </c>
      <c r="S52" s="62">
        <f ca="1">AVERAGE(OFFSET($R$3,0,0,'Données projet'!$E$9+1,1))-AVERAGE(OFFSET($H$3,0,0,'Données projet'!$E$9+1,1))</f>
        <v>310.95287409903602</v>
      </c>
      <c r="T52" s="62">
        <f t="shared" si="34"/>
        <v>224.10083380795163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17.399999999999999</v>
      </c>
      <c r="AI52" s="14">
        <f>IF('Données projet'!$A$62&gt;35,AI51+AH52-AQ51,IF(A52&lt;'Données projet'!$A$62,$AF$205^A52,IF(A52='Données projet'!$A$62,'Données projet'!$B$62,AI51+AH52-AQ51)))</f>
        <v>322.60000000000008</v>
      </c>
      <c r="AJ52" s="14">
        <f>AI52*VLOOKUP('Données projet'!$B$10,Paramètres!$A$1:$I$89,3,0)*VLOOKUP('Données projet'!$B$10,Paramètres!$A$1:$I$89,5,0)</f>
        <v>192.91480000000007</v>
      </c>
      <c r="AK52" s="14">
        <f t="shared" si="35"/>
        <v>48.18380163388656</v>
      </c>
      <c r="AL52" s="22">
        <f t="shared" si="4"/>
        <v>419.91339784568589</v>
      </c>
      <c r="AM52" s="62">
        <f t="shared" si="5"/>
        <v>713.24673117901921</v>
      </c>
      <c r="AN52" s="62">
        <f ca="1">AVERAGE(OFFSET($AM$3,0,0,'Données projet'!$E$10+1,1))-AVERAGE(OFFSET($H$3,0,0,'Données projet'!$E$10+1,1))</f>
        <v>287.69656598881124</v>
      </c>
      <c r="AO52" s="62">
        <f t="shared" si="36"/>
        <v>221.9773436301067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9.0784760347191895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0.14154050745629865</v>
      </c>
      <c r="AX52" s="23">
        <f t="shared" si="6"/>
        <v>9.2200165421754878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678.17956108191288</v>
      </c>
      <c r="S53" s="62">
        <f ca="1">AVERAGE(OFFSET($R$3,0,0,'Données projet'!$E$9+1,1))-AVERAGE(OFFSET($H$3,0,0,'Données projet'!$E$9+1,1))</f>
        <v>310.95287409903602</v>
      </c>
      <c r="T53" s="62">
        <f t="shared" si="34"/>
        <v>224.10083380795163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340</v>
      </c>
      <c r="AG53" s="13">
        <f>VLOOKUP(A53,'Données projet'!$A$61:$I$81,9,0)</f>
        <v>17.399999999999999</v>
      </c>
      <c r="AH53" s="13">
        <f t="array" ref="AH53">INDEX(AG:AG,MIN(IF(ISNUMBER(AG53:AG249),ROW(AG53:AG249),"")))</f>
        <v>17.399999999999999</v>
      </c>
      <c r="AI53" s="14">
        <f>IF('Données projet'!$A$62&gt;35,AI52+AH53-AQ52,IF(A53&lt;'Données projet'!$A$62,$AF$205^A53,IF(A53='Données projet'!$A$62,'Données projet'!$B$62,AI52+AH53-AQ52)))</f>
        <v>340.00000000000006</v>
      </c>
      <c r="AJ53" s="14">
        <f>AI53*VLOOKUP('Données projet'!$B$10,Paramètres!$A$1:$I$89,3,0)*VLOOKUP('Données projet'!$B$10,Paramètres!$A$1:$I$89,5,0)</f>
        <v>203.32000000000005</v>
      </c>
      <c r="AK53" s="14">
        <f t="shared" si="35"/>
        <v>50.473102640215579</v>
      </c>
      <c r="AL53" s="22">
        <f t="shared" si="4"/>
        <v>442.02298709837555</v>
      </c>
      <c r="AM53" s="62">
        <f t="shared" si="5"/>
        <v>735.35632043170881</v>
      </c>
      <c r="AN53" s="62">
        <f ca="1">AVERAGE(OFFSET($AM$3,0,0,'Données projet'!$E$10+1,1))-AVERAGE(OFFSET($H$3,0,0,'Données projet'!$E$10+1,1))</f>
        <v>287.69656598881124</v>
      </c>
      <c r="AO53" s="62">
        <f t="shared" si="36"/>
        <v>221.9773436301067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53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8.9004526570019618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0.10008425263493387</v>
      </c>
      <c r="AX53" s="23">
        <f t="shared" si="6"/>
        <v>9.0005369096368959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691.63222336185015</v>
      </c>
      <c r="S54" s="62">
        <f ca="1">AVERAGE(OFFSET($R$3,0,0,'Données projet'!$E$9+1,1))-AVERAGE(OFFSET($H$3,0,0,'Données projet'!$E$9+1,1))</f>
        <v>310.95287409903602</v>
      </c>
      <c r="T54" s="62">
        <f t="shared" si="34"/>
        <v>224.10083380795163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17.625</v>
      </c>
      <c r="AI54" s="14">
        <f>IF('Données projet'!$A$62&gt;35,AI53+AH54-AQ53,IF(A54&lt;'Données projet'!$A$62,$AF$205^A54,IF(A54='Données projet'!$A$62,'Données projet'!$B$62,AI53+AH54-AQ53)))</f>
        <v>304.62500000000006</v>
      </c>
      <c r="AJ54" s="14">
        <f>AI54*VLOOKUP('Données projet'!$B$10,Paramètres!$A$1:$I$89,3,0)*VLOOKUP('Données projet'!$B$10,Paramètres!$A$1:$I$89,5,0)</f>
        <v>182.16575000000003</v>
      </c>
      <c r="AK54" s="14">
        <f t="shared" si="35"/>
        <v>45.803689728693968</v>
      </c>
      <c r="AL54" s="22">
        <f t="shared" si="4"/>
        <v>397.04677419414202</v>
      </c>
      <c r="AM54" s="62">
        <f t="shared" si="5"/>
        <v>690.38010752747527</v>
      </c>
      <c r="AN54" s="62">
        <f ca="1">AVERAGE(OFFSET($AM$3,0,0,'Données projet'!$E$10+1,1))-AVERAGE(OFFSET($H$3,0,0,'Données projet'!$E$10+1,1))</f>
        <v>287.69656598881124</v>
      </c>
      <c r="AO54" s="62">
        <f t="shared" si="36"/>
        <v>221.9773436301067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8.7259202091382306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7.0770253728149324E-2</v>
      </c>
      <c r="AX54" s="23">
        <f t="shared" si="6"/>
        <v>8.7966904628663798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705.07504917619235</v>
      </c>
      <c r="S55" s="62">
        <f ca="1">AVERAGE(OFFSET($R$3,0,0,'Données projet'!$E$9+1,1))-AVERAGE(OFFSET($H$3,0,0,'Données projet'!$E$9+1,1))</f>
        <v>310.95287409903602</v>
      </c>
      <c r="T55" s="62">
        <f t="shared" si="34"/>
        <v>224.10083380795163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17.625</v>
      </c>
      <c r="AI55" s="14">
        <f>IF('Données projet'!$A$62&gt;35,AI54+AH55-AQ54,IF(A55&lt;'Données projet'!$A$62,$AF$205^A55,IF(A55='Données projet'!$A$62,'Données projet'!$B$62,AI54+AH55-AQ54)))</f>
        <v>322.25000000000006</v>
      </c>
      <c r="AJ55" s="14">
        <f>AI55*VLOOKUP('Données projet'!$B$10,Paramètres!$A$1:$I$89,3,0)*VLOOKUP('Données projet'!$B$10,Paramètres!$A$1:$I$89,5,0)</f>
        <v>192.70550000000006</v>
      </c>
      <c r="AK55" s="14">
        <f t="shared" si="35"/>
        <v>48.137607387789963</v>
      </c>
      <c r="AL55" s="22">
        <f t="shared" si="4"/>
        <v>419.46841203373424</v>
      </c>
      <c r="AM55" s="62">
        <f t="shared" si="5"/>
        <v>712.8017453670675</v>
      </c>
      <c r="AN55" s="62">
        <f ca="1">AVERAGE(OFFSET($AM$3,0,0,'Données projet'!$E$10+1,1))-AVERAGE(OFFSET($H$3,0,0,'Données projet'!$E$10+1,1))</f>
        <v>287.69656598881124</v>
      </c>
      <c r="AO55" s="62">
        <f t="shared" si="36"/>
        <v>221.9773436301067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8.554810236122826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5.0042126317466934E-2</v>
      </c>
      <c r="AX55" s="23">
        <f t="shared" si="6"/>
        <v>8.6048523624402922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718.50840490444239</v>
      </c>
      <c r="S56" s="62">
        <f ca="1">AVERAGE(OFFSET($R$3,0,0,'Données projet'!$E$9+1,1))-AVERAGE(OFFSET($H$3,0,0,'Données projet'!$E$9+1,1))</f>
        <v>310.95287409903602</v>
      </c>
      <c r="T56" s="62">
        <f t="shared" si="34"/>
        <v>224.10083380795163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17.625</v>
      </c>
      <c r="AI56" s="14">
        <f>IF('Données projet'!$A$62&gt;35,AI55+AH56-AQ55,IF(A56&lt;'Données projet'!$A$62,$AF$205^A56,IF(A56='Données projet'!$A$62,'Données projet'!$B$62,AI55+AH56-AQ55)))</f>
        <v>339.87500000000006</v>
      </c>
      <c r="AJ56" s="14">
        <f>AI56*VLOOKUP('Données projet'!$B$10,Paramètres!$A$1:$I$89,3,0)*VLOOKUP('Données projet'!$B$10,Paramètres!$A$1:$I$89,5,0)</f>
        <v>203.24525000000006</v>
      </c>
      <c r="AK56" s="14">
        <f t="shared" si="35"/>
        <v>50.45670595349123</v>
      </c>
      <c r="AL56" s="22">
        <f t="shared" si="4"/>
        <v>441.86423995233059</v>
      </c>
      <c r="AM56" s="62">
        <f t="shared" si="5"/>
        <v>735.19757328566391</v>
      </c>
      <c r="AN56" s="62">
        <f ca="1">AVERAGE(OFFSET($AM$3,0,0,'Données projet'!$E$10+1,1))-AVERAGE(OFFSET($H$3,0,0,'Données projet'!$E$10+1,1))</f>
        <v>287.69656598881124</v>
      </c>
      <c r="AO56" s="62">
        <f t="shared" si="36"/>
        <v>221.9773436301067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8.3870556253114739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3.5385126864074662E-2</v>
      </c>
      <c r="AX56" s="23">
        <f t="shared" si="6"/>
        <v>8.4224407521755484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731.93263188697938</v>
      </c>
      <c r="S57" s="62">
        <f ca="1">AVERAGE(OFFSET($R$3,0,0,'Données projet'!$E$9+1,1))-AVERAGE(OFFSET($H$3,0,0,'Données projet'!$E$9+1,1))</f>
        <v>310.95287409903602</v>
      </c>
      <c r="T57" s="62">
        <f t="shared" si="34"/>
        <v>224.10083380795163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17.625</v>
      </c>
      <c r="AI57" s="14">
        <f>IF('Données projet'!$A$62&gt;35,AI56+AH57-AQ56,IF(A57&lt;'Données projet'!$A$62,$AF$205^A57,IF(A57='Données projet'!$A$62,'Données projet'!$B$62,AI56+AH57-AQ56)))</f>
        <v>357.50000000000006</v>
      </c>
      <c r="AJ57" s="14">
        <f>AI57*VLOOKUP('Données projet'!$B$10,Paramètres!$A$1:$I$89,3,0)*VLOOKUP('Données projet'!$B$10,Paramètres!$A$1:$I$89,5,0)</f>
        <v>213.78500000000005</v>
      </c>
      <c r="AK57" s="14">
        <f t="shared" si="35"/>
        <v>52.761841557402377</v>
      </c>
      <c r="AL57" s="22">
        <f t="shared" si="4"/>
        <v>464.2357490458092</v>
      </c>
      <c r="AM57" s="62">
        <f t="shared" si="5"/>
        <v>757.56908237914251</v>
      </c>
      <c r="AN57" s="62">
        <f ca="1">AVERAGE(OFFSET($AM$3,0,0,'Données projet'!$E$10+1,1))-AVERAGE(OFFSET($H$3,0,0,'Données projet'!$E$10+1,1))</f>
        <v>287.69656598881124</v>
      </c>
      <c r="AO57" s="62">
        <f t="shared" si="36"/>
        <v>221.9773436301067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8.2225905800979238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2.5021063158733467E-2</v>
      </c>
      <c r="AX57" s="23">
        <f t="shared" si="6"/>
        <v>8.2476116432566577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745.34804886639176</v>
      </c>
      <c r="S58" s="62">
        <f ca="1">AVERAGE(OFFSET($R$3,0,0,'Données projet'!$E$9+1,1))-AVERAGE(OFFSET($H$3,0,0,'Données projet'!$E$9+1,1))</f>
        <v>310.95287409903602</v>
      </c>
      <c r="T58" s="62">
        <f t="shared" si="34"/>
        <v>224.10083380795163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17.625</v>
      </c>
      <c r="AI58" s="14">
        <f>IF('Données projet'!$A$62&gt;35,AI57+AH58-AQ57,IF(A58&lt;'Données projet'!$A$62,$AF$205^A58,IF(A58='Données projet'!$A$62,'Données projet'!$B$62,AI57+AH58-AQ57)))</f>
        <v>375.12500000000006</v>
      </c>
      <c r="AJ58" s="14">
        <f>AI58*VLOOKUP('Données projet'!$B$10,Paramètres!$A$1:$I$89,3,0)*VLOOKUP('Données projet'!$B$10,Paramètres!$A$1:$I$89,5,0)</f>
        <v>224.32475000000005</v>
      </c>
      <c r="AK58" s="14">
        <f t="shared" si="35"/>
        <v>55.053781146410472</v>
      </c>
      <c r="AL58" s="22">
        <f t="shared" si="4"/>
        <v>486.58427507999835</v>
      </c>
      <c r="AM58" s="62">
        <f t="shared" si="5"/>
        <v>779.91760841333166</v>
      </c>
      <c r="AN58" s="62">
        <f ca="1">AVERAGE(OFFSET($AM$3,0,0,'Données projet'!$E$10+1,1))-AVERAGE(OFFSET($H$3,0,0,'Données projet'!$E$10+1,1))</f>
        <v>287.69656598881124</v>
      </c>
      <c r="AO58" s="62">
        <f t="shared" si="36"/>
        <v>221.9773436301067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8.061350594107239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1.7692563432037331E-2</v>
      </c>
      <c r="AX58" s="23">
        <f t="shared" si="6"/>
        <v>8.0790431575392763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758.75495412389091</v>
      </c>
      <c r="S59" s="62">
        <f ca="1">AVERAGE(OFFSET($R$3,0,0,'Données projet'!$E$9+1,1))-AVERAGE(OFFSET($H$3,0,0,'Données projet'!$E$9+1,1))</f>
        <v>310.95287409903602</v>
      </c>
      <c r="T59" s="62">
        <f t="shared" si="34"/>
        <v>224.10083380795163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17.625</v>
      </c>
      <c r="AI59" s="14">
        <f>IF('Données projet'!$A$62&gt;35,AI58+AH59-AQ58,IF(A59&lt;'Données projet'!$A$62,$AF$205^A59,IF(A59='Données projet'!$A$62,'Données projet'!$B$62,AI58+AH59-AQ58)))</f>
        <v>392.75000000000006</v>
      </c>
      <c r="AJ59" s="14">
        <f>AI59*VLOOKUP('Données projet'!$B$10,Paramètres!$A$1:$I$89,3,0)*VLOOKUP('Données projet'!$B$10,Paramètres!$A$1:$I$89,5,0)</f>
        <v>234.86450000000002</v>
      </c>
      <c r="AK59" s="14">
        <f t="shared" si="35"/>
        <v>57.33321552572081</v>
      </c>
      <c r="AL59" s="22">
        <f t="shared" si="4"/>
        <v>508.9110212072971</v>
      </c>
      <c r="AM59" s="62">
        <f t="shared" si="5"/>
        <v>802.24435454063041</v>
      </c>
      <c r="AN59" s="62">
        <f ca="1">AVERAGE(OFFSET($AM$3,0,0,'Données projet'!$E$10+1,1))-AVERAGE(OFFSET($H$3,0,0,'Données projet'!$E$10+1,1))</f>
        <v>287.69656598881124</v>
      </c>
      <c r="AO59" s="62">
        <f t="shared" si="36"/>
        <v>221.9773436301067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7.9032724258951514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1.2510531579366733E-2</v>
      </c>
      <c r="AX59" s="23">
        <f t="shared" si="6"/>
        <v>7.9157829574745184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772.15362735675478</v>
      </c>
      <c r="S60" s="62">
        <f ca="1">AVERAGE(OFFSET($R$3,0,0,'Données projet'!$E$9+1,1))-AVERAGE(OFFSET($H$3,0,0,'Données projet'!$E$9+1,1))</f>
        <v>310.95287409903602</v>
      </c>
      <c r="T60" s="62">
        <f t="shared" si="34"/>
        <v>224.10083380795163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17.625</v>
      </c>
      <c r="AI60" s="14">
        <f>IF('Données projet'!$A$62&gt;35,AI59+AH60-AQ59,IF(A60&lt;'Données projet'!$A$62,$AF$205^A60,IF(A60='Données projet'!$A$62,'Données projet'!$B$62,AI59+AH60-AQ59)))</f>
        <v>410.37500000000006</v>
      </c>
      <c r="AJ60" s="14">
        <f>AI60*VLOOKUP('Données projet'!$B$10,Paramètres!$A$1:$I$89,3,0)*VLOOKUP('Données projet'!$B$10,Paramètres!$A$1:$I$89,5,0)</f>
        <v>245.40425000000005</v>
      </c>
      <c r="AK60" s="14">
        <f t="shared" si="35"/>
        <v>59.60076999447687</v>
      </c>
      <c r="AL60" s="22">
        <f t="shared" si="4"/>
        <v>531.21707649038069</v>
      </c>
      <c r="AM60" s="62">
        <f t="shared" si="5"/>
        <v>824.55040982371406</v>
      </c>
      <c r="AN60" s="62">
        <f ca="1">AVERAGE(OFFSET($AM$3,0,0,'Données projet'!$E$10+1,1))-AVERAGE(OFFSET($H$3,0,0,'Données projet'!$E$10+1,1))</f>
        <v>287.69656598881124</v>
      </c>
      <c r="AO60" s="62">
        <f t="shared" si="36"/>
        <v>221.9773436301067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7.7482940741435407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8.8462817160186655E-3</v>
      </c>
      <c r="AX60" s="23">
        <f t="shared" si="6"/>
        <v>7.7571403558595593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785.54433133470991</v>
      </c>
      <c r="S61" s="62">
        <f ca="1">AVERAGE(OFFSET($R$3,0,0,'Données projet'!$E$9+1,1))-AVERAGE(OFFSET($H$3,0,0,'Données projet'!$E$9+1,1))</f>
        <v>310.95287409903602</v>
      </c>
      <c r="T61" s="62">
        <f t="shared" si="34"/>
        <v>224.10083380795163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428</v>
      </c>
      <c r="AG61" s="13">
        <f>VLOOKUP(A61,'Données projet'!$A$61:$I$81,9,0)</f>
        <v>17.625</v>
      </c>
      <c r="AH61" s="13">
        <f t="array" ref="AH61">INDEX(AG:AG,MIN(IF(ISNUMBER(AG61:AG257),ROW(AG61:AG257),"")))</f>
        <v>17.625</v>
      </c>
      <c r="AI61" s="14">
        <f>IF('Données projet'!$A$62&gt;35,AI60+AH61-AQ60,IF(A61&lt;'Données projet'!$A$62,$AF$205^A61,IF(A61='Données projet'!$A$62,'Données projet'!$B$62,AI60+AH61-AQ60)))</f>
        <v>428.00000000000006</v>
      </c>
      <c r="AJ61" s="14">
        <f>AI61*VLOOKUP('Données projet'!$B$10,Paramètres!$A$1:$I$89,3,0)*VLOOKUP('Données projet'!$B$10,Paramètres!$A$1:$I$89,5,0)</f>
        <v>255.94400000000005</v>
      </c>
      <c r="AK61" s="14">
        <f t="shared" si="35"/>
        <v>61.857013102708898</v>
      </c>
      <c r="AL61" s="22">
        <f t="shared" si="4"/>
        <v>553.50343115388478</v>
      </c>
      <c r="AM61" s="62">
        <f t="shared" si="5"/>
        <v>846.83676448721803</v>
      </c>
      <c r="AN61" s="62">
        <f ca="1">AVERAGE(OFFSET($AM$3,0,0,'Données projet'!$E$10+1,1))-AVERAGE(OFFSET($H$3,0,0,'Données projet'!$E$10+1,1))</f>
        <v>287.69656598881124</v>
      </c>
      <c r="AO61" s="62">
        <f t="shared" si="36"/>
        <v>221.9773436301067</v>
      </c>
      <c r="AP61" s="16">
        <f>IF(ISNA(VLOOKUP(A61,'Données projet'!$A$61:$I$81,3,0)),0,VLOOKUP(A61,'Données projet'!$A$61:$I$81,3,0))</f>
        <v>8</v>
      </c>
      <c r="AQ61" s="16">
        <f>IF(ISNA(VLOOKUP(A61,'Données projet'!$A$61:$I$81,4,0)),0,VLOOKUP(A61,'Données projet'!$A$61:$I$81,4,0))</f>
        <v>78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7.5963547533423181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6.2552657896833667E-3</v>
      </c>
      <c r="AX61" s="23">
        <f t="shared" si="6"/>
        <v>7.6026100191320012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798.92731336670499</v>
      </c>
      <c r="S62" s="62">
        <f ca="1">AVERAGE(OFFSET($R$3,0,0,'Données projet'!$E$9+1,1))-AVERAGE(OFFSET($H$3,0,0,'Données projet'!$E$9+1,1))</f>
        <v>310.95287409903602</v>
      </c>
      <c r="T62" s="62">
        <f t="shared" si="34"/>
        <v>224.10083380795163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16.625</v>
      </c>
      <c r="AI62" s="14">
        <f>IF('Données projet'!$A$62&gt;35,AI61+AH62-AQ61,IF(A62&lt;'Données projet'!$A$62,$AF$205^A62,IF(A62='Données projet'!$A$62,'Données projet'!$B$62,AI61+AH62-AQ61)))</f>
        <v>366.62500000000006</v>
      </c>
      <c r="AJ62" s="14">
        <f>AI62*VLOOKUP('Données projet'!$B$10,Paramètres!$A$1:$I$89,3,0)*VLOOKUP('Données projet'!$B$10,Paramètres!$A$1:$I$89,5,0)</f>
        <v>219.24175000000005</v>
      </c>
      <c r="AK62" s="14">
        <f t="shared" si="35"/>
        <v>53.950050729111297</v>
      </c>
      <c r="AL62" s="22">
        <f t="shared" si="4"/>
        <v>475.80905293653558</v>
      </c>
      <c r="AM62" s="62">
        <f t="shared" si="5"/>
        <v>769.14238626986889</v>
      </c>
      <c r="AN62" s="62">
        <f ca="1">AVERAGE(OFFSET($AM$3,0,0,'Données projet'!$E$10+1,1))-AVERAGE(OFFSET($H$3,0,0,'Données projet'!$E$10+1,1))</f>
        <v>287.69656598881124</v>
      </c>
      <c r="AO62" s="62">
        <f t="shared" si="36"/>
        <v>221.9773436301067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7.4473948699481722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4.4231408580093327E-3</v>
      </c>
      <c r="AX62" s="23">
        <f t="shared" si="6"/>
        <v>7.451818010806182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812.30280660432868</v>
      </c>
      <c r="S63" s="62">
        <f ca="1">AVERAGE(OFFSET($R$3,0,0,'Données projet'!$E$9+1,1))-AVERAGE(OFFSET($H$3,0,0,'Données projet'!$E$9+1,1))</f>
        <v>310.95287409903602</v>
      </c>
      <c r="T63" s="62">
        <f t="shared" si="34"/>
        <v>224.10083380795163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16.625</v>
      </c>
      <c r="AI63" s="14">
        <f>IF('Données projet'!$A$62&gt;35,AI62+AH63-AQ62,IF(A63&lt;'Données projet'!$A$62,$AF$205^A63,IF(A63='Données projet'!$A$62,'Données projet'!$B$62,AI62+AH63-AQ62)))</f>
        <v>383.25000000000006</v>
      </c>
      <c r="AJ63" s="14">
        <f>AI63*VLOOKUP('Données projet'!$B$10,Paramètres!$A$1:$I$89,3,0)*VLOOKUP('Données projet'!$B$10,Paramètres!$A$1:$I$89,5,0)</f>
        <v>229.18350000000007</v>
      </c>
      <c r="AK63" s="14">
        <f t="shared" si="35"/>
        <v>56.106098616839645</v>
      </c>
      <c r="AL63" s="22">
        <f t="shared" si="4"/>
        <v>496.87938425766248</v>
      </c>
      <c r="AM63" s="62">
        <f t="shared" si="5"/>
        <v>790.21271759099579</v>
      </c>
      <c r="AN63" s="62">
        <f ca="1">AVERAGE(OFFSET($AM$3,0,0,'Données projet'!$E$10+1,1))-AVERAGE(OFFSET($H$3,0,0,'Données projet'!$E$10+1,1))</f>
        <v>287.69656598881124</v>
      </c>
      <c r="AO63" s="62">
        <f t="shared" si="36"/>
        <v>221.9773436301067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7.3013559990108288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3.1276328948416834E-3</v>
      </c>
      <c r="AX63" s="23">
        <f t="shared" si="6"/>
        <v>7.3044836319056703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726.46458342763219</v>
      </c>
      <c r="S64" s="62">
        <f ca="1">AVERAGE(OFFSET($R$3,0,0,'Données projet'!$E$9+1,1))-AVERAGE(OFFSET($H$3,0,0,'Données projet'!$E$9+1,1))</f>
        <v>310.95287409903602</v>
      </c>
      <c r="T64" s="62">
        <f t="shared" si="34"/>
        <v>224.10083380795163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16.625</v>
      </c>
      <c r="AI64" s="14">
        <f>IF('Données projet'!$A$62&gt;35,AI63+AH64-AQ63,IF(A64&lt;'Données projet'!$A$62,$AF$205^A64,IF(A64='Données projet'!$A$62,'Données projet'!$B$62,AI63+AH64-AQ63)))</f>
        <v>399.87500000000006</v>
      </c>
      <c r="AJ64" s="14">
        <f>AI64*VLOOKUP('Données projet'!$B$10,Paramètres!$A$1:$I$89,3,0)*VLOOKUP('Données projet'!$B$10,Paramètres!$A$1:$I$89,5,0)</f>
        <v>239.12525000000005</v>
      </c>
      <c r="AK64" s="14">
        <f t="shared" si="35"/>
        <v>58.251283780505084</v>
      </c>
      <c r="AL64" s="22">
        <f t="shared" si="4"/>
        <v>517.93079633437981</v>
      </c>
      <c r="AM64" s="62">
        <f t="shared" si="5"/>
        <v>811.26412966771318</v>
      </c>
      <c r="AN64" s="62">
        <f ca="1">AVERAGE(OFFSET($AM$3,0,0,'Données projet'!$E$10+1,1))-AVERAGE(OFFSET($H$3,0,0,'Données projet'!$E$10+1,1))</f>
        <v>287.69656598881124</v>
      </c>
      <c r="AO64" s="62">
        <f t="shared" si="36"/>
        <v>221.9773436301067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7.1581808612576507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2.2115704290046664E-3</v>
      </c>
      <c r="AX64" s="23">
        <f t="shared" si="6"/>
        <v>7.1603924316866552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741.8708067921591</v>
      </c>
      <c r="S65" s="62">
        <f ca="1">AVERAGE(OFFSET($R$3,0,0,'Données projet'!$E$9+1,1))-AVERAGE(OFFSET($H$3,0,0,'Données projet'!$E$9+1,1))</f>
        <v>310.95287409903602</v>
      </c>
      <c r="T65" s="62">
        <f t="shared" si="34"/>
        <v>224.10083380795163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16.625</v>
      </c>
      <c r="AI65" s="14">
        <f>IF('Données projet'!$A$62&gt;35,AI64+AH65-AQ64,IF(A65&lt;'Données projet'!$A$62,$AF$205^A65,IF(A65='Données projet'!$A$62,'Données projet'!$B$62,AI64+AH65-AQ64)))</f>
        <v>416.50000000000006</v>
      </c>
      <c r="AJ65" s="14">
        <f>AI65*VLOOKUP('Données projet'!$B$10,Paramètres!$A$1:$I$89,3,0)*VLOOKUP('Données projet'!$B$10,Paramètres!$A$1:$I$89,5,0)</f>
        <v>249.06700000000004</v>
      </c>
      <c r="AK65" s="14">
        <f t="shared" si="35"/>
        <v>60.386109489804014</v>
      </c>
      <c r="AL65" s="22">
        <f t="shared" si="4"/>
        <v>538.96416569474195</v>
      </c>
      <c r="AM65" s="62">
        <f t="shared" si="5"/>
        <v>832.29749902807521</v>
      </c>
      <c r="AN65" s="62">
        <f ca="1">AVERAGE(OFFSET($AM$3,0,0,'Données projet'!$E$10+1,1))-AVERAGE(OFFSET($H$3,0,0,'Données projet'!$E$10+1,1))</f>
        <v>287.69656598881124</v>
      </c>
      <c r="AO65" s="62">
        <f t="shared" si="36"/>
        <v>221.9773436301067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7.0178133006276013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1.5638164474208417E-3</v>
      </c>
      <c r="AX65" s="23">
        <f t="shared" si="6"/>
        <v>7.0193771170750221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757.26570946765105</v>
      </c>
      <c r="S66" s="62">
        <f ca="1">AVERAGE(OFFSET($R$3,0,0,'Données projet'!$E$9+1,1))-AVERAGE(OFFSET($H$3,0,0,'Données projet'!$E$9+1,1))</f>
        <v>310.95287409903602</v>
      </c>
      <c r="T66" s="62">
        <f t="shared" si="34"/>
        <v>224.10083380795163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16.625</v>
      </c>
      <c r="AI66" s="14">
        <f>IF('Données projet'!$A$62&gt;35,AI65+AH66-AQ65,IF(A66&lt;'Données projet'!$A$62,$AF$205^A66,IF(A66='Données projet'!$A$62,'Données projet'!$B$62,AI65+AH66-AQ65)))</f>
        <v>433.12500000000006</v>
      </c>
      <c r="AJ66" s="14">
        <f>AI66*VLOOKUP('Données projet'!$B$10,Paramètres!$A$1:$I$89,3,0)*VLOOKUP('Données projet'!$B$10,Paramètres!$A$1:$I$89,5,0)</f>
        <v>259.00875000000008</v>
      </c>
      <c r="AK66" s="14">
        <f t="shared" si="35"/>
        <v>62.511036563235727</v>
      </c>
      <c r="AL66" s="22">
        <f t="shared" si="4"/>
        <v>559.98029493096897</v>
      </c>
      <c r="AM66" s="62">
        <f t="shared" si="5"/>
        <v>853.31362826430222</v>
      </c>
      <c r="AN66" s="62">
        <f ca="1">AVERAGE(OFFSET($AM$3,0,0,'Données projet'!$E$10+1,1))-AVERAGE(OFFSET($H$3,0,0,'Données projet'!$E$10+1,1))</f>
        <v>287.69656598881124</v>
      </c>
      <c r="AO66" s="62">
        <f t="shared" si="36"/>
        <v>221.9773436301067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6.8801982622457487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1.1057852145023332E-3</v>
      </c>
      <c r="AX66" s="23">
        <f t="shared" si="6"/>
        <v>6.8813040474602509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772.64971989927631</v>
      </c>
      <c r="S67" s="62">
        <f ca="1">AVERAGE(OFFSET($R$3,0,0,'Données projet'!$E$9+1,1))-AVERAGE(OFFSET($H$3,0,0,'Données projet'!$E$9+1,1))</f>
        <v>310.95287409903602</v>
      </c>
      <c r="T67" s="62">
        <f t="shared" si="34"/>
        <v>224.10083380795163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16.625</v>
      </c>
      <c r="AI67" s="14">
        <f>IF('Données projet'!$A$62&gt;35,AI66+AH67-AQ66,IF(A67&lt;'Données projet'!$A$62,$AF$205^A67,IF(A67='Données projet'!$A$62,'Données projet'!$B$62,AI66+AH67-AQ66)))</f>
        <v>449.75000000000006</v>
      </c>
      <c r="AJ67" s="14">
        <f>AI67*VLOOKUP('Données projet'!$B$10,Paramètres!$A$1:$I$89,3,0)*VLOOKUP('Données projet'!$B$10,Paramètres!$A$1:$I$89,5,0)</f>
        <v>268.95050000000009</v>
      </c>
      <c r="AK67" s="14">
        <f t="shared" si="35"/>
        <v>64.626488439895155</v>
      </c>
      <c r="AL67" s="22">
        <f t="shared" si="4"/>
        <v>580.97992153281746</v>
      </c>
      <c r="AM67" s="62">
        <f t="shared" si="5"/>
        <v>874.31325486615083</v>
      </c>
      <c r="AN67" s="62">
        <f ca="1">AVERAGE(OFFSET($AM$3,0,0,'Données projet'!$E$10+1,1))-AVERAGE(OFFSET($H$3,0,0,'Données projet'!$E$10+1,1))</f>
        <v>287.69656598881124</v>
      </c>
      <c r="AO67" s="62">
        <f t="shared" si="36"/>
        <v>221.9773436301067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6.7452817708296786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7.8190822371042084E-4</v>
      </c>
      <c r="AX67" s="23">
        <f t="shared" si="6"/>
        <v>6.746063679053389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788.0232367956761</v>
      </c>
      <c r="S68" s="62">
        <f ca="1">AVERAGE(OFFSET($R$3,0,0,'Données projet'!$E$9+1,1))-AVERAGE(OFFSET($H$3,0,0,'Données projet'!$E$9+1,1))</f>
        <v>310.95287409903602</v>
      </c>
      <c r="T68" s="62">
        <f t="shared" si="34"/>
        <v>224.10083380795163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16.625</v>
      </c>
      <c r="AI68" s="14">
        <f>IF('Données projet'!$A$62&gt;35,AI67+AH68-AQ67,IF(A68&lt;'Données projet'!$A$62,$AF$205^A68,IF(A68='Données projet'!$A$62,'Données projet'!$B$62,AI67+AH68-AQ67)))</f>
        <v>466.37500000000006</v>
      </c>
      <c r="AJ68" s="14">
        <f>AI68*VLOOKUP('Données projet'!$B$10,Paramètres!$A$1:$I$89,3,0)*VLOOKUP('Données projet'!$B$10,Paramètres!$A$1:$I$89,5,0)</f>
        <v>278.89225000000005</v>
      </c>
      <c r="AK68" s="14">
        <f t="shared" si="35"/>
        <v>66.732855480271084</v>
      </c>
      <c r="AL68" s="22">
        <f t="shared" ref="AL68:AL131" si="58">(AJ68+AK68)*0.475*44/12</f>
        <v>601.96372537813886</v>
      </c>
      <c r="AM68" s="62">
        <f t="shared" ref="AM68:AM131" si="59">AL68+(AD68+AE68)*44/12</f>
        <v>895.29705871147212</v>
      </c>
      <c r="AN68" s="62">
        <f ca="1">AVERAGE(OFFSET($AM$3,0,0,'Données projet'!$E$10+1,1))-AVERAGE(OFFSET($H$3,0,0,'Données projet'!$E$10+1,1))</f>
        <v>287.69656598881124</v>
      </c>
      <c r="AO68" s="62">
        <f t="shared" si="36"/>
        <v>221.9773436301067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6.6130109095193434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5.5289260725116659E-4</v>
      </c>
      <c r="AX68" s="23">
        <f t="shared" ref="AX68:AX131" si="60">SUM(AU68:AW68)</f>
        <v>6.6135638021265946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803.38663207200307</v>
      </c>
      <c r="S69" s="62">
        <f ca="1">AVERAGE(OFFSET($R$3,0,0,'Données projet'!$E$9+1,1))-AVERAGE(OFFSET($H$3,0,0,'Données projet'!$E$9+1,1))</f>
        <v>310.95287409903602</v>
      </c>
      <c r="T69" s="62">
        <f t="shared" ref="T69:T132" si="88">$T$3</f>
        <v>224.10083380795163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483</v>
      </c>
      <c r="AG69" s="13">
        <f>VLOOKUP(A69,'Données projet'!$A$61:$I$81,9,0)</f>
        <v>16.625</v>
      </c>
      <c r="AH69" s="13">
        <f t="array" ref="AH69">INDEX(AG:AG,MIN(IF(ISNUMBER(AG69:AG265),ROW(AG69:AG265),"")))</f>
        <v>16.625</v>
      </c>
      <c r="AI69" s="14">
        <f>IF('Données projet'!$A$62&gt;35,AI68+AH69-AQ68,IF(A69&lt;'Données projet'!$A$62,$AF$205^A69,IF(A69='Données projet'!$A$62,'Données projet'!$B$62,AI68+AH69-AQ68)))</f>
        <v>483.00000000000006</v>
      </c>
      <c r="AJ69" s="14">
        <f>AI69*VLOOKUP('Données projet'!$B$10,Paramètres!$A$1:$I$89,3,0)*VLOOKUP('Données projet'!$B$10,Paramètres!$A$1:$I$89,5,0)</f>
        <v>288.83400000000006</v>
      </c>
      <c r="AK69" s="14">
        <f t="shared" ref="AK69:AK132" si="89">EXP(-1.0587+0.8836*LN(AJ69)+0.284)</f>
        <v>68.830498636563377</v>
      </c>
      <c r="AL69" s="22">
        <f t="shared" si="58"/>
        <v>622.932335125348</v>
      </c>
      <c r="AM69" s="62">
        <f t="shared" si="59"/>
        <v>916.26566845868138</v>
      </c>
      <c r="AN69" s="62">
        <f ca="1">AVERAGE(OFFSET($AM$3,0,0,'Données projet'!$E$10+1,1))-AVERAGE(OFFSET($H$3,0,0,'Données projet'!$E$10+1,1))</f>
        <v>287.69656598881124</v>
      </c>
      <c r="AO69" s="62">
        <f t="shared" ref="AO69:AO132" si="90">$AO$3</f>
        <v>221.9773436301067</v>
      </c>
      <c r="AP69" s="16">
        <f>IF(ISNA(VLOOKUP(A69,'Données projet'!$A$61:$I$81,3,0)),0,VLOOKUP(A69,'Données projet'!$A$61:$I$81,3,0))</f>
        <v>9</v>
      </c>
      <c r="AQ69" s="16">
        <f>IF(ISNA(VLOOKUP(A69,'Données projet'!$A$61:$I$81,4,0)),0,VLOOKUP(A69,'Données projet'!$A$61:$I$81,4,0))</f>
        <v>65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6.483333799122045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3.9095411185521042E-4</v>
      </c>
      <c r="AX69" s="23">
        <f t="shared" si="60"/>
        <v>6.4837247532339006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818.74025342000391</v>
      </c>
      <c r="S70" s="62">
        <f ca="1">AVERAGE(OFFSET($R$3,0,0,'Données projet'!$E$9+1,1))-AVERAGE(OFFSET($H$3,0,0,'Données projet'!$E$9+1,1))</f>
        <v>310.95287409903602</v>
      </c>
      <c r="T70" s="62">
        <f t="shared" si="88"/>
        <v>224.10083380795163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12.875</v>
      </c>
      <c r="AI70" s="14">
        <f>IF('Données projet'!$A$62&gt;35,AI69+AH70-AQ69,IF(A70&lt;'Données projet'!$A$62,$AF$205^A70,IF(A70='Données projet'!$A$62,'Données projet'!$B$62,AI69+AH70-AQ69)))</f>
        <v>430.87500000000006</v>
      </c>
      <c r="AJ70" s="14">
        <f>AI70*VLOOKUP('Données projet'!$B$10,Paramètres!$A$1:$I$89,3,0)*VLOOKUP('Données projet'!$B$10,Paramètres!$A$1:$I$89,5,0)</f>
        <v>257.66325000000006</v>
      </c>
      <c r="AK70" s="14">
        <f t="shared" si="89"/>
        <v>62.224015868041043</v>
      </c>
      <c r="AL70" s="22">
        <f t="shared" si="58"/>
        <v>557.13698805350487</v>
      </c>
      <c r="AM70" s="62">
        <f t="shared" si="59"/>
        <v>850.47032138683812</v>
      </c>
      <c r="AN70" s="62">
        <f ca="1">AVERAGE(OFFSET($AM$3,0,0,'Données projet'!$E$10+1,1))-AVERAGE(OFFSET($H$3,0,0,'Données projet'!$E$10+1,1))</f>
        <v>287.69656598881124</v>
      </c>
      <c r="AO70" s="62">
        <f t="shared" si="90"/>
        <v>221.9773436301067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6.3561995777644107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2.764463036255833E-4</v>
      </c>
      <c r="AX70" s="23">
        <f t="shared" si="60"/>
        <v>6.3564760240680362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834.08442656215016</v>
      </c>
      <c r="S71" s="62">
        <f ca="1">AVERAGE(OFFSET($R$3,0,0,'Données projet'!$E$9+1,1))-AVERAGE(OFFSET($H$3,0,0,'Données projet'!$E$9+1,1))</f>
        <v>310.95287409903602</v>
      </c>
      <c r="T71" s="62">
        <f t="shared" si="88"/>
        <v>224.10083380795163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12.875</v>
      </c>
      <c r="AI71" s="14">
        <f>IF('Données projet'!$A$62&gt;35,AI70+AH71-AQ70,IF(A71&lt;'Données projet'!$A$62,$AF$205^A71,IF(A71='Données projet'!$A$62,'Données projet'!$B$62,AI70+AH71-AQ70)))</f>
        <v>443.75000000000006</v>
      </c>
      <c r="AJ71" s="14">
        <f>AI71*VLOOKUP('Données projet'!$B$10,Paramètres!$A$1:$I$89,3,0)*VLOOKUP('Données projet'!$B$10,Paramètres!$A$1:$I$89,5,0)</f>
        <v>265.36250000000007</v>
      </c>
      <c r="AK71" s="14">
        <f t="shared" si="89"/>
        <v>63.864084559847946</v>
      </c>
      <c r="AL71" s="22">
        <f t="shared" si="58"/>
        <v>573.40296810840198</v>
      </c>
      <c r="AM71" s="62">
        <f t="shared" si="59"/>
        <v>866.73630144173535</v>
      </c>
      <c r="AN71" s="62">
        <f ca="1">AVERAGE(OFFSET($AM$3,0,0,'Données projet'!$E$10+1,1))-AVERAGE(OFFSET($H$3,0,0,'Données projet'!$E$10+1,1))</f>
        <v>287.69656598881124</v>
      </c>
      <c r="AO71" s="62">
        <f t="shared" si="90"/>
        <v>221.9773436301067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6.2315583809433814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1.9547705592760521E-4</v>
      </c>
      <c r="AX71" s="23">
        <f t="shared" si="60"/>
        <v>6.2317538579993093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849.41945723669846</v>
      </c>
      <c r="S72" s="62">
        <f ca="1">AVERAGE(OFFSET($R$3,0,0,'Données projet'!$E$9+1,1))-AVERAGE(OFFSET($H$3,0,0,'Données projet'!$E$9+1,1))</f>
        <v>310.95287409903602</v>
      </c>
      <c r="T72" s="62">
        <f t="shared" si="88"/>
        <v>224.10083380795163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12.875</v>
      </c>
      <c r="AI72" s="14">
        <f>IF('Données projet'!$A$62&gt;35,AI71+AH72-AQ71,IF(A72&lt;'Données projet'!$A$62,$AF$205^A72,IF(A72='Données projet'!$A$62,'Données projet'!$B$62,AI71+AH72-AQ71)))</f>
        <v>456.62500000000006</v>
      </c>
      <c r="AJ72" s="14">
        <f>AI72*VLOOKUP('Données projet'!$B$10,Paramètres!$A$1:$I$89,3,0)*VLOOKUP('Données projet'!$B$10,Paramètres!$A$1:$I$89,5,0)</f>
        <v>273.06175000000007</v>
      </c>
      <c r="AK72" s="14">
        <f t="shared" si="89"/>
        <v>65.49862286970442</v>
      </c>
      <c r="AL72" s="22">
        <f t="shared" si="58"/>
        <v>589.65931608140193</v>
      </c>
      <c r="AM72" s="62">
        <f t="shared" si="59"/>
        <v>882.9926494147353</v>
      </c>
      <c r="AN72" s="62">
        <f ca="1">AVERAGE(OFFSET($AM$3,0,0,'Données projet'!$E$10+1,1))-AVERAGE(OFFSET($H$3,0,0,'Données projet'!$E$10+1,1))</f>
        <v>287.69656598881124</v>
      </c>
      <c r="AO72" s="62">
        <f t="shared" si="90"/>
        <v>221.9773436301067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6.1093613219683887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1.3822315181279165E-4</v>
      </c>
      <c r="AX72" s="23">
        <f t="shared" si="60"/>
        <v>6.1094995451202019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864.74563295247958</v>
      </c>
      <c r="S73" s="62">
        <f ca="1">AVERAGE(OFFSET($R$3,0,0,'Données projet'!$E$9+1,1))-AVERAGE(OFFSET($H$3,0,0,'Données projet'!$E$9+1,1))</f>
        <v>310.95287409903602</v>
      </c>
      <c r="T73" s="62">
        <f t="shared" si="88"/>
        <v>224.10083380795163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12.875</v>
      </c>
      <c r="AI73" s="14">
        <f>IF('Données projet'!$A$62&gt;35,AI72+AH73-AQ72,IF(A73&lt;'Données projet'!$A$62,$AF$205^A73,IF(A73='Données projet'!$A$62,'Données projet'!$B$62,AI72+AH73-AQ72)))</f>
        <v>469.50000000000006</v>
      </c>
      <c r="AJ73" s="14">
        <f>AI73*VLOOKUP('Données projet'!$B$10,Paramètres!$A$1:$I$89,3,0)*VLOOKUP('Données projet'!$B$10,Paramètres!$A$1:$I$89,5,0)</f>
        <v>280.76100000000002</v>
      </c>
      <c r="AK73" s="14">
        <f t="shared" si="89"/>
        <v>67.12780464438184</v>
      </c>
      <c r="AL73" s="22">
        <f t="shared" si="58"/>
        <v>605.90633475563175</v>
      </c>
      <c r="AM73" s="62">
        <f t="shared" si="59"/>
        <v>899.23966808896512</v>
      </c>
      <c r="AN73" s="62">
        <f ca="1">AVERAGE(OFFSET($AM$3,0,0,'Données projet'!$E$10+1,1))-AVERAGE(OFFSET($H$3,0,0,'Données projet'!$E$10+1,1))</f>
        <v>287.69656598881124</v>
      </c>
      <c r="AO73" s="62">
        <f t="shared" si="90"/>
        <v>221.9773436301067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5.9895604727870495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9.7738527963802605E-5</v>
      </c>
      <c r="AX73" s="23">
        <f t="shared" si="60"/>
        <v>5.989658211315013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769.67300043462058</v>
      </c>
      <c r="S74" s="62">
        <f ca="1">AVERAGE(OFFSET($R$3,0,0,'Données projet'!$E$9+1,1))-AVERAGE(OFFSET($H$3,0,0,'Données projet'!$E$9+1,1))</f>
        <v>310.95287409903602</v>
      </c>
      <c r="T74" s="62">
        <f t="shared" si="88"/>
        <v>224.10083380795163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12.875</v>
      </c>
      <c r="AI74" s="14">
        <f>IF('Données projet'!$A$62&gt;35,AI73+AH74-AQ73,IF(A74&lt;'Données projet'!$A$62,$AF$205^A74,IF(A74='Données projet'!$A$62,'Données projet'!$B$62,AI73+AH74-AQ73)))</f>
        <v>482.37500000000006</v>
      </c>
      <c r="AJ74" s="14">
        <f>AI74*VLOOKUP('Données projet'!$B$10,Paramètres!$A$1:$I$89,3,0)*VLOOKUP('Données projet'!$B$10,Paramètres!$A$1:$I$89,5,0)</f>
        <v>288.46025000000009</v>
      </c>
      <c r="AK74" s="14">
        <f t="shared" si="89"/>
        <v>68.75179365327233</v>
      </c>
      <c r="AL74" s="22">
        <f t="shared" si="58"/>
        <v>622.14430936278279</v>
      </c>
      <c r="AM74" s="62">
        <f t="shared" si="59"/>
        <v>915.47764269611616</v>
      </c>
      <c r="AN74" s="62">
        <f ca="1">AVERAGE(OFFSET($AM$3,0,0,'Données projet'!$E$10+1,1))-AVERAGE(OFFSET($H$3,0,0,'Données projet'!$E$10+1,1))</f>
        <v>287.69656598881124</v>
      </c>
      <c r="AO74" s="62">
        <f t="shared" si="90"/>
        <v>221.9773436301067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5.8721088451868537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6.9111575906395824E-5</v>
      </c>
      <c r="AX74" s="23">
        <f t="shared" si="60"/>
        <v>5.8721779567627603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786.53592520673601</v>
      </c>
      <c r="S75" s="62">
        <f ca="1">AVERAGE(OFFSET($R$3,0,0,'Données projet'!$E$9+1,1))-AVERAGE(OFFSET($H$3,0,0,'Données projet'!$E$9+1,1))</f>
        <v>310.95287409903602</v>
      </c>
      <c r="T75" s="62">
        <f t="shared" si="88"/>
        <v>224.10083380795163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12.875</v>
      </c>
      <c r="AI75" s="14">
        <f>IF('Données projet'!$A$62&gt;35,AI74+AH75-AQ74,IF(A75&lt;'Données projet'!$A$62,$AF$205^A75,IF(A75='Données projet'!$A$62,'Données projet'!$B$62,AI74+AH75-AQ74)))</f>
        <v>495.25000000000006</v>
      </c>
      <c r="AJ75" s="14">
        <f>AI75*VLOOKUP('Données projet'!$B$10,Paramètres!$A$1:$I$89,3,0)*VLOOKUP('Données projet'!$B$10,Paramètres!$A$1:$I$89,5,0)</f>
        <v>296.15950000000004</v>
      </c>
      <c r="AK75" s="14">
        <f t="shared" si="89"/>
        <v>70.370744425720076</v>
      </c>
      <c r="AL75" s="22">
        <f t="shared" si="58"/>
        <v>638.37350904146251</v>
      </c>
      <c r="AM75" s="62">
        <f t="shared" si="59"/>
        <v>931.70684237479577</v>
      </c>
      <c r="AN75" s="62">
        <f ca="1">AVERAGE(OFFSET($AM$3,0,0,'Données projet'!$E$10+1,1))-AVERAGE(OFFSET($H$3,0,0,'Données projet'!$E$10+1,1))</f>
        <v>287.69656598881124</v>
      </c>
      <c r="AO75" s="62">
        <f t="shared" si="90"/>
        <v>221.9773436301067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5.7569603723654783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4.8869263981901303E-5</v>
      </c>
      <c r="AX75" s="23">
        <f t="shared" si="60"/>
        <v>5.7570092416294605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803.38663207200307</v>
      </c>
      <c r="S76" s="62">
        <f ca="1">AVERAGE(OFFSET($R$3,0,0,'Données projet'!$E$9+1,1))-AVERAGE(OFFSET($H$3,0,0,'Données projet'!$E$9+1,1))</f>
        <v>310.95287409903602</v>
      </c>
      <c r="T76" s="62">
        <f t="shared" si="88"/>
        <v>224.10083380795163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12.875</v>
      </c>
      <c r="AI76" s="14">
        <f>IF('Données projet'!$A$62&gt;35,AI75+AH76-AQ75,IF(A76&lt;'Données projet'!$A$62,$AF$205^A76,IF(A76='Données projet'!$A$62,'Données projet'!$B$62,AI75+AH76-AQ75)))</f>
        <v>508.12500000000006</v>
      </c>
      <c r="AJ76" s="14">
        <f>AI76*VLOOKUP('Données projet'!$B$10,Paramètres!$A$1:$I$89,3,0)*VLOOKUP('Données projet'!$B$10,Paramètres!$A$1:$I$89,5,0)</f>
        <v>303.85875000000004</v>
      </c>
      <c r="AK76" s="14">
        <f t="shared" si="89"/>
        <v>71.984802998830631</v>
      </c>
      <c r="AL76" s="22">
        <f t="shared" si="58"/>
        <v>654.59418813963009</v>
      </c>
      <c r="AM76" s="62">
        <f t="shared" si="59"/>
        <v>947.92752147296346</v>
      </c>
      <c r="AN76" s="62">
        <f ca="1">AVERAGE(OFFSET($AM$3,0,0,'Données projet'!$E$10+1,1))-AVERAGE(OFFSET($H$3,0,0,'Données projet'!$E$10+1,1))</f>
        <v>287.69656598881124</v>
      </c>
      <c r="AO76" s="62">
        <f t="shared" si="90"/>
        <v>221.9773436301067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5.6440698908624967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3.4555787953197912E-5</v>
      </c>
      <c r="AX76" s="23">
        <f t="shared" si="60"/>
        <v>5.6441044466504495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820.22558129929121</v>
      </c>
      <c r="S77" s="62">
        <f ca="1">AVERAGE(OFFSET($R$3,0,0,'Données projet'!$E$9+1,1))-AVERAGE(OFFSET($H$3,0,0,'Données projet'!$E$9+1,1))</f>
        <v>310.95287409903602</v>
      </c>
      <c r="T77" s="62">
        <f t="shared" si="88"/>
        <v>224.10083380795163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521</v>
      </c>
      <c r="AG77" s="13">
        <f>VLOOKUP(A77,'Données projet'!$A$61:$I$81,9,0)</f>
        <v>12.875</v>
      </c>
      <c r="AH77" s="13">
        <f t="array" ref="AH77">INDEX(AG:AG,MIN(IF(ISNUMBER(AG77:AG273),ROW(AG77:AG273),"")))</f>
        <v>12.875</v>
      </c>
      <c r="AI77" s="14">
        <f>IF('Données projet'!$A$62&gt;35,AI76+AH77-AQ76,IF(A77&lt;'Données projet'!$A$62,$AF$205^A77,IF(A77='Données projet'!$A$62,'Données projet'!$B$62,AI76+AH77-AQ76)))</f>
        <v>521</v>
      </c>
      <c r="AJ77" s="14">
        <f>AI77*VLOOKUP('Données projet'!$B$10,Paramètres!$A$1:$I$89,3,0)*VLOOKUP('Données projet'!$B$10,Paramètres!$A$1:$I$89,5,0)</f>
        <v>311.55799999999999</v>
      </c>
      <c r="AK77" s="14">
        <f t="shared" si="89"/>
        <v>73.594107587354372</v>
      </c>
      <c r="AL77" s="22">
        <f t="shared" si="58"/>
        <v>670.80658738130876</v>
      </c>
      <c r="AM77" s="62">
        <f t="shared" si="59"/>
        <v>964.13992071464213</v>
      </c>
      <c r="AN77" s="62">
        <f ca="1">AVERAGE(OFFSET($AM$3,0,0,'Données projet'!$E$10+1,1))-AVERAGE(OFFSET($H$3,0,0,'Données projet'!$E$10+1,1))</f>
        <v>287.69656598881124</v>
      </c>
      <c r="AO77" s="62">
        <f t="shared" si="90"/>
        <v>221.9773436301067</v>
      </c>
      <c r="AP77" s="16">
        <f>IF(ISNA(VLOOKUP(A77,'Données projet'!$A$61:$I$81,3,0)),0,VLOOKUP(A77,'Données projet'!$A$61:$I$81,3,0))</f>
        <v>10</v>
      </c>
      <c r="AQ77" s="16">
        <f>IF(ISNA(VLOOKUP(A77,'Données projet'!$A$61:$I$81,4,0)),0,VLOOKUP(A77,'Données projet'!$A$61:$I$81,4,0))</f>
        <v>37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5.5333931228453936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2.4434631990950651E-5</v>
      </c>
      <c r="AX77" s="23">
        <f t="shared" si="60"/>
        <v>5.5334175574773843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837.05320135476836</v>
      </c>
      <c r="S78" s="62">
        <f ca="1">AVERAGE(OFFSET($R$3,0,0,'Données projet'!$E$9+1,1))-AVERAGE(OFFSET($H$3,0,0,'Données projet'!$E$9+1,1))</f>
        <v>310.95287409903602</v>
      </c>
      <c r="T78" s="62">
        <f t="shared" si="88"/>
        <v>224.10083380795163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8.875</v>
      </c>
      <c r="AI78" s="14">
        <f>IF('Données projet'!$A$62&gt;35,AI77+AH78-AQ77,IF(A78&lt;'Données projet'!$A$62,$AF$205^A78,IF(A78='Données projet'!$A$62,'Données projet'!$B$62,AI77+AH78-AQ77)))</f>
        <v>492.875</v>
      </c>
      <c r="AJ78" s="14">
        <f>AI78*VLOOKUP('Données projet'!$B$10,Paramètres!$A$1:$I$89,3,0)*VLOOKUP('Données projet'!$B$10,Paramètres!$A$1:$I$89,5,0)</f>
        <v>294.73925000000003</v>
      </c>
      <c r="AK78" s="14">
        <f t="shared" si="89"/>
        <v>70.072475236035828</v>
      </c>
      <c r="AL78" s="22">
        <f t="shared" si="58"/>
        <v>635.38042145276233</v>
      </c>
      <c r="AM78" s="62">
        <f t="shared" si="59"/>
        <v>928.71375478609571</v>
      </c>
      <c r="AN78" s="62">
        <f ca="1">AVERAGE(OFFSET($AM$3,0,0,'Données projet'!$E$10+1,1))-AVERAGE(OFFSET($H$3,0,0,'Données projet'!$E$10+1,1))</f>
        <v>287.69656598881124</v>
      </c>
      <c r="AO78" s="62">
        <f t="shared" si="90"/>
        <v>221.9773436301067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5.4248866587429436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1.7277893976598956E-5</v>
      </c>
      <c r="AX78" s="23">
        <f t="shared" si="60"/>
        <v>5.4249039366369205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853.86989203581993</v>
      </c>
      <c r="S79" s="62">
        <f ca="1">AVERAGE(OFFSET($R$3,0,0,'Données projet'!$E$9+1,1))-AVERAGE(OFFSET($H$3,0,0,'Données projet'!$E$9+1,1))</f>
        <v>310.95287409903602</v>
      </c>
      <c r="T79" s="62">
        <f t="shared" si="88"/>
        <v>224.10083380795163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8.875</v>
      </c>
      <c r="AI79" s="14">
        <f>IF('Données projet'!$A$62&gt;35,AI78+AH79-AQ78,IF(A79&lt;'Données projet'!$A$62,$AF$205^A79,IF(A79='Données projet'!$A$62,'Données projet'!$B$62,AI78+AH79-AQ78)))</f>
        <v>501.75</v>
      </c>
      <c r="AJ79" s="14">
        <f>AI79*VLOOKUP('Données projet'!$B$10,Paramètres!$A$1:$I$89,3,0)*VLOOKUP('Données projet'!$B$10,Paramètres!$A$1:$I$89,5,0)</f>
        <v>300.04650000000004</v>
      </c>
      <c r="AK79" s="14">
        <f t="shared" si="89"/>
        <v>71.186211573839699</v>
      </c>
      <c r="AL79" s="22">
        <f t="shared" si="58"/>
        <v>646.56363932443753</v>
      </c>
      <c r="AM79" s="62">
        <f t="shared" si="59"/>
        <v>939.8969726577709</v>
      </c>
      <c r="AN79" s="62">
        <f ca="1">AVERAGE(OFFSET($AM$3,0,0,'Données projet'!$E$10+1,1))-AVERAGE(OFFSET($H$3,0,0,'Données projet'!$E$10+1,1))</f>
        <v>287.69656598881124</v>
      </c>
      <c r="AO79" s="62">
        <f t="shared" si="90"/>
        <v>221.9773436301067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5.318507940219134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1.2217315995475326E-5</v>
      </c>
      <c r="AX79" s="23">
        <f t="shared" si="60"/>
        <v>5.3185201575351293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870.67602720949185</v>
      </c>
      <c r="S80" s="62">
        <f ca="1">AVERAGE(OFFSET($R$3,0,0,'Données projet'!$E$9+1,1))-AVERAGE(OFFSET($H$3,0,0,'Données projet'!$E$9+1,1))</f>
        <v>310.95287409903602</v>
      </c>
      <c r="T80" s="62">
        <f t="shared" si="88"/>
        <v>224.10083380795163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8.875</v>
      </c>
      <c r="AI80" s="14">
        <f>IF('Données projet'!$A$62&gt;35,AI79+AH80-AQ79,IF(A80&lt;'Données projet'!$A$62,$AF$205^A80,IF(A80='Données projet'!$A$62,'Données projet'!$B$62,AI79+AH80-AQ79)))</f>
        <v>510.625</v>
      </c>
      <c r="AJ80" s="14">
        <f>AI80*VLOOKUP('Données projet'!$B$10,Paramètres!$A$1:$I$89,3,0)*VLOOKUP('Données projet'!$B$10,Paramètres!$A$1:$I$89,5,0)</f>
        <v>305.35375000000005</v>
      </c>
      <c r="AK80" s="14">
        <f t="shared" si="89"/>
        <v>72.297657079406008</v>
      </c>
      <c r="AL80" s="22">
        <f t="shared" si="58"/>
        <v>657.74286732996552</v>
      </c>
      <c r="AM80" s="62">
        <f t="shared" si="59"/>
        <v>951.07620066329878</v>
      </c>
      <c r="AN80" s="62">
        <f ca="1">AVERAGE(OFFSET($AM$3,0,0,'Données projet'!$E$10+1,1))-AVERAGE(OFFSET($H$3,0,0,'Données projet'!$E$10+1,1))</f>
        <v>287.69656598881124</v>
      </c>
      <c r="AO80" s="62">
        <f t="shared" si="90"/>
        <v>221.9773436301067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5.2142152434809645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8.638946988299478E-6</v>
      </c>
      <c r="AX80" s="23">
        <f t="shared" si="60"/>
        <v>5.2142238824279525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887.47195721565049</v>
      </c>
      <c r="S81" s="62">
        <f ca="1">AVERAGE(OFFSET($R$3,0,0,'Données projet'!$E$9+1,1))-AVERAGE(OFFSET($H$3,0,0,'Données projet'!$E$9+1,1))</f>
        <v>310.95287409903602</v>
      </c>
      <c r="T81" s="62">
        <f t="shared" si="88"/>
        <v>224.10083380795163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8.875</v>
      </c>
      <c r="AI81" s="14">
        <f>IF('Données projet'!$A$62&gt;35,AI80+AH81-AQ80,IF(A81&lt;'Données projet'!$A$62,$AF$205^A81,IF(A81='Données projet'!$A$62,'Données projet'!$B$62,AI80+AH81-AQ80)))</f>
        <v>519.5</v>
      </c>
      <c r="AJ81" s="14">
        <f>AI81*VLOOKUP('Données projet'!$B$10,Paramètres!$A$1:$I$89,3,0)*VLOOKUP('Données projet'!$B$10,Paramètres!$A$1:$I$89,5,0)</f>
        <v>310.661</v>
      </c>
      <c r="AK81" s="14">
        <f t="shared" si="89"/>
        <v>73.406856163089444</v>
      </c>
      <c r="AL81" s="22">
        <f t="shared" si="58"/>
        <v>668.91818281738085</v>
      </c>
      <c r="AM81" s="62">
        <f t="shared" si="59"/>
        <v>962.25151615071422</v>
      </c>
      <c r="AN81" s="62">
        <f ca="1">AVERAGE(OFFSET($AM$3,0,0,'Données projet'!$E$10+1,1))-AVERAGE(OFFSET($H$3,0,0,'Données projet'!$E$10+1,1))</f>
        <v>287.69656598881124</v>
      </c>
      <c r="AO81" s="62">
        <f t="shared" si="90"/>
        <v>221.9773436301067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5.1119676629135675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6.1086579977376628E-6</v>
      </c>
      <c r="AX81" s="23">
        <f t="shared" si="60"/>
        <v>5.1119737715715656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904.25801098441639</v>
      </c>
      <c r="S82" s="62">
        <f ca="1">AVERAGE(OFFSET($R$3,0,0,'Données projet'!$E$9+1,1))-AVERAGE(OFFSET($H$3,0,0,'Données projet'!$E$9+1,1))</f>
        <v>310.95287409903602</v>
      </c>
      <c r="T82" s="62">
        <f t="shared" si="88"/>
        <v>224.10083380795163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8.875</v>
      </c>
      <c r="AI82" s="14">
        <f>IF('Données projet'!$A$62&gt;35,AI81+AH82-AQ81,IF(A82&lt;'Données projet'!$A$62,$AF$205^A82,IF(A82='Données projet'!$A$62,'Données projet'!$B$62,AI81+AH82-AQ81)))</f>
        <v>528.375</v>
      </c>
      <c r="AJ82" s="14">
        <f>AI82*VLOOKUP('Données projet'!$B$10,Paramètres!$A$1:$I$89,3,0)*VLOOKUP('Données projet'!$B$10,Paramètres!$A$1:$I$89,5,0)</f>
        <v>315.96825000000001</v>
      </c>
      <c r="AK82" s="14">
        <f t="shared" si="89"/>
        <v>74.513851630905478</v>
      </c>
      <c r="AL82" s="22">
        <f t="shared" si="58"/>
        <v>680.08966034049365</v>
      </c>
      <c r="AM82" s="62">
        <f t="shared" si="59"/>
        <v>973.42299367382702</v>
      </c>
      <c r="AN82" s="62">
        <f ca="1">AVERAGE(OFFSET($AM$3,0,0,'Données projet'!$E$10+1,1))-AVERAGE(OFFSET($H$3,0,0,'Données projet'!$E$10+1,1))</f>
        <v>287.69656598881124</v>
      </c>
      <c r="AO82" s="62">
        <f t="shared" si="90"/>
        <v>221.9773436301067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5.0117250950362306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4.319473494149739E-6</v>
      </c>
      <c r="AX82" s="23">
        <f t="shared" si="60"/>
        <v>5.0117294145097251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921.03449790891477</v>
      </c>
      <c r="S83" s="62">
        <f ca="1">AVERAGE(OFFSET($R$3,0,0,'Données projet'!$E$9+1,1))-AVERAGE(OFFSET($H$3,0,0,'Données projet'!$E$9+1,1))</f>
        <v>310.95287409903602</v>
      </c>
      <c r="T83" s="62">
        <f t="shared" si="88"/>
        <v>224.10083380795163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8.875</v>
      </c>
      <c r="AI83" s="14">
        <f>IF('Données projet'!$A$62&gt;35,AI82+AH83-AQ82,IF(A83&lt;'Données projet'!$A$62,$AF$205^A83,IF(A83='Données projet'!$A$62,'Données projet'!$B$62,AI82+AH83-AQ82)))</f>
        <v>537.25</v>
      </c>
      <c r="AJ83" s="14">
        <f>AI83*VLOOKUP('Données projet'!$B$10,Paramètres!$A$1:$I$89,3,0)*VLOOKUP('Données projet'!$B$10,Paramètres!$A$1:$I$89,5,0)</f>
        <v>321.27550000000002</v>
      </c>
      <c r="AK83" s="14">
        <f t="shared" si="89"/>
        <v>75.618684768443416</v>
      </c>
      <c r="AL83" s="22">
        <f t="shared" si="58"/>
        <v>691.25737180503893</v>
      </c>
      <c r="AM83" s="62">
        <f t="shared" si="59"/>
        <v>984.59070513837219</v>
      </c>
      <c r="AN83" s="62">
        <f ca="1">AVERAGE(OFFSET($AM$3,0,0,'Données projet'!$E$10+1,1))-AVERAGE(OFFSET($H$3,0,0,'Données projet'!$E$10+1,1))</f>
        <v>287.69656598881124</v>
      </c>
      <c r="AO83" s="62">
        <f t="shared" si="90"/>
        <v>221.9773436301067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4.9134482227730389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3.0543289988688314E-6</v>
      </c>
      <c r="AX83" s="23">
        <f t="shared" si="60"/>
        <v>4.9134512771020376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815.76933196682694</v>
      </c>
      <c r="S84" s="62">
        <f ca="1">AVERAGE(OFFSET($R$3,0,0,'Données projet'!$E$9+1,1))-AVERAGE(OFFSET($H$3,0,0,'Données projet'!$E$9+1,1))</f>
        <v>310.95287409903602</v>
      </c>
      <c r="T84" s="62">
        <f t="shared" si="88"/>
        <v>224.10083380795163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8.875</v>
      </c>
      <c r="AI84" s="14">
        <f>IF('Données projet'!$A$62&gt;35,AI83+AH84-AQ83,IF(A84&lt;'Données projet'!$A$62,$AF$205^A84,IF(A84='Données projet'!$A$62,'Données projet'!$B$62,AI83+AH84-AQ83)))</f>
        <v>546.125</v>
      </c>
      <c r="AJ84" s="14">
        <f>AI84*VLOOKUP('Données projet'!$B$10,Paramètres!$A$1:$I$89,3,0)*VLOOKUP('Données projet'!$B$10,Paramètres!$A$1:$I$89,5,0)</f>
        <v>326.58275000000003</v>
      </c>
      <c r="AK84" s="14">
        <f t="shared" si="89"/>
        <v>76.72139541907876</v>
      </c>
      <c r="AL84" s="22">
        <f t="shared" si="58"/>
        <v>702.42138660489547</v>
      </c>
      <c r="AM84" s="62">
        <f t="shared" si="59"/>
        <v>995.75471993822885</v>
      </c>
      <c r="AN84" s="62">
        <f ca="1">AVERAGE(OFFSET($AM$3,0,0,'Données projet'!$E$10+1,1))-AVERAGE(OFFSET($H$3,0,0,'Données projet'!$E$10+1,1))</f>
        <v>287.69656598881124</v>
      </c>
      <c r="AO84" s="62">
        <f t="shared" si="90"/>
        <v>221.9773436301067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4.8170985000319559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2.1597367470748695E-6</v>
      </c>
      <c r="AX84" s="23">
        <f t="shared" si="60"/>
        <v>4.8171006597687027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833.09475897497964</v>
      </c>
      <c r="S85" s="62">
        <f ca="1">AVERAGE(OFFSET($R$3,0,0,'Données projet'!$E$9+1,1))-AVERAGE(OFFSET($H$3,0,0,'Données projet'!$E$9+1,1))</f>
        <v>310.95287409903602</v>
      </c>
      <c r="T85" s="62">
        <f t="shared" si="88"/>
        <v>224.10083380795163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>
        <f>VLOOKUP(A85,'Données projet'!$A$61:$I$81,2,0)</f>
        <v>555</v>
      </c>
      <c r="AG85" s="13">
        <f>VLOOKUP(A85,'Données projet'!$A$61:$I$81,9,0)</f>
        <v>8.875</v>
      </c>
      <c r="AH85" s="13">
        <f t="array" ref="AH85">INDEX(AG:AG,MIN(IF(ISNUMBER(AG85:AG281),ROW(AG85:AG281),"")))</f>
        <v>8.875</v>
      </c>
      <c r="AI85" s="14">
        <f>IF('Données projet'!$A$62&gt;35,AI84+AH85-AQ84,IF(A85&lt;'Données projet'!$A$62,$AF$205^A85,IF(A85='Données projet'!$A$62,'Données projet'!$B$62,AI84+AH85-AQ84)))</f>
        <v>555</v>
      </c>
      <c r="AJ85" s="14">
        <f>AI85*VLOOKUP('Données projet'!$B$10,Paramètres!$A$1:$I$89,3,0)*VLOOKUP('Données projet'!$B$10,Paramètres!$A$1:$I$89,5,0)</f>
        <v>331.89000000000004</v>
      </c>
      <c r="AK85" s="14">
        <f t="shared" si="89"/>
        <v>77.822022056956186</v>
      </c>
      <c r="AL85" s="22">
        <f t="shared" si="58"/>
        <v>713.58177174919865</v>
      </c>
      <c r="AM85" s="62">
        <f t="shared" si="59"/>
        <v>1006.9151050825319</v>
      </c>
      <c r="AN85" s="62">
        <f ca="1">AVERAGE(OFFSET($AM$3,0,0,'Données projet'!$E$10+1,1))-AVERAGE(OFFSET($H$3,0,0,'Données projet'!$E$10+1,1))</f>
        <v>287.69656598881124</v>
      </c>
      <c r="AO85" s="62">
        <f t="shared" si="90"/>
        <v>221.9773436301067</v>
      </c>
      <c r="AP85" s="16">
        <f>IF(ISNA(VLOOKUP(A85,'Données projet'!$A$61:$I$81,3,0)),0,VLOOKUP(A85,'Données projet'!$A$61:$I$81,3,0))</f>
        <v>11</v>
      </c>
      <c r="AQ85" s="16">
        <f>IF(ISNA(VLOOKUP(A85,'Données projet'!$A$61:$I$81,4,0)),0,VLOOKUP(A85,'Données projet'!$A$61:$I$81,4,0))</f>
        <v>555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4.7226381365862968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1.5271644994344157E-6</v>
      </c>
      <c r="AX85" s="23">
        <f t="shared" si="60"/>
        <v>4.7226396637507966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850.40850699859743</v>
      </c>
      <c r="S86" s="62">
        <f ca="1">AVERAGE(OFFSET($R$3,0,0,'Données projet'!$E$9+1,1))-AVERAGE(OFFSET($H$3,0,0,'Données projet'!$E$9+1,1))</f>
        <v>310.95287409903602</v>
      </c>
      <c r="T86" s="62">
        <f t="shared" si="88"/>
        <v>224.10083380795163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287.69656598881124</v>
      </c>
      <c r="AO86" s="62">
        <f t="shared" si="90"/>
        <v>221.9773436301067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4.6300300832526746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1.0798683735374348E-6</v>
      </c>
      <c r="AX86" s="23">
        <f t="shared" si="60"/>
        <v>4.630031163121048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867.71098989521511</v>
      </c>
      <c r="S87" s="62">
        <f ca="1">AVERAGE(OFFSET($R$3,0,0,'Données projet'!$E$9+1,1))-AVERAGE(OFFSET($H$3,0,0,'Données projet'!$E$9+1,1))</f>
        <v>310.95287409903602</v>
      </c>
      <c r="T87" s="62">
        <f t="shared" si="88"/>
        <v>224.10083380795163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287.69656598881124</v>
      </c>
      <c r="AO87" s="62">
        <f t="shared" si="90"/>
        <v>221.9773436301067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4.5392380173595894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7.6358224971720785E-7</v>
      </c>
      <c r="AX87" s="23">
        <f t="shared" si="60"/>
        <v>4.5392387809418393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885.00259457177935</v>
      </c>
      <c r="S88" s="62">
        <f ca="1">AVERAGE(OFFSET($R$3,0,0,'Données projet'!$E$9+1,1))-AVERAGE(OFFSET($H$3,0,0,'Données projet'!$E$9+1,1))</f>
        <v>310.95287409903602</v>
      </c>
      <c r="T88" s="62">
        <f t="shared" si="88"/>
        <v>224.10083380795163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287.69656598881124</v>
      </c>
      <c r="AO88" s="62">
        <f t="shared" si="90"/>
        <v>221.9773436301067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4.4502263285009755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5.3993418676871738E-7</v>
      </c>
      <c r="AX88" s="23">
        <f t="shared" si="60"/>
        <v>4.4502268684351627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902.28368349214497</v>
      </c>
      <c r="S89" s="62">
        <f ca="1">AVERAGE(OFFSET($R$3,0,0,'Données projet'!$E$9+1,1))-AVERAGE(OFFSET($H$3,0,0,'Données projet'!$E$9+1,1))</f>
        <v>310.95287409903602</v>
      </c>
      <c r="T89" s="62">
        <f t="shared" si="88"/>
        <v>224.10083380795163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287.69656598881124</v>
      </c>
      <c r="AO89" s="62">
        <f t="shared" si="90"/>
        <v>221.9773436301067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4.36296010456911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3.8179112485860393E-7</v>
      </c>
      <c r="AX89" s="23">
        <f t="shared" si="60"/>
        <v>4.3629604863602349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919.55459688530414</v>
      </c>
      <c r="S90" s="62">
        <f ca="1">AVERAGE(OFFSET($R$3,0,0,'Données projet'!$E$9+1,1))-AVERAGE(OFFSET($H$3,0,0,'Données projet'!$E$9+1,1))</f>
        <v>310.95287409903602</v>
      </c>
      <c r="T90" s="62">
        <f t="shared" si="88"/>
        <v>224.10083380795163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287.69656598881124</v>
      </c>
      <c r="AO90" s="62">
        <f t="shared" si="90"/>
        <v>221.9773436301067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4.2774051180614077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2.6996709338435869E-7</v>
      </c>
      <c r="AX90" s="23">
        <f t="shared" si="60"/>
        <v>4.2774053880285008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936.81565469749989</v>
      </c>
      <c r="S91" s="62">
        <f ca="1">AVERAGE(OFFSET($R$3,0,0,'Données projet'!$E$9+1,1))-AVERAGE(OFFSET($H$3,0,0,'Données projet'!$E$9+1,1))</f>
        <v>310.95287409903602</v>
      </c>
      <c r="T91" s="62">
        <f t="shared" si="88"/>
        <v>224.10083380795163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287.69656598881124</v>
      </c>
      <c r="AO91" s="62">
        <f t="shared" si="90"/>
        <v>221.9773436301067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4.1935278126557325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1.9089556242930196E-7</v>
      </c>
      <c r="AX91" s="23">
        <f t="shared" si="60"/>
        <v>4.193528003551295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954.0671583241317</v>
      </c>
      <c r="S92" s="62">
        <f ca="1">AVERAGE(OFFSET($R$3,0,0,'Données projet'!$E$9+1,1))-AVERAGE(OFFSET($H$3,0,0,'Données projet'!$E$9+1,1))</f>
        <v>310.95287409903602</v>
      </c>
      <c r="T92" s="62">
        <f t="shared" si="88"/>
        <v>224.10083380795163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287.69656598881124</v>
      </c>
      <c r="AO92" s="62">
        <f t="shared" si="90"/>
        <v>221.9773436301067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4.1112952900489574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1.3498354669217934E-7</v>
      </c>
      <c r="AX92" s="23">
        <f t="shared" si="60"/>
        <v>4.1112954250325044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971.30939215151534</v>
      </c>
      <c r="S93" s="62">
        <f ca="1">AVERAGE(OFFSET($R$3,0,0,'Données projet'!$E$9+1,1))-AVERAGE(OFFSET($H$3,0,0,'Données projet'!$E$9+1,1))</f>
        <v>310.95287409903602</v>
      </c>
      <c r="T93" s="62">
        <f t="shared" si="88"/>
        <v>224.10083380795163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287.69656598881124</v>
      </c>
      <c r="AO93" s="62">
        <f t="shared" si="90"/>
        <v>221.9773436301067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4.030675297053615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9.5447781214650982E-8</v>
      </c>
      <c r="AX93" s="23">
        <f t="shared" si="60"/>
        <v>4.0306753925013963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856.34203585280784</v>
      </c>
      <c r="S94" s="62">
        <f ca="1">AVERAGE(OFFSET($R$3,0,0,'Données projet'!$E$9+1,1))-AVERAGE(OFFSET($H$3,0,0,'Données projet'!$E$9+1,1))</f>
        <v>310.95287409903602</v>
      </c>
      <c r="T94" s="62">
        <f t="shared" si="88"/>
        <v>224.10083380795163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287.69656598881124</v>
      </c>
      <c r="AO94" s="62">
        <f t="shared" si="90"/>
        <v>221.9773436301067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3.9516362129475713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6.7491773346089672E-8</v>
      </c>
      <c r="AX94" s="23">
        <f t="shared" si="60"/>
        <v>3.9516362804393448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874.62891633177742</v>
      </c>
      <c r="S95" s="62">
        <f ca="1">AVERAGE(OFFSET($R$3,0,0,'Données projet'!$E$9+1,1))-AVERAGE(OFFSET($H$3,0,0,'Données projet'!$E$9+1,1))</f>
        <v>310.95287409903602</v>
      </c>
      <c r="T95" s="62">
        <f t="shared" si="88"/>
        <v>224.10083380795163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287.69656598881124</v>
      </c>
      <c r="AO95" s="62">
        <f t="shared" si="90"/>
        <v>221.9773436301067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3.8741470370717659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4.7723890607325491E-8</v>
      </c>
      <c r="AX95" s="23">
        <f t="shared" si="60"/>
        <v>3.8741470847956565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892.90380474914582</v>
      </c>
      <c r="S96" s="62">
        <f ca="1">AVERAGE(OFFSET($R$3,0,0,'Données projet'!$E$9+1,1))-AVERAGE(OFFSET($H$3,0,0,'Données projet'!$E$9+1,1))</f>
        <v>310.95287409903602</v>
      </c>
      <c r="T96" s="62">
        <f t="shared" si="88"/>
        <v>224.10083380795163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287.69656598881124</v>
      </c>
      <c r="AO96" s="62">
        <f t="shared" si="90"/>
        <v>221.9773436301067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3.7981773766711546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3.3745886673044836E-8</v>
      </c>
      <c r="AX96" s="23">
        <f t="shared" si="60"/>
        <v>3.7981774104170412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911.16711780133164</v>
      </c>
      <c r="S97" s="62">
        <f ca="1">AVERAGE(OFFSET($R$3,0,0,'Données projet'!$E$9+1,1))-AVERAGE(OFFSET($H$3,0,0,'Données projet'!$E$9+1,1))</f>
        <v>310.95287409903602</v>
      </c>
      <c r="T97" s="62">
        <f t="shared" si="88"/>
        <v>224.10083380795163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287.69656598881124</v>
      </c>
      <c r="AO97" s="62">
        <f t="shared" si="90"/>
        <v>221.9773436301067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3.7236974349740821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2.3861945303662745E-8</v>
      </c>
      <c r="AX97" s="23">
        <f t="shared" si="60"/>
        <v>3.7236974588360274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929.41924556067966</v>
      </c>
      <c r="S98" s="62">
        <f ca="1">AVERAGE(OFFSET($R$3,0,0,'Données projet'!$E$9+1,1))-AVERAGE(OFFSET($H$3,0,0,'Données projet'!$E$9+1,1))</f>
        <v>310.95287409903602</v>
      </c>
      <c r="T98" s="62">
        <f t="shared" si="88"/>
        <v>224.10083380795163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287.69656598881124</v>
      </c>
      <c r="AO98" s="62">
        <f t="shared" si="90"/>
        <v>221.9773436301067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3.6506779995054104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1.6872943336522418E-8</v>
      </c>
      <c r="AX98" s="23">
        <f t="shared" si="60"/>
        <v>3.6506780163783539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947.66055390725091</v>
      </c>
      <c r="S99" s="62">
        <f ca="1">AVERAGE(OFFSET($R$3,0,0,'Données projet'!$E$9+1,1))-AVERAGE(OFFSET($H$3,0,0,'Données projet'!$E$9+1,1))</f>
        <v>310.95287409903602</v>
      </c>
      <c r="T99" s="62">
        <f t="shared" si="88"/>
        <v>224.10083380795163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287.69656598881124</v>
      </c>
      <c r="AO99" s="62">
        <f t="shared" si="90"/>
        <v>221.9773436301067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3.5790904306288214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1.1930972651831373E-8</v>
      </c>
      <c r="AX99" s="23">
        <f t="shared" si="60"/>
        <v>3.579090442559794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965.89138667554289</v>
      </c>
      <c r="S100" s="62">
        <f ca="1">AVERAGE(OFFSET($R$3,0,0,'Données projet'!$E$9+1,1))-AVERAGE(OFFSET($H$3,0,0,'Données projet'!$E$9+1,1))</f>
        <v>310.95287409903602</v>
      </c>
      <c r="T100" s="62">
        <f t="shared" si="88"/>
        <v>224.10083380795163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287.69656598881124</v>
      </c>
      <c r="AO100" s="62">
        <f t="shared" si="90"/>
        <v>221.9773436301067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3.5089066503137967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8.436471668261209E-9</v>
      </c>
      <c r="AX100" s="23">
        <f t="shared" si="60"/>
        <v>3.5089066587502682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984.11206755652961</v>
      </c>
      <c r="S101" s="62">
        <f ca="1">AVERAGE(OFFSET($R$3,0,0,'Données projet'!$E$9+1,1))-AVERAGE(OFFSET($H$3,0,0,'Données projet'!$E$9+1,1))</f>
        <v>310.95287409903602</v>
      </c>
      <c r="T101" s="62">
        <f t="shared" si="88"/>
        <v>224.10083380795163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287.69656598881124</v>
      </c>
      <c r="AO101" s="62">
        <f t="shared" si="90"/>
        <v>221.9773436301067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3.4400991311228704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5.9654863259156864E-9</v>
      </c>
      <c r="AX101" s="23">
        <f t="shared" si="60"/>
        <v>3.4400991370883567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1002.3229017887559</v>
      </c>
      <c r="S102" s="62">
        <f ca="1">AVERAGE(OFFSET($R$3,0,0,'Données projet'!$E$9+1,1))-AVERAGE(OFFSET($H$3,0,0,'Données projet'!$E$9+1,1))</f>
        <v>310.95287409903602</v>
      </c>
      <c r="T102" s="62">
        <f t="shared" si="88"/>
        <v>224.10083380795163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287.69656598881124</v>
      </c>
      <c r="AO102" s="62">
        <f t="shared" si="90"/>
        <v>221.9773436301067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3.3726408854148358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4.2182358341306045E-9</v>
      </c>
      <c r="AX102" s="23">
        <f t="shared" si="60"/>
        <v>3.3726408896330717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1020.5241776668049</v>
      </c>
      <c r="S103" s="62">
        <f ca="1">AVERAGE(OFFSET($R$3,0,0,'Données projet'!$E$9+1,1))-AVERAGE(OFFSET($H$3,0,0,'Données projet'!$E$9+1,1))</f>
        <v>310.95287409903602</v>
      </c>
      <c r="T103" s="62">
        <f t="shared" si="88"/>
        <v>224.10083380795163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287.69656598881124</v>
      </c>
      <c r="AO103" s="62">
        <f t="shared" si="90"/>
        <v>221.9773436301067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3.3065054547596686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2.9827431629578432E-9</v>
      </c>
      <c r="AX103" s="23">
        <f t="shared" si="60"/>
        <v>3.3065054577424116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310.95287409903602</v>
      </c>
      <c r="T104" s="62">
        <f t="shared" si="88"/>
        <v>224.10083380795163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287.69656598881124</v>
      </c>
      <c r="AO104" s="62">
        <f t="shared" si="90"/>
        <v>221.9773436301067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3.2416668995610194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2.1091179170653022E-9</v>
      </c>
      <c r="AX104" s="23">
        <f t="shared" si="60"/>
        <v>3.2416669016701372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310.95287409903602</v>
      </c>
      <c r="T105" s="62">
        <f t="shared" si="88"/>
        <v>224.10083380795163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287.69656598881124</v>
      </c>
      <c r="AO105" s="62">
        <f t="shared" si="90"/>
        <v>221.9773436301067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3.1780997888822022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1.4913715814789216E-9</v>
      </c>
      <c r="AX105" s="23">
        <f t="shared" si="60"/>
        <v>3.1780997903735737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310.95287409903602</v>
      </c>
      <c r="T106" s="62">
        <f t="shared" si="88"/>
        <v>224.10083380795163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287.69656598881124</v>
      </c>
      <c r="AO106" s="62">
        <f t="shared" si="90"/>
        <v>221.9773436301067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3.1157791904716876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1.0545589585326511E-9</v>
      </c>
      <c r="AX106" s="23">
        <f t="shared" si="60"/>
        <v>3.1157791915262467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310.95287409903602</v>
      </c>
      <c r="T107" s="62">
        <f t="shared" si="88"/>
        <v>224.10083380795163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287.69656598881124</v>
      </c>
      <c r="AO107" s="62">
        <f t="shared" si="90"/>
        <v>221.9773436301067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3.0546806609841912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7.456857907394608E-10</v>
      </c>
      <c r="AX107" s="23">
        <f t="shared" si="60"/>
        <v>3.054680661729877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310.95287409903602</v>
      </c>
      <c r="T108" s="62">
        <f t="shared" si="88"/>
        <v>224.10083380795163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287.69656598881124</v>
      </c>
      <c r="AO108" s="62">
        <f t="shared" si="90"/>
        <v>221.9773436301067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2.9947802363935216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5.2727947926632556E-10</v>
      </c>
      <c r="AX108" s="23">
        <f t="shared" si="60"/>
        <v>2.9947802369208012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310.95287409903602</v>
      </c>
      <c r="T109" s="62">
        <f t="shared" si="88"/>
        <v>224.10083380795163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287.69656598881124</v>
      </c>
      <c r="AO109" s="62">
        <f t="shared" si="90"/>
        <v>221.9773436301067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2.9360544225934238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3.728428953697304E-10</v>
      </c>
      <c r="AX109" s="23">
        <f t="shared" si="60"/>
        <v>2.9360544229662668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310.95287409903602</v>
      </c>
      <c r="T110" s="62">
        <f t="shared" si="88"/>
        <v>224.10083380795163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287.69656598881124</v>
      </c>
      <c r="AO110" s="62">
        <f t="shared" si="90"/>
        <v>221.9773436301067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2.878480186182736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2.6363973963316278E-10</v>
      </c>
      <c r="AX110" s="23">
        <f t="shared" si="60"/>
        <v>2.8784801864463758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310.95287409903602</v>
      </c>
      <c r="T111" s="62">
        <f t="shared" si="88"/>
        <v>224.10083380795163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287.69656598881124</v>
      </c>
      <c r="AO111" s="62">
        <f t="shared" si="90"/>
        <v>221.9773436301067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2.8220349454312452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1.864214476848652E-10</v>
      </c>
      <c r="AX111" s="23">
        <f t="shared" si="60"/>
        <v>2.8220349456176668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310.95287409903602</v>
      </c>
      <c r="T112" s="62">
        <f t="shared" si="88"/>
        <v>224.10083380795163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287.69656598881124</v>
      </c>
      <c r="AO112" s="62">
        <f t="shared" si="90"/>
        <v>221.9773436301067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2.7666965614226937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1.3181986981658139E-10</v>
      </c>
      <c r="AX112" s="23">
        <f t="shared" si="60"/>
        <v>2.7666965615545136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310.95287409903602</v>
      </c>
      <c r="T113" s="62">
        <f t="shared" si="88"/>
        <v>224.10083380795163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287.69656598881124</v>
      </c>
      <c r="AO113" s="62">
        <f t="shared" si="90"/>
        <v>221.9773436301067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2.7124433293714687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9.3210723842432599E-11</v>
      </c>
      <c r="AX113" s="23">
        <f t="shared" si="60"/>
        <v>2.7124433294646795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310.95287409903602</v>
      </c>
      <c r="T114" s="62">
        <f t="shared" si="88"/>
        <v>224.10083380795163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287.69656598881124</v>
      </c>
      <c r="AO114" s="62">
        <f t="shared" si="90"/>
        <v>221.9773436301067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2.6592539701095639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6.5909934908290695E-11</v>
      </c>
      <c r="AX114" s="23">
        <f t="shared" si="60"/>
        <v>2.6592539701754738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310.95287409903602</v>
      </c>
      <c r="T115" s="62">
        <f t="shared" si="88"/>
        <v>224.10083380795163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287.69656598881124</v>
      </c>
      <c r="AO115" s="62">
        <f t="shared" si="90"/>
        <v>221.9773436301067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2.6071076217404796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4.66053619212163E-11</v>
      </c>
      <c r="AX115" s="23">
        <f t="shared" si="60"/>
        <v>2.607107621787085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310.95287409903602</v>
      </c>
      <c r="T116" s="62">
        <f t="shared" si="88"/>
        <v>224.10083380795163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287.69656598881124</v>
      </c>
      <c r="AO116" s="62">
        <f t="shared" si="90"/>
        <v>221.9773436301067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2.5559838314567811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3.2954967454145348E-11</v>
      </c>
      <c r="AX116" s="23">
        <f t="shared" si="60"/>
        <v>2.5559838314897361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310.95287409903602</v>
      </c>
      <c r="T117" s="62">
        <f t="shared" si="88"/>
        <v>224.10083380795163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287.69656598881124</v>
      </c>
      <c r="AO117" s="62">
        <f t="shared" si="90"/>
        <v>221.9773436301067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2.5058625475181127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2.330268096060815E-11</v>
      </c>
      <c r="AX117" s="23">
        <f t="shared" si="60"/>
        <v>2.5058625475414154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310.95287409903602</v>
      </c>
      <c r="T118" s="62">
        <f t="shared" si="88"/>
        <v>224.10083380795163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287.69656598881124</v>
      </c>
      <c r="AO118" s="62">
        <f t="shared" si="90"/>
        <v>221.9773436301067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2.4567241113865168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1.6477483727072674E-11</v>
      </c>
      <c r="AX118" s="23">
        <f t="shared" si="60"/>
        <v>2.4567241114029943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310.95287409903602</v>
      </c>
      <c r="T119" s="62">
        <f t="shared" si="88"/>
        <v>224.10083380795163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287.69656598881124</v>
      </c>
      <c r="AO119" s="62">
        <f t="shared" si="90"/>
        <v>221.9773436301067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2.4085492500159753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1.1651340480304075E-11</v>
      </c>
      <c r="AX119" s="23">
        <f t="shared" si="60"/>
        <v>2.4085492500276264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310.95287409903602</v>
      </c>
      <c r="T120" s="62">
        <f t="shared" si="88"/>
        <v>224.10083380795163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287.69656598881124</v>
      </c>
      <c r="AO120" s="62">
        <f t="shared" si="90"/>
        <v>221.9773436301067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2.3613190682931458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8.2387418635363369E-12</v>
      </c>
      <c r="AX120" s="23">
        <f t="shared" si="60"/>
        <v>2.3613190683013845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310.95287409903602</v>
      </c>
      <c r="T121" s="62">
        <f t="shared" si="88"/>
        <v>224.10083380795163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287.69656598881124</v>
      </c>
      <c r="AO121" s="62">
        <f t="shared" si="90"/>
        <v>221.9773436301067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2.3150150416263346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5.8256702401520375E-12</v>
      </c>
      <c r="AX121" s="23">
        <f t="shared" si="60"/>
        <v>2.3150150416321602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310.95287409903602</v>
      </c>
      <c r="T122" s="62">
        <f t="shared" si="88"/>
        <v>224.10083380795163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287.69656598881124</v>
      </c>
      <c r="AO122" s="62">
        <f t="shared" si="90"/>
        <v>221.9773436301067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2.269619008679792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4.1193709317681685E-12</v>
      </c>
      <c r="AX122" s="23">
        <f t="shared" si="60"/>
        <v>2.2696190086839114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310.95287409903602</v>
      </c>
      <c r="T123" s="62">
        <f t="shared" si="88"/>
        <v>224.10083380795163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287.69656598881124</v>
      </c>
      <c r="AO123" s="62">
        <f t="shared" si="90"/>
        <v>221.9773436301067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2.2251131642504851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2.9128351200760187E-12</v>
      </c>
      <c r="AX123" s="23">
        <f t="shared" si="60"/>
        <v>2.2251131642533979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310.95287409903602</v>
      </c>
      <c r="T124" s="62">
        <f t="shared" si="88"/>
        <v>224.10083380795163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287.69656598881124</v>
      </c>
      <c r="AO124" s="62">
        <f t="shared" si="90"/>
        <v>221.9773436301067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2.1814800522845523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2.0596854658840842E-12</v>
      </c>
      <c r="AX124" s="23">
        <f t="shared" si="60"/>
        <v>2.181480052286612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310.95287409903602</v>
      </c>
      <c r="T125" s="62">
        <f t="shared" si="88"/>
        <v>224.10083380795163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287.69656598881124</v>
      </c>
      <c r="AO125" s="62">
        <f t="shared" si="90"/>
        <v>221.9773436301067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2.1387025590307012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1.4564175600380094E-12</v>
      </c>
      <c r="AX125" s="23">
        <f t="shared" si="60"/>
        <v>2.1387025590321578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310.95287409903602</v>
      </c>
      <c r="T126" s="62">
        <f t="shared" si="88"/>
        <v>224.10083380795163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287.69656598881124</v>
      </c>
      <c r="AO126" s="62">
        <f t="shared" si="90"/>
        <v>221.9773436301067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2.0967639063278636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1.0298427329420421E-12</v>
      </c>
      <c r="AX126" s="23">
        <f t="shared" si="60"/>
        <v>2.0967639063288934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310.95287409903602</v>
      </c>
      <c r="T127" s="62">
        <f t="shared" si="88"/>
        <v>224.10083380795163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287.69656598881124</v>
      </c>
      <c r="AO127" s="62">
        <f t="shared" si="90"/>
        <v>221.9773436301067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2.0556476450244761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7.2820878001900468E-13</v>
      </c>
      <c r="AX127" s="23">
        <f t="shared" si="60"/>
        <v>2.0556476450252044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310.95287409903602</v>
      </c>
      <c r="T128" s="62">
        <f t="shared" si="88"/>
        <v>224.10083380795163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287.69656598881124</v>
      </c>
      <c r="AO128" s="62">
        <f t="shared" si="90"/>
        <v>221.9773436301067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2.0153376485268049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5.1492136647102106E-13</v>
      </c>
      <c r="AX128" s="23">
        <f t="shared" si="60"/>
        <v>2.0153376485273196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310.95287409903602</v>
      </c>
      <c r="T129" s="62">
        <f t="shared" si="88"/>
        <v>224.10083380795163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287.69656598881124</v>
      </c>
      <c r="AO129" s="62">
        <f t="shared" si="90"/>
        <v>221.9773436301067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1.975818106473783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3.6410439000950234E-13</v>
      </c>
      <c r="AX129" s="23">
        <f t="shared" si="60"/>
        <v>1.9758181064741471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310.95287409903602</v>
      </c>
      <c r="T130" s="62">
        <f t="shared" si="88"/>
        <v>224.10083380795163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287.69656598881124</v>
      </c>
      <c r="AO130" s="62">
        <f t="shared" si="90"/>
        <v>221.9773436301067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1.9370735185358803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2.5746068323551053E-13</v>
      </c>
      <c r="AX130" s="23">
        <f t="shared" si="60"/>
        <v>1.9370735185361379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310.95287409903602</v>
      </c>
      <c r="T131" s="62">
        <f t="shared" si="88"/>
        <v>224.10083380795163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287.69656598881124</v>
      </c>
      <c r="AO131" s="62">
        <f t="shared" si="90"/>
        <v>221.9773436301067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1.8990886883355746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1.8205219500475117E-13</v>
      </c>
      <c r="AX131" s="23">
        <f t="shared" si="60"/>
        <v>1.8990886883357567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310.95287409903602</v>
      </c>
      <c r="T132" s="62">
        <f t="shared" si="88"/>
        <v>224.10083380795163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287.69656598881124</v>
      </c>
      <c r="AO132" s="62">
        <f t="shared" si="90"/>
        <v>221.9773436301067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1.8618487174870384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1.2873034161775526E-13</v>
      </c>
      <c r="AX132" s="23">
        <f t="shared" ref="AX132:AX153" si="114">SUM(AU132:AW132)</f>
        <v>1.8618487174871672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310.95287409903602</v>
      </c>
      <c r="T133" s="62">
        <f t="shared" ref="T133:T196" si="142">$T$3</f>
        <v>224.10083380795163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287.69656598881124</v>
      </c>
      <c r="AO133" s="62">
        <f t="shared" ref="AO133:AO196" si="144">$AO$3</f>
        <v>221.9773436301067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1.8253389997527025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9.1026097502375585E-14</v>
      </c>
      <c r="AX133" s="23">
        <f t="shared" si="114"/>
        <v>1.8253389997527936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310.95287409903602</v>
      </c>
      <c r="T134" s="62">
        <f t="shared" si="142"/>
        <v>224.10083380795163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287.69656598881124</v>
      </c>
      <c r="AO134" s="62">
        <f t="shared" si="144"/>
        <v>221.9773436301067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1.789545215314408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6.4365170808877632E-14</v>
      </c>
      <c r="AX134" s="23">
        <f t="shared" si="114"/>
        <v>1.7895452153144724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310.95287409903602</v>
      </c>
      <c r="T135" s="62">
        <f t="shared" si="142"/>
        <v>224.10083380795163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287.69656598881124</v>
      </c>
      <c r="AO135" s="62">
        <f t="shared" si="144"/>
        <v>221.9773436301067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1.7544533251568957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4.5513048751187793E-14</v>
      </c>
      <c r="AX135" s="23">
        <f t="shared" si="114"/>
        <v>1.7544533251569412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310.95287409903602</v>
      </c>
      <c r="T136" s="62">
        <f t="shared" si="142"/>
        <v>224.10083380795163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287.69656598881124</v>
      </c>
      <c r="AO136" s="62">
        <f t="shared" si="144"/>
        <v>221.9773436301067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1.7200495655614325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3.2182585404438816E-14</v>
      </c>
      <c r="AX136" s="23">
        <f t="shared" si="114"/>
        <v>1.7200495655614647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310.95287409903602</v>
      </c>
      <c r="T137" s="62">
        <f t="shared" si="142"/>
        <v>224.10083380795163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287.69656598881124</v>
      </c>
      <c r="AO137" s="62">
        <f t="shared" si="144"/>
        <v>221.9773436301067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1.6863204427074152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2.2756524375593896E-14</v>
      </c>
      <c r="AX137" s="23">
        <f t="shared" si="114"/>
        <v>1.6863204427074379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310.95287409903602</v>
      </c>
      <c r="T138" s="62">
        <f t="shared" si="142"/>
        <v>224.10083380795163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287.69656598881124</v>
      </c>
      <c r="AO138" s="62">
        <f t="shared" si="144"/>
        <v>221.9773436301067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1.6532527273798316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1.6091292702219408E-14</v>
      </c>
      <c r="AX138" s="23">
        <f t="shared" si="114"/>
        <v>1.6532527273798476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310.95287409903602</v>
      </c>
      <c r="T139" s="62">
        <f t="shared" si="142"/>
        <v>224.10083380795163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287.69656598881124</v>
      </c>
      <c r="AO139" s="62">
        <f t="shared" si="144"/>
        <v>221.9773436301067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1.620833449780507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1.1378262187796948E-14</v>
      </c>
      <c r="AX139" s="23">
        <f t="shared" si="114"/>
        <v>1.6208334497805184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310.95287409903602</v>
      </c>
      <c r="T140" s="62">
        <f t="shared" si="142"/>
        <v>224.10083380795163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287.69656598881124</v>
      </c>
      <c r="AO140" s="62">
        <f t="shared" si="144"/>
        <v>221.9773436301067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1.5890498944410985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8.045646351109704E-15</v>
      </c>
      <c r="AX140" s="23">
        <f t="shared" si="114"/>
        <v>1.5890498944411064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310.95287409903602</v>
      </c>
      <c r="T141" s="62">
        <f t="shared" si="142"/>
        <v>224.10083380795163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287.69656598881124</v>
      </c>
      <c r="AO141" s="62">
        <f t="shared" si="144"/>
        <v>221.9773436301067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1.5578895952358411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5.6891310938984741E-15</v>
      </c>
      <c r="AX141" s="23">
        <f t="shared" si="114"/>
        <v>1.5578895952358469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310.95287409903602</v>
      </c>
      <c r="T142" s="62">
        <f t="shared" si="142"/>
        <v>224.10083380795163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287.69656598881124</v>
      </c>
      <c r="AO142" s="62">
        <f t="shared" si="144"/>
        <v>221.9773436301067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1.5273403304920932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4.022823175554852E-15</v>
      </c>
      <c r="AX142" s="23">
        <f t="shared" si="114"/>
        <v>1.5273403304920972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310.95287409903602</v>
      </c>
      <c r="T143" s="62">
        <f t="shared" si="142"/>
        <v>224.10083380795163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287.69656598881124</v>
      </c>
      <c r="AO143" s="62">
        <f t="shared" si="144"/>
        <v>221.9773436301067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1.4973901181967584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2.844565546949237E-15</v>
      </c>
      <c r="AX143" s="23">
        <f t="shared" si="114"/>
        <v>1.4973901181967613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310.95287409903602</v>
      </c>
      <c r="T144" s="62">
        <f t="shared" si="142"/>
        <v>224.10083380795163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287.69656598881124</v>
      </c>
      <c r="AO144" s="62">
        <f t="shared" si="144"/>
        <v>221.9773436301067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1.4680272112967094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2.011411587777426E-15</v>
      </c>
      <c r="AX144" s="23">
        <f t="shared" si="114"/>
        <v>1.4680272112967114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310.95287409903602</v>
      </c>
      <c r="T145" s="62">
        <f t="shared" si="142"/>
        <v>224.10083380795163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287.69656598881124</v>
      </c>
      <c r="AO145" s="62">
        <f t="shared" si="144"/>
        <v>221.9773436301067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1.4392400930913656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1.4222827734746185E-15</v>
      </c>
      <c r="AX145" s="23">
        <f t="shared" si="114"/>
        <v>1.4392400930913669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310.95287409903602</v>
      </c>
      <c r="T146" s="62">
        <f t="shared" si="142"/>
        <v>224.10083380795163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287.69656598881124</v>
      </c>
      <c r="AO146" s="62">
        <f t="shared" si="144"/>
        <v>221.9773436301067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1.4110174727156202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1.005705793888713E-15</v>
      </c>
      <c r="AX146" s="23">
        <f t="shared" si="114"/>
        <v>1.4110174727156213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310.95287409903602</v>
      </c>
      <c r="T147" s="62">
        <f t="shared" si="142"/>
        <v>224.10083380795163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287.69656598881124</v>
      </c>
      <c r="AO147" s="62">
        <f t="shared" si="144"/>
        <v>221.9773436301067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1.3833482807113444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7.1114138673730926E-16</v>
      </c>
      <c r="AX147" s="23">
        <f t="shared" si="114"/>
        <v>1.3833482807113451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310.95287409903602</v>
      </c>
      <c r="T148" s="62">
        <f t="shared" si="142"/>
        <v>224.10083380795163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287.69656598881124</v>
      </c>
      <c r="AO148" s="62">
        <f t="shared" si="144"/>
        <v>221.9773436301067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1.3562216646857319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5.028528969443565E-16</v>
      </c>
      <c r="AX148" s="23">
        <f t="shared" si="114"/>
        <v>1.3562216646857324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310.95287409903602</v>
      </c>
      <c r="T149" s="62">
        <f t="shared" si="142"/>
        <v>224.10083380795163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287.69656598881124</v>
      </c>
      <c r="AO149" s="62">
        <f t="shared" si="144"/>
        <v>221.9773436301067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1.3296269850547797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3.5557069336865463E-16</v>
      </c>
      <c r="AX149" s="23">
        <f t="shared" si="114"/>
        <v>1.3296269850547802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310.95287409903602</v>
      </c>
      <c r="T150" s="62">
        <f t="shared" si="142"/>
        <v>224.10083380795163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287.69656598881124</v>
      </c>
      <c r="AO150" s="62">
        <f t="shared" si="144"/>
        <v>221.9773436301067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1.3035538108702376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2.5142644847217825E-16</v>
      </c>
      <c r="AX150" s="23">
        <f t="shared" si="114"/>
        <v>1.3035538108702378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310.95287409903602</v>
      </c>
      <c r="T151" s="62">
        <f t="shared" si="142"/>
        <v>224.10083380795163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287.69656598881124</v>
      </c>
      <c r="AO151" s="62">
        <f t="shared" si="144"/>
        <v>221.9773436301067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1.2779919157283883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1.7778534668432732E-16</v>
      </c>
      <c r="AX151" s="23">
        <f t="shared" si="114"/>
        <v>1.2779919157283886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310.95287409903602</v>
      </c>
      <c r="T152" s="62">
        <f t="shared" si="142"/>
        <v>224.10083380795163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287.69656598881124</v>
      </c>
      <c r="AO152" s="62">
        <f t="shared" si="144"/>
        <v>221.9773436301067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1.2529312737590541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1.2571322423608913E-16</v>
      </c>
      <c r="AX152" s="23">
        <f t="shared" si="114"/>
        <v>1.2529312737590543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310.95287409903602</v>
      </c>
      <c r="T153" s="62">
        <f t="shared" si="142"/>
        <v>224.10083380795163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287.69656598881124</v>
      </c>
      <c r="AO153" s="62">
        <f t="shared" si="144"/>
        <v>221.9773436301067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1.2283620556932564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8.8892673342163658E-17</v>
      </c>
      <c r="AX153" s="23">
        <f t="shared" si="114"/>
        <v>1.2283620556932564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310.95287409903602</v>
      </c>
      <c r="T154" s="62">
        <f t="shared" si="142"/>
        <v>224.10083380795163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287.69656598881124</v>
      </c>
      <c r="AO154" s="62">
        <f t="shared" si="144"/>
        <v>221.9773436301067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1.2042746250079857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6.2856612118044563E-17</v>
      </c>
      <c r="AX154" s="23">
        <f t="shared" ref="AX154:AX203" si="166">SUM(AU154:AW154)</f>
        <v>1.2042746250079857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310.95287409903602</v>
      </c>
      <c r="T155" s="62">
        <f t="shared" si="142"/>
        <v>224.10083380795163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287.69656598881124</v>
      </c>
      <c r="AO155" s="62">
        <f t="shared" si="144"/>
        <v>221.9773436301067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1.1806595341465711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4.4446336671081829E-17</v>
      </c>
      <c r="AX155" s="23">
        <f t="shared" si="166"/>
        <v>1.1806595341465711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310.95287409903602</v>
      </c>
      <c r="T156" s="62">
        <f t="shared" si="142"/>
        <v>224.10083380795163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287.69656598881124</v>
      </c>
      <c r="AO156" s="62">
        <f t="shared" si="144"/>
        <v>221.9773436301067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1.1575075208131655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3.1428306059022281E-17</v>
      </c>
      <c r="AX156" s="23">
        <f t="shared" si="166"/>
        <v>1.1575075208131655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310.95287409903602</v>
      </c>
      <c r="T157" s="62">
        <f t="shared" si="142"/>
        <v>224.10083380795163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287.69656598881124</v>
      </c>
      <c r="AO157" s="62">
        <f t="shared" si="144"/>
        <v>221.9773436301067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1.1348095043398945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2.2223168335540914E-17</v>
      </c>
      <c r="AX157" s="23">
        <f t="shared" si="166"/>
        <v>1.1348095043398945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310.95287409903602</v>
      </c>
      <c r="T158" s="62">
        <f t="shared" si="142"/>
        <v>224.10083380795163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287.69656598881124</v>
      </c>
      <c r="AO158" s="62">
        <f t="shared" si="144"/>
        <v>221.9773436301067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1.1125565821252412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1.5714153029511141E-17</v>
      </c>
      <c r="AX158" s="23">
        <f t="shared" si="166"/>
        <v>1.1125565821252412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310.95287409903602</v>
      </c>
      <c r="T159" s="62">
        <f t="shared" si="142"/>
        <v>224.10083380795163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287.69656598881124</v>
      </c>
      <c r="AO159" s="62">
        <f t="shared" si="144"/>
        <v>221.9773436301067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1.0907400261422748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1.1111584167770457E-17</v>
      </c>
      <c r="AX159" s="23">
        <f t="shared" si="166"/>
        <v>1.0907400261422748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310.95287409903602</v>
      </c>
      <c r="T160" s="62">
        <f t="shared" si="142"/>
        <v>224.10083380795163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287.69656598881124</v>
      </c>
      <c r="AO160" s="62">
        <f t="shared" si="144"/>
        <v>221.9773436301067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1.0693512795153493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7.8570765147555703E-18</v>
      </c>
      <c r="AX160" s="23">
        <f t="shared" si="166"/>
        <v>1.0693512795153493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310.95287409903602</v>
      </c>
      <c r="T161" s="62">
        <f t="shared" si="142"/>
        <v>224.10083380795163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287.69656598881124</v>
      </c>
      <c r="AO161" s="62">
        <f t="shared" si="144"/>
        <v>221.9773436301067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1.0483819531639305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5.5557920838852286E-18</v>
      </c>
      <c r="AX161" s="23">
        <f t="shared" si="166"/>
        <v>1.0483819531639305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310.95287409903602</v>
      </c>
      <c r="T162" s="62">
        <f t="shared" si="142"/>
        <v>224.10083380795163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287.69656598881124</v>
      </c>
      <c r="AO162" s="62">
        <f t="shared" si="144"/>
        <v>221.9773436301067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1.0278238225122367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3.9285382573777852E-18</v>
      </c>
      <c r="AX162" s="23">
        <f t="shared" si="166"/>
        <v>1.0278238225122367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310.95287409903602</v>
      </c>
      <c r="T163" s="62">
        <f t="shared" si="142"/>
        <v>224.10083380795163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287.69656598881124</v>
      </c>
      <c r="AO163" s="62">
        <f t="shared" si="144"/>
        <v>221.9773436301067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1.0076688242634011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2.7778960419426143E-18</v>
      </c>
      <c r="AX163" s="23">
        <f t="shared" si="166"/>
        <v>1.0076688242634011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310.95287409903602</v>
      </c>
      <c r="T164" s="62">
        <f t="shared" si="142"/>
        <v>224.10083380795163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287.69656598881124</v>
      </c>
      <c r="AO164" s="62">
        <f t="shared" si="144"/>
        <v>221.9773436301067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0.98790905323689016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1.9642691286888926E-18</v>
      </c>
      <c r="AX164" s="23">
        <f t="shared" si="166"/>
        <v>0.98790905323689016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310.95287409903602</v>
      </c>
      <c r="T165" s="62">
        <f t="shared" si="142"/>
        <v>224.10083380795163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287.69656598881124</v>
      </c>
      <c r="AO165" s="62">
        <f t="shared" si="144"/>
        <v>221.9773436301067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0.96853675926793881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1.3889480209713072E-18</v>
      </c>
      <c r="AX165" s="23">
        <f t="shared" si="166"/>
        <v>0.96853675926793881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310.95287409903602</v>
      </c>
      <c r="T166" s="62">
        <f t="shared" si="142"/>
        <v>224.10083380795163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287.69656598881124</v>
      </c>
      <c r="AO166" s="62">
        <f t="shared" si="144"/>
        <v>221.9773436301067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0.9495443441677861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9.8213456434444629E-19</v>
      </c>
      <c r="AX166" s="23">
        <f t="shared" si="166"/>
        <v>0.9495443441677861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310.95287409903602</v>
      </c>
      <c r="T167" s="62">
        <f t="shared" si="142"/>
        <v>224.10083380795163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287.69656598881124</v>
      </c>
      <c r="AO167" s="62">
        <f t="shared" si="144"/>
        <v>221.9773436301067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0.93092435874351798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6.9447401048565358E-19</v>
      </c>
      <c r="AX167" s="23">
        <f t="shared" si="166"/>
        <v>0.93092435874351798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310.95287409903602</v>
      </c>
      <c r="T168" s="62">
        <f t="shared" si="142"/>
        <v>224.10083380795163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287.69656598881124</v>
      </c>
      <c r="AO168" s="62">
        <f t="shared" si="144"/>
        <v>221.9773436301067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0.91266949987635004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4.9106728217222314E-19</v>
      </c>
      <c r="AX168" s="23">
        <f t="shared" si="166"/>
        <v>0.91266949987635004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310.95287409903602</v>
      </c>
      <c r="T169" s="62">
        <f t="shared" si="142"/>
        <v>224.10083380795163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287.69656598881124</v>
      </c>
      <c r="AO169" s="62">
        <f t="shared" si="144"/>
        <v>221.9773436301067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0.89477260765720279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3.4723700524282679E-19</v>
      </c>
      <c r="AX169" s="23">
        <f t="shared" si="166"/>
        <v>0.89477260765720279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310.95287409903602</v>
      </c>
      <c r="T170" s="62">
        <f t="shared" si="142"/>
        <v>224.10083380795163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287.69656598881124</v>
      </c>
      <c r="AO170" s="62">
        <f t="shared" si="144"/>
        <v>221.9773436301067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0.87722666257844661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2.4553364108611157E-19</v>
      </c>
      <c r="AX170" s="23">
        <f t="shared" si="166"/>
        <v>0.87722666257844661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310.95287409903602</v>
      </c>
      <c r="T171" s="62">
        <f t="shared" si="142"/>
        <v>224.10083380795163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287.69656598881124</v>
      </c>
      <c r="AO171" s="62">
        <f t="shared" si="144"/>
        <v>221.9773436301067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0.86002478278071515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1.7361850262141339E-19</v>
      </c>
      <c r="AX171" s="23">
        <f t="shared" si="166"/>
        <v>0.86002478278071515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310.95287409903602</v>
      </c>
      <c r="T172" s="62">
        <f t="shared" si="142"/>
        <v>224.10083380795163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287.69656598881124</v>
      </c>
      <c r="AO172" s="62">
        <f t="shared" si="144"/>
        <v>221.9773436301067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0.8431602213537065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1.2276682054305579E-19</v>
      </c>
      <c r="AX172" s="23">
        <f t="shared" si="166"/>
        <v>0.8431602213537065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310.95287409903602</v>
      </c>
      <c r="T173" s="62">
        <f t="shared" si="142"/>
        <v>224.10083380795163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287.69656598881124</v>
      </c>
      <c r="AO173" s="62">
        <f t="shared" si="144"/>
        <v>221.9773436301067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0.82662636368991471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8.6809251310706697E-20</v>
      </c>
      <c r="AX173" s="23">
        <f t="shared" si="166"/>
        <v>0.82662636368991471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310.95287409903602</v>
      </c>
      <c r="T174" s="62">
        <f t="shared" si="142"/>
        <v>224.10083380795163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287.69656598881124</v>
      </c>
      <c r="AO174" s="62">
        <f t="shared" si="144"/>
        <v>221.9773436301067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0.81041672489025252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6.1383410271527893E-20</v>
      </c>
      <c r="AX174" s="23">
        <f t="shared" si="166"/>
        <v>0.81041672489025252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310.95287409903602</v>
      </c>
      <c r="T175" s="62">
        <f t="shared" si="142"/>
        <v>224.10083380795163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287.69656598881124</v>
      </c>
      <c r="AO175" s="62">
        <f t="shared" si="144"/>
        <v>221.9773436301067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0.79452494722054823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4.3404625655353348E-20</v>
      </c>
      <c r="AX175" s="23">
        <f t="shared" si="166"/>
        <v>0.79452494722054823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310.95287409903602</v>
      </c>
      <c r="T176" s="62">
        <f t="shared" si="142"/>
        <v>224.10083380795163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287.69656598881124</v>
      </c>
      <c r="AO176" s="62">
        <f t="shared" si="144"/>
        <v>221.9773436301067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0.77894479761791957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3.0691705135763947E-20</v>
      </c>
      <c r="AX176" s="23">
        <f t="shared" si="166"/>
        <v>0.77894479761791957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310.95287409903602</v>
      </c>
      <c r="T177" s="62">
        <f t="shared" si="142"/>
        <v>224.10083380795163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287.69656598881124</v>
      </c>
      <c r="AO177" s="62">
        <f t="shared" si="144"/>
        <v>221.9773436301067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0.76367016524604558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2.1702312827676674E-20</v>
      </c>
      <c r="AX177" s="23">
        <f t="shared" si="166"/>
        <v>0.76367016524604558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310.95287409903602</v>
      </c>
      <c r="T178" s="62">
        <f t="shared" si="142"/>
        <v>224.10083380795163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287.69656598881124</v>
      </c>
      <c r="AO178" s="62">
        <f t="shared" si="144"/>
        <v>221.9773436301067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0.74869505909837819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1.5345852567881973E-20</v>
      </c>
      <c r="AX178" s="23">
        <f t="shared" si="166"/>
        <v>0.74869505909837819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310.95287409903602</v>
      </c>
      <c r="T179" s="62">
        <f t="shared" si="142"/>
        <v>224.10083380795163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287.69656598881124</v>
      </c>
      <c r="AO179" s="62">
        <f t="shared" si="144"/>
        <v>221.9773436301067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0.73401360564835372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1.0851156413838337E-20</v>
      </c>
      <c r="AX179" s="23">
        <f t="shared" si="166"/>
        <v>0.73401360564835372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310.95287409903602</v>
      </c>
      <c r="T180" s="62">
        <f t="shared" si="142"/>
        <v>224.10083380795163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287.69656598881124</v>
      </c>
      <c r="AO180" s="62">
        <f t="shared" si="144"/>
        <v>221.9773436301067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0.71962004654568179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7.6729262839409866E-21</v>
      </c>
      <c r="AX180" s="23">
        <f t="shared" si="166"/>
        <v>0.71962004654568179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310.95287409903602</v>
      </c>
      <c r="T181" s="62">
        <f t="shared" si="142"/>
        <v>224.10083380795163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287.69656598881124</v>
      </c>
      <c r="AO181" s="62">
        <f t="shared" si="144"/>
        <v>221.9773436301067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0.70550873635780909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5.4255782069191686E-21</v>
      </c>
      <c r="AX181" s="23">
        <f t="shared" si="166"/>
        <v>0.70550873635780909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310.95287409903602</v>
      </c>
      <c r="T182" s="62">
        <f t="shared" si="142"/>
        <v>224.10083380795163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287.69656598881124</v>
      </c>
      <c r="AO182" s="62">
        <f t="shared" si="144"/>
        <v>221.9773436301067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0.69167414035567132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3.8364631419704933E-21</v>
      </c>
      <c r="AX182" s="23">
        <f t="shared" si="166"/>
        <v>0.69167414035567132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310.95287409903602</v>
      </c>
      <c r="T183" s="62">
        <f t="shared" si="142"/>
        <v>224.10083380795163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287.69656598881124</v>
      </c>
      <c r="AO183" s="62">
        <f t="shared" si="144"/>
        <v>221.9773436301067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0.67811083234286507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2.7127891034595843E-21</v>
      </c>
      <c r="AX183" s="23">
        <f t="shared" si="166"/>
        <v>0.67811083234286507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310.95287409903602</v>
      </c>
      <c r="T184" s="62">
        <f t="shared" si="142"/>
        <v>224.10083380795163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287.69656598881124</v>
      </c>
      <c r="AO184" s="62">
        <f t="shared" si="144"/>
        <v>221.9773436301067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0.66481349252738897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1.9182315709852467E-21</v>
      </c>
      <c r="AX184" s="23">
        <f t="shared" si="166"/>
        <v>0.66481349252738897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310.95287409903602</v>
      </c>
      <c r="T185" s="62">
        <f t="shared" si="142"/>
        <v>224.10083380795163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287.69656598881124</v>
      </c>
      <c r="AO185" s="62">
        <f t="shared" si="144"/>
        <v>221.9773436301067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0.6517769054351179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1.3563945517297921E-21</v>
      </c>
      <c r="AX185" s="23">
        <f t="shared" si="166"/>
        <v>0.6517769054351179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310.95287409903602</v>
      </c>
      <c r="T186" s="62">
        <f t="shared" si="142"/>
        <v>224.10083380795163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287.69656598881124</v>
      </c>
      <c r="AO186" s="62">
        <f t="shared" si="144"/>
        <v>221.9773436301067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0.63899595786419328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9.5911578549262333E-22</v>
      </c>
      <c r="AX186" s="23">
        <f t="shared" si="166"/>
        <v>0.63899595786419328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310.95287409903602</v>
      </c>
      <c r="T187" s="62">
        <f t="shared" si="142"/>
        <v>224.10083380795163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287.69656598881124</v>
      </c>
      <c r="AO187" s="62">
        <f t="shared" si="144"/>
        <v>221.9773436301067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0.62646563687952617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6.7819727586489607E-22</v>
      </c>
      <c r="AX187" s="23">
        <f t="shared" si="166"/>
        <v>0.62646563687952617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310.95287409903602</v>
      </c>
      <c r="T188" s="62">
        <f t="shared" si="142"/>
        <v>224.10083380795163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287.69656598881124</v>
      </c>
      <c r="AO188" s="62">
        <f t="shared" si="144"/>
        <v>221.9773436301067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0.61418102784662731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4.7955789274631166E-22</v>
      </c>
      <c r="AX188" s="23">
        <f t="shared" si="166"/>
        <v>0.61418102784662731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310.95287409903602</v>
      </c>
      <c r="T189" s="62">
        <f t="shared" si="142"/>
        <v>224.10083380795163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287.69656598881124</v>
      </c>
      <c r="AO189" s="62">
        <f t="shared" si="144"/>
        <v>221.9773436301067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0.60213731250399194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3.3909863793244803E-22</v>
      </c>
      <c r="AX189" s="23">
        <f t="shared" si="166"/>
        <v>0.60213731250399194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310.95287409903602</v>
      </c>
      <c r="T190" s="62">
        <f t="shared" si="142"/>
        <v>224.10083380795163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287.69656598881124</v>
      </c>
      <c r="AO190" s="62">
        <f t="shared" si="144"/>
        <v>221.9773436301067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0.59032976707328466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2.3977894637315583E-22</v>
      </c>
      <c r="AX190" s="23">
        <f t="shared" si="166"/>
        <v>0.59032976707328466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310.95287409903602</v>
      </c>
      <c r="T191" s="62">
        <f t="shared" si="142"/>
        <v>224.10083380795163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287.69656598881124</v>
      </c>
      <c r="AO191" s="62">
        <f t="shared" si="144"/>
        <v>221.9773436301067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0.57875376040658189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1.6954931896622402E-22</v>
      </c>
      <c r="AX191" s="23">
        <f t="shared" si="166"/>
        <v>0.57875376040658189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310.95287409903602</v>
      </c>
      <c r="T192" s="62">
        <f t="shared" si="142"/>
        <v>224.10083380795163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287.69656598881124</v>
      </c>
      <c r="AO192" s="62">
        <f t="shared" si="144"/>
        <v>221.9773436301067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0.56740475216994635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1.1988947318657792E-22</v>
      </c>
      <c r="AX192" s="23">
        <f t="shared" si="166"/>
        <v>0.56740475216994635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310.95287409903602</v>
      </c>
      <c r="T193" s="62">
        <f t="shared" si="142"/>
        <v>224.10083380795163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287.69656598881124</v>
      </c>
      <c r="AO193" s="62">
        <f t="shared" si="144"/>
        <v>221.9773436301067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0.55627829106261972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8.4774659483112009E-23</v>
      </c>
      <c r="AX193" s="23">
        <f t="shared" si="166"/>
        <v>0.55627829106261972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310.95287409903602</v>
      </c>
      <c r="T194" s="62">
        <f t="shared" si="142"/>
        <v>224.10083380795163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287.69656598881124</v>
      </c>
      <c r="AO194" s="62">
        <f t="shared" si="144"/>
        <v>221.9773436301067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0.54537001307113653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5.9944736593288958E-23</v>
      </c>
      <c r="AX194" s="23">
        <f t="shared" si="166"/>
        <v>0.54537001307113653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310.95287409903602</v>
      </c>
      <c r="T195" s="62">
        <f t="shared" si="142"/>
        <v>224.10083380795163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287.69656598881124</v>
      </c>
      <c r="AO195" s="62">
        <f t="shared" si="144"/>
        <v>221.9773436301067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0.53467563975767374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4.2387329741556004E-23</v>
      </c>
      <c r="AX195" s="23">
        <f t="shared" si="166"/>
        <v>0.53467563975767374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310.95287409903602</v>
      </c>
      <c r="T196" s="62">
        <f t="shared" si="142"/>
        <v>224.10083380795163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287.69656598881124</v>
      </c>
      <c r="AO196" s="62">
        <f t="shared" si="144"/>
        <v>221.9773436301067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0.52419097658196434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2.9972368296644479E-23</v>
      </c>
      <c r="AX196" s="23">
        <f t="shared" si="166"/>
        <v>0.52419097658196434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310.95287409903602</v>
      </c>
      <c r="T197" s="62">
        <f t="shared" ref="T197:T203" si="204">$T$3</f>
        <v>224.10083380795163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287.69656598881124</v>
      </c>
      <c r="AO197" s="62">
        <f t="shared" ref="AO197:AO203" si="205">$AO$3</f>
        <v>221.9773436301067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0.51391191125611757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2.1193664870778002E-23</v>
      </c>
      <c r="AX197" s="23">
        <f t="shared" si="166"/>
        <v>0.51391191125611757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310.95287409903602</v>
      </c>
      <c r="T198" s="62">
        <f t="shared" si="204"/>
        <v>224.10083380795163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287.69656598881124</v>
      </c>
      <c r="AO198" s="62">
        <f t="shared" si="205"/>
        <v>221.9773436301067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0.50383441213169988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1.498618414832224E-23</v>
      </c>
      <c r="AX198" s="23">
        <f t="shared" si="166"/>
        <v>0.50383441213169988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310.95287409903602</v>
      </c>
      <c r="T199" s="62">
        <f t="shared" si="204"/>
        <v>224.10083380795163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287.69656598881124</v>
      </c>
      <c r="AO199" s="62">
        <f t="shared" si="205"/>
        <v>221.9773436301067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0.49395452661844447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1.0596832435389001E-23</v>
      </c>
      <c r="AX199" s="23">
        <f t="shared" si="166"/>
        <v>0.49395452661844447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310.95287409903602</v>
      </c>
      <c r="T200" s="62">
        <f t="shared" si="204"/>
        <v>224.10083380795163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287.69656598881124</v>
      </c>
      <c r="AO200" s="62">
        <f t="shared" si="205"/>
        <v>221.9773436301067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0.48426837963396885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7.4930920741611198E-24</v>
      </c>
      <c r="AX200" s="23">
        <f t="shared" si="166"/>
        <v>0.48426837963396885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310.95287409903602</v>
      </c>
      <c r="T201" s="62">
        <f t="shared" si="204"/>
        <v>224.10083380795163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287.69656598881124</v>
      </c>
      <c r="AO201" s="62">
        <f t="shared" si="205"/>
        <v>221.9773436301067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0.4747721720838925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5.2984162176945005E-24</v>
      </c>
      <c r="AX201" s="23">
        <f t="shared" si="166"/>
        <v>0.4747721720838925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310.95287409903602</v>
      </c>
      <c r="T202" s="62">
        <f t="shared" si="204"/>
        <v>224.10083380795163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287.69656598881124</v>
      </c>
      <c r="AO202" s="62">
        <f t="shared" si="205"/>
        <v>221.9773436301067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0.46546217937175843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3.7465460370805599E-24</v>
      </c>
      <c r="AX202" s="23">
        <f t="shared" si="166"/>
        <v>0.46546217937175843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310.95287409903602</v>
      </c>
      <c r="T203" s="62">
        <f t="shared" si="204"/>
        <v>224.10083380795163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287.69656598881124</v>
      </c>
      <c r="AO203" s="62">
        <f t="shared" si="205"/>
        <v>221.9773436301067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0.45633474993817447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2.6492081088472503E-24</v>
      </c>
      <c r="AX203" s="23">
        <f t="shared" si="166"/>
        <v>0.45633474993817447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1.244502252163008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0.85</v>
      </c>
      <c r="C6" s="156">
        <f ca="1">IF(OR('Données projet'!B9="",'Données projet'!C9="",'Données projet'!C9=0%),0,Calculateur!S3)</f>
        <v>310.95287409903602</v>
      </c>
      <c r="D6" s="156">
        <f>IF(OR('Données projet'!B9="",'Données projet'!C9="",'Données projet'!C9=0%),0,Calculateur!T3)</f>
        <v>224.10083380795163</v>
      </c>
      <c r="E6" s="156">
        <f ca="1">MIN(C6,D6)</f>
        <v>224.10083380795163</v>
      </c>
      <c r="F6" s="156">
        <f ca="1">E6*B6</f>
        <v>190.48570873675888</v>
      </c>
      <c r="G6" s="156">
        <f ca="1">F6*(100%-'Données projet'!$C$24)*(100%-'Données projet'!$C$25)*(100%-'Données projet'!$C$26)*(100%-'Données projet'!$C$27)</f>
        <v>145.72156718362055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145.72156718362055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laricio</v>
      </c>
      <c r="B7" s="163">
        <f>'Données projet'!D10</f>
        <v>0.85</v>
      </c>
      <c r="C7" s="156">
        <f ca="1">IF(OR('Données projet'!B10="",'Données projet'!C10="",'Données projet'!C10=0%),0,Calculateur!AN3)</f>
        <v>287.69656598881124</v>
      </c>
      <c r="D7" s="156">
        <f>IF(OR('Données projet'!B10="",'Données projet'!C10="",'Données projet'!C10=0%),0,Calculateur!AO3)</f>
        <v>221.9773436301067</v>
      </c>
      <c r="E7" s="156">
        <f t="shared" ref="E7:E15" ca="1" si="0">MIN(C7,D7)</f>
        <v>221.9773436301067</v>
      </c>
      <c r="F7" s="156">
        <f t="shared" ref="F7:F15" ca="1" si="1">E7*B7</f>
        <v>188.68074208559068</v>
      </c>
      <c r="G7" s="156">
        <f ca="1">F7*(100%-'Données projet'!$C$24)*(100%-'Données projet'!$C$25)*(100%-'Données projet'!$C$26)*(100%-'Données projet'!$C$27)</f>
        <v>144.34076769547687</v>
      </c>
      <c r="H7" s="164">
        <f>IF(OR('Données projet'!B10="",'Données projet'!C10="",'Données projet'!C10=0%),0,AVERAGE(Calculateur!$AX$3:$AX$33)*B7)</f>
        <v>2.4255986910377034</v>
      </c>
      <c r="I7" s="158">
        <f>H7*(100%-'Données projet'!$C$24)*(100%-'Données projet'!$C$25)*(100%-'Données projet'!$C$26)*(100%-'Données projet'!$C$27)</f>
        <v>1.8555829986438432</v>
      </c>
      <c r="J7" s="159">
        <f>IF(OR('Données projet'!B10="",'Données projet'!C10="",'Données projet'!C10=0%),0,SUM(Calculateur!$AQ$3:$AQ$33)*VLOOKUP('Données projet'!$B$10,Paramètres!$A$1:$I$89,9,0)*B7)</f>
        <v>24.488499999999998</v>
      </c>
      <c r="K7" s="160">
        <f>J7*(100%-'Données projet'!$C$24)*(100%-'Données projet'!$C$25)*(100%-'Données projet'!$C$26)*(100%-'Données projet'!$C$27)</f>
        <v>18.7337025</v>
      </c>
      <c r="L7" s="161">
        <f t="shared" ref="L7:L15" ca="1" si="2">G7+I7+K7</f>
        <v>164.93005319412072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379.16645082234959</v>
      </c>
      <c r="G16" s="175">
        <f t="shared" ca="1" si="3"/>
        <v>290.06233487909742</v>
      </c>
      <c r="H16" s="176">
        <f t="shared" si="3"/>
        <v>2.4255986910377034</v>
      </c>
      <c r="I16" s="176">
        <f t="shared" si="3"/>
        <v>1.8555829986438432</v>
      </c>
      <c r="J16" s="177">
        <f t="shared" si="3"/>
        <v>24.488499999999998</v>
      </c>
      <c r="K16" s="177">
        <f t="shared" si="3"/>
        <v>18.7337025</v>
      </c>
      <c r="L16" s="178">
        <f t="shared" ca="1" si="3"/>
        <v>310.65162037774127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90" zoomScaleNormal="90" workbookViewId="0">
      <selection activeCell="P19" sqref="P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1685.2755715400876</v>
      </c>
      <c r="U10" s="190">
        <f>'Données projet'!D9</f>
        <v>0.85</v>
      </c>
      <c r="V10" s="189">
        <f>U10*T10</f>
        <v>1432.4842358090746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1749.0940696790558</v>
      </c>
      <c r="U11" s="190">
        <f>'Données projet'!D10</f>
        <v>0.85</v>
      </c>
      <c r="V11" s="189">
        <f t="shared" ref="V11" si="0">U11*T11</f>
        <v>1486.7299592271975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80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80.000000000000156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3200.0000000000064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5052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1391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700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-9021.7752603333392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160.80356172136609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88</v>
      </c>
      <c r="C25" s="206">
        <v>15</v>
      </c>
      <c r="D25" s="194">
        <f t="shared" si="2"/>
        <v>1320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-9182.5788220547056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102</v>
      </c>
      <c r="C27" s="206">
        <v>32</v>
      </c>
      <c r="D27" s="194">
        <f t="shared" si="2"/>
        <v>3264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113</v>
      </c>
      <c r="C28" s="206">
        <v>45</v>
      </c>
      <c r="D28" s="194">
        <f t="shared" si="2"/>
        <v>5085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124</v>
      </c>
      <c r="C29" s="206">
        <v>58</v>
      </c>
      <c r="D29" s="194">
        <f t="shared" si="2"/>
        <v>7192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135</v>
      </c>
      <c r="C30" s="206">
        <v>62</v>
      </c>
      <c r="D30" s="194">
        <f t="shared" si="2"/>
        <v>8370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723</v>
      </c>
      <c r="C31" s="206">
        <v>70</v>
      </c>
      <c r="D31" s="194">
        <f t="shared" si="2"/>
        <v>50610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22</v>
      </c>
      <c r="B54" s="193">
        <f>'Données projet'!D62</f>
        <v>16</v>
      </c>
      <c r="C54" s="204">
        <v>12</v>
      </c>
      <c r="D54" s="191">
        <f>B54*C54</f>
        <v>192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17</v>
      </c>
      <c r="C55" s="204">
        <v>12</v>
      </c>
      <c r="D55" s="191">
        <f t="shared" ref="D55:D73" si="4">B55*C55</f>
        <v>204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34</v>
      </c>
      <c r="C56" s="204">
        <v>15</v>
      </c>
      <c r="D56" s="191">
        <f t="shared" si="4"/>
        <v>510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41</v>
      </c>
      <c r="C57" s="204">
        <v>17</v>
      </c>
      <c r="D57" s="191">
        <f t="shared" si="4"/>
        <v>697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41</v>
      </c>
      <c r="C58" s="204">
        <v>17</v>
      </c>
      <c r="D58" s="191">
        <f t="shared" si="4"/>
        <v>697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53</v>
      </c>
      <c r="C59" s="204">
        <v>17</v>
      </c>
      <c r="D59" s="191">
        <f t="shared" si="4"/>
        <v>901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53</v>
      </c>
      <c r="C60" s="204">
        <v>20</v>
      </c>
      <c r="D60" s="191">
        <f t="shared" si="4"/>
        <v>1060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58</v>
      </c>
      <c r="B61" s="193">
        <f>'Données projet'!D69</f>
        <v>78</v>
      </c>
      <c r="C61" s="204">
        <v>20</v>
      </c>
      <c r="D61" s="191">
        <f t="shared" si="4"/>
        <v>1560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66</v>
      </c>
      <c r="B62" s="193">
        <f>'Données projet'!D70</f>
        <v>65</v>
      </c>
      <c r="C62" s="204">
        <v>30</v>
      </c>
      <c r="D62" s="191">
        <f t="shared" si="4"/>
        <v>1950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74</v>
      </c>
      <c r="B63" s="193">
        <f>'Données projet'!D71</f>
        <v>37</v>
      </c>
      <c r="C63" s="204">
        <v>35</v>
      </c>
      <c r="D63" s="191">
        <f t="shared" si="4"/>
        <v>1295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82</v>
      </c>
      <c r="B64" s="193">
        <f>'Données projet'!D72</f>
        <v>555</v>
      </c>
      <c r="C64" s="204">
        <v>50</v>
      </c>
      <c r="D64" s="191">
        <f t="shared" si="4"/>
        <v>27750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str">
        <f>IF(O115+1&lt;=MIN('Données projet'!$E$9:$E$18),O115+1,"STOP")</f>
        <v>STOP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2024-04-03T15:09:11Z</dcterms:modified>
</cp:coreProperties>
</file>