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J:\1- LABEL BAS CARBONE\1- PROJETS LBC\P0028 MANO [INDIVISION COCOYNACQ]\Documents LBC\"/>
    </mc:Choice>
  </mc:AlternateContent>
  <xr:revisionPtr revIDLastSave="0" documentId="13_ncr:1_{37E51CD2-086D-49D6-A425-57DB2A17E802}" xr6:coauthVersionLast="47" xr6:coauthVersionMax="47" xr10:uidLastSave="{00000000-0000-0000-0000-000000000000}"/>
  <bookViews>
    <workbookView xWindow="-30828" yWindow="-24" windowWidth="30936" windowHeight="1689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" i="1" l="1"/>
  <c r="D45" i="1"/>
  <c r="B45" i="1"/>
  <c r="B44" i="1"/>
  <c r="B43" i="1"/>
  <c r="B42" i="1"/>
  <c r="B41" i="1"/>
  <c r="B40" i="1"/>
  <c r="B39" i="1"/>
  <c r="B3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EW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X130" i="2"/>
  <c r="EB130" i="2"/>
  <c r="HH130" i="2"/>
  <c r="FS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FS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Y159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A164" i="2"/>
  <c r="EX164" i="2"/>
  <c r="DI163" i="2"/>
  <c r="DH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B178" i="2"/>
  <c r="HG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A185" i="2" l="1"/>
  <c r="EV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G195" i="2" l="1"/>
  <c r="AA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V199" i="2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FS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66" i="2" a="1"/>
  <c r="AH166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65" i="2" l="1" a="1"/>
  <c r="BC65" i="2" s="1"/>
  <c r="AH151" i="2" a="1"/>
  <c r="AH151" i="2" s="1"/>
  <c r="AH90" i="2" a="1"/>
  <c r="AH90" i="2" s="1"/>
  <c r="AH19" i="2" a="1"/>
  <c r="AH19" i="2" s="1"/>
  <c r="AH92" i="2" a="1"/>
  <c r="AH92" i="2" s="1"/>
  <c r="AH163" i="2" a="1"/>
  <c r="AH163" i="2" s="1"/>
  <c r="AH199" i="2" a="1"/>
  <c r="AH199" i="2" s="1"/>
  <c r="BP203" i="2"/>
  <c r="HG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<sst xmlns="http://schemas.openxmlformats.org/spreadsheetml/2006/main" count="1170" uniqueCount="324">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</sst>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quotePrefix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2.1092085567804149</c:v>
                </c:pt>
                <c:pt idx="2">
                  <c:v>2.8690068673716276</c:v>
                </c:pt>
                <c:pt idx="3">
                  <c:v>3.9036654477309445</c:v>
                </c:pt>
                <c:pt idx="4">
                  <c:v>5.3130109258366689</c:v>
                </c:pt>
                <c:pt idx="5">
                  <c:v>7.2332599189088382</c:v>
                </c:pt>
                <c:pt idx="6">
                  <c:v>9.8503295906308832</c:v>
                </c:pt>
                <c:pt idx="7">
                  <c:v>13.418032112102033</c:v>
                </c:pt>
                <c:pt idx="8">
                  <c:v>18.282950136336385</c:v>
                </c:pt>
                <c:pt idx="9">
                  <c:v>24.918453380211091</c:v>
                </c:pt>
                <c:pt idx="10">
                  <c:v>33.971224547806742</c:v>
                </c:pt>
                <c:pt idx="11">
                  <c:v>46.324906967585214</c:v>
                </c:pt>
                <c:pt idx="12">
                  <c:v>63.187191019914216</c:v>
                </c:pt>
                <c:pt idx="13">
                  <c:v>83.488899475540265</c:v>
                </c:pt>
                <c:pt idx="14">
                  <c:v>103.66519566736689</c:v>
                </c:pt>
                <c:pt idx="15">
                  <c:v>123.74409768687555</c:v>
                </c:pt>
                <c:pt idx="16">
                  <c:v>143.74369273961921</c:v>
                </c:pt>
                <c:pt idx="17">
                  <c:v>133.57348387799991</c:v>
                </c:pt>
                <c:pt idx="18">
                  <c:v>155.9773303229338</c:v>
                </c:pt>
                <c:pt idx="19">
                  <c:v>178.30464667323099</c:v>
                </c:pt>
                <c:pt idx="20">
                  <c:v>200.5663743561463</c:v>
                </c:pt>
                <c:pt idx="21">
                  <c:v>182.71012786498821</c:v>
                </c:pt>
                <c:pt idx="22">
                  <c:v>208.44739368904513</c:v>
                </c:pt>
                <c:pt idx="23">
                  <c:v>234.11124817795204</c:v>
                </c:pt>
                <c:pt idx="24">
                  <c:v>259.71087111615634</c:v>
                </c:pt>
                <c:pt idx="25">
                  <c:v>230.08557934702876</c:v>
                </c:pt>
                <c:pt idx="26">
                  <c:v>255.66263432728726</c:v>
                </c:pt>
                <c:pt idx="27">
                  <c:v>281.18178557188253</c:v>
                </c:pt>
                <c:pt idx="28">
                  <c:v>306.64902461461696</c:v>
                </c:pt>
                <c:pt idx="29">
                  <c:v>277.5578261052076</c:v>
                </c:pt>
                <c:pt idx="30">
                  <c:v>301.52746504321459</c:v>
                </c:pt>
                <c:pt idx="31">
                  <c:v>325.45469493676904</c:v>
                </c:pt>
                <c:pt idx="32">
                  <c:v>349.3430700085691</c:v>
                </c:pt>
                <c:pt idx="33">
                  <c:v>373.19561882188344</c:v>
                </c:pt>
                <c:pt idx="34">
                  <c:v>397.0149513522162</c:v>
                </c:pt>
                <c:pt idx="35">
                  <c:v>339.57504464240793</c:v>
                </c:pt>
                <c:pt idx="36">
                  <c:v>358.5310296135292</c:v>
                </c:pt>
                <c:pt idx="37">
                  <c:v>377.46509105219997</c:v>
                </c:pt>
                <c:pt idx="38">
                  <c:v>396.3784829009673</c:v>
                </c:pt>
                <c:pt idx="39">
                  <c:v>415.27232971683731</c:v>
                </c:pt>
                <c:pt idx="40">
                  <c:v>434.14764542220854</c:v>
                </c:pt>
                <c:pt idx="41">
                  <c:v>404.84171743812584</c:v>
                </c:pt>
                <c:pt idx="42">
                  <c:v>418.89627246995241</c:v>
                </c:pt>
                <c:pt idx="43">
                  <c:v>432.94067027087976</c:v>
                </c:pt>
                <c:pt idx="44">
                  <c:v>446.97528670607409</c:v>
                </c:pt>
                <c:pt idx="45">
                  <c:v>461.00047211515522</c:v>
                </c:pt>
                <c:pt idx="46">
                  <c:v>475.01655378575714</c:v>
                </c:pt>
                <c:pt idx="47">
                  <c:v>457.25709576545205</c:v>
                </c:pt>
                <c:pt idx="48">
                  <c:v>466.51918419318849</c:v>
                </c:pt>
                <c:pt idx="49">
                  <c:v>475.77735351010136</c:v>
                </c:pt>
                <c:pt idx="50">
                  <c:v>485.03169075090017</c:v>
                </c:pt>
                <c:pt idx="51">
                  <c:v>494.28227935737868</c:v>
                </c:pt>
                <c:pt idx="52">
                  <c:v>503.52919939265217</c:v>
                </c:pt>
                <c:pt idx="53">
                  <c:v>512.77252773883436</c:v>
                </c:pt>
                <c:pt idx="54">
                  <c:v>522.01233827972089</c:v>
                </c:pt>
                <c:pt idx="55">
                  <c:v>503.82998023383288</c:v>
                </c:pt>
                <c:pt idx="56">
                  <c:v>507.67647479696649</c:v>
                </c:pt>
                <c:pt idx="57">
                  <c:v>511.52235334624737</c:v>
                </c:pt>
                <c:pt idx="58">
                  <c:v>515.3676211703862</c:v>
                </c:pt>
                <c:pt idx="59">
                  <c:v>519.2122834726739</c:v>
                </c:pt>
                <c:pt idx="60">
                  <c:v>523.05634537299545</c:v>
                </c:pt>
                <c:pt idx="61">
                  <c:v>526.89981190978597</c:v>
                </c:pt>
                <c:pt idx="62">
                  <c:v>530.74268804192309</c:v>
                </c:pt>
                <c:pt idx="63">
                  <c:v>6.8067219078872727E-12</c:v>
                </c:pt>
                <c:pt idx="64">
                  <c:v>6.8067219078872727E-12</c:v>
                </c:pt>
                <c:pt idx="65">
                  <c:v>6.8067219078872727E-12</c:v>
                </c:pt>
                <c:pt idx="66">
                  <c:v>6.8067219078872727E-12</c:v>
                </c:pt>
                <c:pt idx="67">
                  <c:v>6.8067219078872727E-12</c:v>
                </c:pt>
                <c:pt idx="68">
                  <c:v>6.8067219078872727E-12</c:v>
                </c:pt>
                <c:pt idx="69">
                  <c:v>6.8067219078872727E-12</c:v>
                </c:pt>
                <c:pt idx="70">
                  <c:v>6.8067219078872727E-12</c:v>
                </c:pt>
                <c:pt idx="71">
                  <c:v>6.8067219078872727E-12</c:v>
                </c:pt>
                <c:pt idx="72">
                  <c:v>6.8067219078872727E-12</c:v>
                </c:pt>
                <c:pt idx="73">
                  <c:v>6.8067219078872727E-12</c:v>
                </c:pt>
                <c:pt idx="74">
                  <c:v>6.8067219078872727E-12</c:v>
                </c:pt>
                <c:pt idx="75">
                  <c:v>6.8067219078872727E-12</c:v>
                </c:pt>
                <c:pt idx="76">
                  <c:v>6.8067219078872727E-12</c:v>
                </c:pt>
                <c:pt idx="77">
                  <c:v>6.8067219078872727E-12</c:v>
                </c:pt>
                <c:pt idx="78">
                  <c:v>6.8067219078872727E-12</c:v>
                </c:pt>
                <c:pt idx="79">
                  <c:v>6.8067219078872727E-12</c:v>
                </c:pt>
                <c:pt idx="80">
                  <c:v>6.8067219078872727E-12</c:v>
                </c:pt>
                <c:pt idx="81">
                  <c:v>6.8067219078872727E-12</c:v>
                </c:pt>
                <c:pt idx="82">
                  <c:v>6.8067219078872727E-12</c:v>
                </c:pt>
                <c:pt idx="83">
                  <c:v>6.8067219078872727E-12</c:v>
                </c:pt>
                <c:pt idx="84">
                  <c:v>6.8067219078872727E-12</c:v>
                </c:pt>
                <c:pt idx="85">
                  <c:v>6.8067219078872727E-12</c:v>
                </c:pt>
                <c:pt idx="86">
                  <c:v>6.8067219078872727E-12</c:v>
                </c:pt>
                <c:pt idx="87">
                  <c:v>6.8067219078872727E-12</c:v>
                </c:pt>
                <c:pt idx="88">
                  <c:v>6.8067219078872727E-12</c:v>
                </c:pt>
                <c:pt idx="89">
                  <c:v>6.8067219078872727E-12</c:v>
                </c:pt>
                <c:pt idx="90">
                  <c:v>6.8067219078872727E-12</c:v>
                </c:pt>
                <c:pt idx="91">
                  <c:v>6.8067219078872727E-12</c:v>
                </c:pt>
                <c:pt idx="92">
                  <c:v>6.8067219078872727E-12</c:v>
                </c:pt>
                <c:pt idx="93">
                  <c:v>6.8067219078872727E-12</c:v>
                </c:pt>
                <c:pt idx="94">
                  <c:v>6.8067219078872727E-12</c:v>
                </c:pt>
                <c:pt idx="95">
                  <c:v>6.8067219078872727E-12</c:v>
                </c:pt>
                <c:pt idx="96">
                  <c:v>6.8067219078872727E-12</c:v>
                </c:pt>
                <c:pt idx="97">
                  <c:v>6.8067219078872727E-12</c:v>
                </c:pt>
                <c:pt idx="98">
                  <c:v>6.8067219078872727E-12</c:v>
                </c:pt>
                <c:pt idx="99">
                  <c:v>6.8067219078872727E-12</c:v>
                </c:pt>
                <c:pt idx="100">
                  <c:v>6.8067219078872727E-12</c:v>
                </c:pt>
                <c:pt idx="101">
                  <c:v>6.8067219078872727E-12</c:v>
                </c:pt>
                <c:pt idx="102">
                  <c:v>6.8067219078872727E-12</c:v>
                </c:pt>
                <c:pt idx="103">
                  <c:v>6.8067219078872727E-12</c:v>
                </c:pt>
                <c:pt idx="104">
                  <c:v>6.8067219078872727E-12</c:v>
                </c:pt>
                <c:pt idx="105">
                  <c:v>6.8067219078872727E-12</c:v>
                </c:pt>
                <c:pt idx="106">
                  <c:v>6.8067219078872727E-12</c:v>
                </c:pt>
                <c:pt idx="107">
                  <c:v>6.8067219078872727E-12</c:v>
                </c:pt>
                <c:pt idx="108">
                  <c:v>6.8067219078872727E-12</c:v>
                </c:pt>
                <c:pt idx="109">
                  <c:v>6.8067219078872727E-12</c:v>
                </c:pt>
                <c:pt idx="110">
                  <c:v>6.8067219078872727E-12</c:v>
                </c:pt>
                <c:pt idx="111">
                  <c:v>6.8067219078872727E-12</c:v>
                </c:pt>
                <c:pt idx="112">
                  <c:v>6.8067219078872727E-12</c:v>
                </c:pt>
                <c:pt idx="113">
                  <c:v>6.8067219078872727E-12</c:v>
                </c:pt>
                <c:pt idx="114">
                  <c:v>6.8067219078872727E-12</c:v>
                </c:pt>
                <c:pt idx="115">
                  <c:v>6.8067219078872727E-12</c:v>
                </c:pt>
                <c:pt idx="116">
                  <c:v>6.8067219078872727E-12</c:v>
                </c:pt>
                <c:pt idx="117">
                  <c:v>6.8067219078872727E-12</c:v>
                </c:pt>
                <c:pt idx="118">
                  <c:v>6.8067219078872727E-12</c:v>
                </c:pt>
                <c:pt idx="119">
                  <c:v>6.8067219078872727E-12</c:v>
                </c:pt>
                <c:pt idx="120">
                  <c:v>6.8067219078872727E-12</c:v>
                </c:pt>
                <c:pt idx="121">
                  <c:v>6.8067219078872727E-12</c:v>
                </c:pt>
                <c:pt idx="122">
                  <c:v>6.8067219078872727E-12</c:v>
                </c:pt>
                <c:pt idx="123">
                  <c:v>6.8067219078872727E-12</c:v>
                </c:pt>
                <c:pt idx="124">
                  <c:v>6.8067219078872727E-12</c:v>
                </c:pt>
                <c:pt idx="125">
                  <c:v>6.8067219078872727E-12</c:v>
                </c:pt>
                <c:pt idx="126">
                  <c:v>6.8067219078872727E-12</c:v>
                </c:pt>
                <c:pt idx="127">
                  <c:v>6.8067219078872727E-12</c:v>
                </c:pt>
                <c:pt idx="128">
                  <c:v>6.8067219078872727E-12</c:v>
                </c:pt>
                <c:pt idx="129">
                  <c:v>6.8067219078872727E-12</c:v>
                </c:pt>
                <c:pt idx="130">
                  <c:v>6.8067219078872727E-12</c:v>
                </c:pt>
                <c:pt idx="131">
                  <c:v>6.8067219078872727E-12</c:v>
                </c:pt>
                <c:pt idx="132">
                  <c:v>6.8067219078872727E-12</c:v>
                </c:pt>
                <c:pt idx="133">
                  <c:v>6.8067219078872727E-12</c:v>
                </c:pt>
                <c:pt idx="134">
                  <c:v>6.8067219078872727E-12</c:v>
                </c:pt>
                <c:pt idx="135">
                  <c:v>6.8067219078872727E-12</c:v>
                </c:pt>
                <c:pt idx="136">
                  <c:v>6.8067219078872727E-12</c:v>
                </c:pt>
                <c:pt idx="137">
                  <c:v>6.8067219078872727E-12</c:v>
                </c:pt>
                <c:pt idx="138">
                  <c:v>6.8067219078872727E-12</c:v>
                </c:pt>
                <c:pt idx="139">
                  <c:v>6.8067219078872727E-12</c:v>
                </c:pt>
                <c:pt idx="140">
                  <c:v>6.8067219078872727E-12</c:v>
                </c:pt>
                <c:pt idx="141">
                  <c:v>6.8067219078872727E-12</c:v>
                </c:pt>
                <c:pt idx="142">
                  <c:v>6.8067219078872727E-12</c:v>
                </c:pt>
                <c:pt idx="143">
                  <c:v>6.8067219078872727E-12</c:v>
                </c:pt>
                <c:pt idx="144">
                  <c:v>6.8067219078872727E-12</c:v>
                </c:pt>
                <c:pt idx="145">
                  <c:v>6.8067219078872727E-12</c:v>
                </c:pt>
                <c:pt idx="146">
                  <c:v>6.8067219078872727E-12</c:v>
                </c:pt>
                <c:pt idx="147">
                  <c:v>6.8067219078872727E-12</c:v>
                </c:pt>
                <c:pt idx="148">
                  <c:v>6.8067219078872727E-12</c:v>
                </c:pt>
                <c:pt idx="149">
                  <c:v>6.8067219078872727E-12</c:v>
                </c:pt>
                <c:pt idx="150">
                  <c:v>6.8067219078872727E-12</c:v>
                </c:pt>
                <c:pt idx="151">
                  <c:v>6.8067219078872727E-12</c:v>
                </c:pt>
                <c:pt idx="152">
                  <c:v>6.8067219078872727E-12</c:v>
                </c:pt>
                <c:pt idx="153">
                  <c:v>6.8067219078872727E-12</c:v>
                </c:pt>
                <c:pt idx="154">
                  <c:v>6.8067219078872727E-12</c:v>
                </c:pt>
                <c:pt idx="155">
                  <c:v>6.8067219078872727E-12</c:v>
                </c:pt>
                <c:pt idx="156">
                  <c:v>6.8067219078872727E-12</c:v>
                </c:pt>
                <c:pt idx="157">
                  <c:v>6.8067219078872727E-12</c:v>
                </c:pt>
                <c:pt idx="158">
                  <c:v>6.8067219078872727E-12</c:v>
                </c:pt>
                <c:pt idx="159">
                  <c:v>6.8067219078872727E-12</c:v>
                </c:pt>
                <c:pt idx="160">
                  <c:v>6.8067219078872727E-12</c:v>
                </c:pt>
                <c:pt idx="161">
                  <c:v>6.8067219078872727E-12</c:v>
                </c:pt>
                <c:pt idx="162">
                  <c:v>6.8067219078872727E-12</c:v>
                </c:pt>
                <c:pt idx="163">
                  <c:v>6.8067219078872727E-12</c:v>
                </c:pt>
                <c:pt idx="164">
                  <c:v>6.8067219078872727E-12</c:v>
                </c:pt>
                <c:pt idx="165">
                  <c:v>6.8067219078872727E-12</c:v>
                </c:pt>
                <c:pt idx="166">
                  <c:v>6.8067219078872727E-12</c:v>
                </c:pt>
                <c:pt idx="167">
                  <c:v>6.8067219078872727E-12</c:v>
                </c:pt>
                <c:pt idx="168">
                  <c:v>6.8067219078872727E-12</c:v>
                </c:pt>
                <c:pt idx="169">
                  <c:v>6.8067219078872727E-12</c:v>
                </c:pt>
                <c:pt idx="170">
                  <c:v>6.8067219078872727E-12</c:v>
                </c:pt>
                <c:pt idx="171">
                  <c:v>6.8067219078872727E-12</c:v>
                </c:pt>
                <c:pt idx="172">
                  <c:v>6.8067219078872727E-12</c:v>
                </c:pt>
                <c:pt idx="173">
                  <c:v>6.8067219078872727E-12</c:v>
                </c:pt>
                <c:pt idx="174">
                  <c:v>6.8067219078872727E-12</c:v>
                </c:pt>
                <c:pt idx="175">
                  <c:v>6.8067219078872727E-12</c:v>
                </c:pt>
                <c:pt idx="176">
                  <c:v>6.8067219078872727E-12</c:v>
                </c:pt>
                <c:pt idx="177">
                  <c:v>6.8067219078872727E-12</c:v>
                </c:pt>
                <c:pt idx="178">
                  <c:v>6.8067219078872727E-12</c:v>
                </c:pt>
                <c:pt idx="179">
                  <c:v>6.8067219078872727E-12</c:v>
                </c:pt>
                <c:pt idx="180">
                  <c:v>6.8067219078872727E-12</c:v>
                </c:pt>
                <c:pt idx="181">
                  <c:v>6.8067219078872727E-12</c:v>
                </c:pt>
                <c:pt idx="182">
                  <c:v>6.8067219078872727E-12</c:v>
                </c:pt>
                <c:pt idx="183">
                  <c:v>6.8067219078872727E-12</c:v>
                </c:pt>
                <c:pt idx="184">
                  <c:v>6.8067219078872727E-12</c:v>
                </c:pt>
                <c:pt idx="185">
                  <c:v>6.8067219078872727E-12</c:v>
                </c:pt>
                <c:pt idx="186">
                  <c:v>6.8067219078872727E-12</c:v>
                </c:pt>
                <c:pt idx="187">
                  <c:v>6.8067219078872727E-12</c:v>
                </c:pt>
                <c:pt idx="188">
                  <c:v>6.8067219078872727E-12</c:v>
                </c:pt>
                <c:pt idx="189">
                  <c:v>6.8067219078872727E-12</c:v>
                </c:pt>
                <c:pt idx="190">
                  <c:v>6.8067219078872727E-12</c:v>
                </c:pt>
                <c:pt idx="191">
                  <c:v>6.8067219078872727E-12</c:v>
                </c:pt>
                <c:pt idx="192">
                  <c:v>6.8067219078872727E-12</c:v>
                </c:pt>
                <c:pt idx="193">
                  <c:v>6.8067219078872727E-12</c:v>
                </c:pt>
                <c:pt idx="194">
                  <c:v>6.8067219078872727E-12</c:v>
                </c:pt>
                <c:pt idx="195">
                  <c:v>6.8067219078872727E-12</c:v>
                </c:pt>
                <c:pt idx="196">
                  <c:v>6.8067219078872727E-12</c:v>
                </c:pt>
                <c:pt idx="197">
                  <c:v>6.8067219078872727E-12</c:v>
                </c:pt>
                <c:pt idx="198">
                  <c:v>6.8067219078872727E-12</c:v>
                </c:pt>
                <c:pt idx="199">
                  <c:v>6.8067219078872727E-12</c:v>
                </c:pt>
                <c:pt idx="200">
                  <c:v>6.8067219078872727E-12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3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3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3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3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3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3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3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3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3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3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3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3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3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3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3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3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3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3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topLeftCell="A6" zoomScale="70" zoomScaleNormal="70" workbookViewId="0">
      <selection activeCell="L53" sqref="L53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3" t="s">
        <v>190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9" t="s">
        <v>231</v>
      </c>
      <c r="B5" s="269"/>
      <c r="C5" s="24">
        <v>40.298299999999998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1</v>
      </c>
      <c r="D9" s="33">
        <f t="shared" ref="D9:D18" si="0">C9*$C$5</f>
        <v>40.298299999999998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40.298299999999998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12</v>
      </c>
      <c r="B36" s="60">
        <v>46.2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3.85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16</v>
      </c>
      <c r="B37" s="60">
        <f>107.5-D36</f>
        <v>107.5</v>
      </c>
      <c r="C37" s="60">
        <v>2</v>
      </c>
      <c r="D37" s="60">
        <v>25</v>
      </c>
      <c r="E37" s="51"/>
      <c r="F37" s="51"/>
      <c r="G37" s="51">
        <v>0.5</v>
      </c>
      <c r="H37" s="51">
        <v>0.5</v>
      </c>
      <c r="I37" s="53">
        <f t="shared" ref="I37:I55" si="1">IF(A37&lt;&gt;0,(B37-(B36-D36))/(A37-A36),"")</f>
        <v>15.324999999999999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20</v>
      </c>
      <c r="B38" s="60">
        <f>176.3-SUM(D36:D37)</f>
        <v>151.30000000000001</v>
      </c>
      <c r="C38" s="60">
        <v>3</v>
      </c>
      <c r="D38" s="60">
        <v>33.700000000000003</v>
      </c>
      <c r="E38" s="51">
        <v>0.2</v>
      </c>
      <c r="F38" s="51"/>
      <c r="G38" s="51">
        <v>0.6</v>
      </c>
      <c r="H38" s="51">
        <v>0.2</v>
      </c>
      <c r="I38" s="53">
        <f t="shared" si="1"/>
        <v>17.200000000000003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24</v>
      </c>
      <c r="B39" s="60">
        <f>255.9-SUM(D36:D38)</f>
        <v>197.2</v>
      </c>
      <c r="C39" s="60">
        <v>4</v>
      </c>
      <c r="D39" s="60">
        <v>42.9</v>
      </c>
      <c r="E39" s="51">
        <v>0.3</v>
      </c>
      <c r="F39" s="51"/>
      <c r="G39" s="51">
        <v>0.5</v>
      </c>
      <c r="H39" s="51">
        <v>0.2</v>
      </c>
      <c r="I39" s="49">
        <f t="shared" si="1"/>
        <v>19.899999999999995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28</v>
      </c>
      <c r="B40" s="60">
        <f>335.4-SUM(D36:D39)</f>
        <v>233.79999999999998</v>
      </c>
      <c r="C40" s="60">
        <v>5</v>
      </c>
      <c r="D40" s="60">
        <v>41.4</v>
      </c>
      <c r="E40" s="51">
        <v>0.5</v>
      </c>
      <c r="F40" s="51"/>
      <c r="G40" s="51">
        <v>0.4</v>
      </c>
      <c r="H40" s="51">
        <v>0.1</v>
      </c>
      <c r="I40" s="49">
        <f t="shared" si="1"/>
        <v>19.875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34</v>
      </c>
      <c r="B41" s="60">
        <f>447.6-SUM(D36:D40)</f>
        <v>304.60000000000002</v>
      </c>
      <c r="C41" s="60">
        <v>6</v>
      </c>
      <c r="D41" s="60">
        <v>59.9</v>
      </c>
      <c r="E41" s="51">
        <v>0.7</v>
      </c>
      <c r="F41" s="51"/>
      <c r="G41" s="51">
        <v>0.2</v>
      </c>
      <c r="H41" s="51">
        <v>0.1</v>
      </c>
      <c r="I41" s="53">
        <f t="shared" si="1"/>
        <v>18.700000000000006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40</v>
      </c>
      <c r="B42" s="60">
        <f>536.7-SUM(D36:D41)</f>
        <v>333.80000000000007</v>
      </c>
      <c r="C42" s="60">
        <v>7</v>
      </c>
      <c r="D42" s="60">
        <v>34.1</v>
      </c>
      <c r="E42" s="51"/>
      <c r="F42" s="51"/>
      <c r="G42" s="51"/>
      <c r="H42" s="51"/>
      <c r="I42" s="53">
        <f t="shared" si="1"/>
        <v>14.850000000000009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46</v>
      </c>
      <c r="B43" s="60">
        <f>603-SUM(D36:D42)</f>
        <v>366</v>
      </c>
      <c r="C43" s="60">
        <v>8</v>
      </c>
      <c r="D43" s="60">
        <v>21.3</v>
      </c>
      <c r="E43" s="51"/>
      <c r="F43" s="51"/>
      <c r="G43" s="51"/>
      <c r="H43" s="51"/>
      <c r="I43" s="49">
        <f t="shared" si="1"/>
        <v>11.049999999999992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54</v>
      </c>
      <c r="B44" s="60">
        <f>661.4-SUM(D36:D43)</f>
        <v>403.09999999999997</v>
      </c>
      <c r="C44" s="60">
        <v>9</v>
      </c>
      <c r="D44" s="60">
        <v>17.399999999999999</v>
      </c>
      <c r="E44" s="51"/>
      <c r="F44" s="51"/>
      <c r="G44" s="51"/>
      <c r="H44" s="51"/>
      <c r="I44" s="49">
        <f t="shared" si="1"/>
        <v>7.2999999999999972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62</v>
      </c>
      <c r="B45" s="60">
        <f>685.7-SUM(D36:D44)</f>
        <v>410.00000000000006</v>
      </c>
      <c r="C45" s="60">
        <v>10</v>
      </c>
      <c r="D45" s="60">
        <f>B45</f>
        <v>410.00000000000006</v>
      </c>
      <c r="E45" s="51"/>
      <c r="F45" s="51"/>
      <c r="G45" s="51"/>
      <c r="H45" s="51"/>
      <c r="I45" s="49">
        <f t="shared" si="1"/>
        <v>3.0375000000000085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257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257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/>
      <c r="B63" s="60"/>
      <c r="C63" s="60"/>
      <c r="D63" s="257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8" scale="16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L163"/>
  <sheetViews>
    <sheetView zoomScaleNormal="100" workbookViewId="0">
      <selection activeCell="C34" sqref="C34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Pin maritime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/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/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/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252.28378247570731</v>
      </c>
      <c r="T3" s="59">
        <f>IF('Données projet'!E9&gt;30,$R$33-$H$33,LOOKUP('Données projet'!$E$9,$A$3:$A$203,R3:R203)-LOOKUP('Données projet'!$E$9,$A$3:$A$203,$H$3:$H$203))</f>
        <v>263.50418595307343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3.85</v>
      </c>
      <c r="N4" s="13">
        <f>IF('Données projet'!$A$36&gt;35,N3+M4-V3,IF(A4&lt;'Données projet'!$A$36,$K$205^A4,IF(A4='Données projet'!$A$36,'Données projet'!$B$36,N3+M4-V3)))</f>
        <v>1.3763223570336161</v>
      </c>
      <c r="O4" s="13">
        <f>N4*VLOOKUP('Données projet'!$B$9,Paramètres!$A$1:$I$89,3,0)*VLOOKUP('Données projet'!$B$9,Paramètres!$A$1:$I$89,5,0)</f>
        <v>0.82304076950610239</v>
      </c>
      <c r="P4" s="13">
        <f>EXP(-1.0587+0.8836*LN(O4)+0.284)</f>
        <v>0.38798806692284393</v>
      </c>
      <c r="Q4" s="20">
        <f t="shared" ref="Q4:Q34" si="2">(O4+P4)*0.475*44/12</f>
        <v>2.1092085567804149</v>
      </c>
      <c r="R4" s="59">
        <f t="shared" si="0"/>
        <v>295.44254189011372</v>
      </c>
      <c r="S4" s="59">
        <f ca="1">AVERAGE(OFFSET($R$3,0,0,'Données projet'!$E$9+1,1))-AVERAGE(OFFSET($H$3,0,0,'Données projet'!$E$9+1,1))</f>
        <v>252.28378247570731</v>
      </c>
      <c r="T4" s="59">
        <f>$T$3</f>
        <v>263.50418595307343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3.85</v>
      </c>
      <c r="N5" s="13">
        <f>IF('Données projet'!$A$36&gt;35,N4+M5-V4,IF(A5&lt;'Données projet'!$A$36,$K$205^A5,IF(A5='Données projet'!$A$36,'Données projet'!$B$36,N4+M5-V4)))</f>
        <v>1.8942632304705684</v>
      </c>
      <c r="O5" s="13">
        <f>N5*VLOOKUP('Données projet'!$B$9,Paramètres!$A$1:$I$89,3,0)*VLOOKUP('Données projet'!$B$9,Paramètres!$A$1:$I$89,5,0)</f>
        <v>1.1327694118214</v>
      </c>
      <c r="P5" s="13">
        <f t="shared" ref="P5:P68" si="33">EXP(-1.0587+0.8836*LN(O5)+0.284)</f>
        <v>0.51450725843982192</v>
      </c>
      <c r="Q5" s="20">
        <f t="shared" si="2"/>
        <v>2.8690068673716276</v>
      </c>
      <c r="R5" s="59">
        <f t="shared" si="0"/>
        <v>296.20234020070495</v>
      </c>
      <c r="S5" s="59">
        <f ca="1">AVERAGE(OFFSET($R$3,0,0,'Données projet'!$E$9+1,1))-AVERAGE(OFFSET($H$3,0,0,'Données projet'!$E$9+1,1))</f>
        <v>252.28378247570731</v>
      </c>
      <c r="T5" s="59">
        <f t="shared" ref="T5:T68" si="34">$T$3</f>
        <v>263.50418595307343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3.85</v>
      </c>
      <c r="N6" s="13">
        <f>IF('Données projet'!$A$36&gt;35,N5+M6-V5,IF(A6&lt;'Données projet'!$A$36,$K$205^A6,IF(A6='Données projet'!$A$36,'Données projet'!$B$36,N5+M6-V5)))</f>
        <v>2.6071168342033646</v>
      </c>
      <c r="O6" s="13">
        <f>N6*VLOOKUP('Données projet'!$B$9,Paramètres!$A$1:$I$89,3,0)*VLOOKUP('Données projet'!$B$9,Paramètres!$A$1:$I$89,5,0)</f>
        <v>1.5590558668536121</v>
      </c>
      <c r="P6" s="13">
        <f t="shared" si="33"/>
        <v>0.68228314619764829</v>
      </c>
      <c r="Q6" s="20">
        <f t="shared" si="2"/>
        <v>3.9036654477309445</v>
      </c>
      <c r="R6" s="59">
        <f t="shared" si="0"/>
        <v>297.23699878106424</v>
      </c>
      <c r="S6" s="59">
        <f ca="1">AVERAGE(OFFSET($R$3,0,0,'Données projet'!$E$9+1,1))-AVERAGE(OFFSET($H$3,0,0,'Données projet'!$E$9+1,1))</f>
        <v>252.28378247570731</v>
      </c>
      <c r="T6" s="59">
        <f t="shared" si="34"/>
        <v>263.50418595307343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3.85</v>
      </c>
      <c r="N7" s="13">
        <f>IF('Données projet'!$A$36&gt;35,N6+M7-V6,IF(A7&lt;'Données projet'!$A$36,$K$205^A7,IF(A7='Données projet'!$A$36,'Données projet'!$B$36,N6+M7-V6)))</f>
        <v>3.5882331863127939</v>
      </c>
      <c r="O7" s="13">
        <f>N7*VLOOKUP('Données projet'!$B$9,Paramètres!$A$1:$I$89,3,0)*VLOOKUP('Données projet'!$B$9,Paramètres!$A$1:$I$89,5,0)</f>
        <v>2.1457634454150507</v>
      </c>
      <c r="P7" s="13">
        <f t="shared" si="33"/>
        <v>0.90476914358207983</v>
      </c>
      <c r="Q7" s="20">
        <f t="shared" si="2"/>
        <v>5.3130109258366689</v>
      </c>
      <c r="R7" s="59">
        <f t="shared" si="0"/>
        <v>298.64634425917001</v>
      </c>
      <c r="S7" s="59">
        <f ca="1">AVERAGE(OFFSET($R$3,0,0,'Données projet'!$E$9+1,1))-AVERAGE(OFFSET($H$3,0,0,'Données projet'!$E$9+1,1))</f>
        <v>252.28378247570731</v>
      </c>
      <c r="T7" s="59">
        <f t="shared" si="34"/>
        <v>263.50418595307343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3.85</v>
      </c>
      <c r="N8" s="13">
        <f>IF('Données projet'!$A$36&gt;35,N7+M8-V7,IF(A8&lt;'Données projet'!$A$36,$K$205^A8,IF(A8='Données projet'!$A$36,'Données projet'!$B$36,N7+M8-V7)))</f>
        <v>4.938565556572267</v>
      </c>
      <c r="O8" s="13">
        <f>N8*VLOOKUP('Données projet'!$B$9,Paramètres!$A$1:$I$89,3,0)*VLOOKUP('Données projet'!$B$9,Paramètres!$A$1:$I$89,5,0)</f>
        <v>2.9532622028302162</v>
      </c>
      <c r="P8" s="13">
        <f t="shared" si="33"/>
        <v>1.1998056931939969</v>
      </c>
      <c r="Q8" s="20">
        <f t="shared" si="2"/>
        <v>7.2332599189088382</v>
      </c>
      <c r="R8" s="59">
        <f t="shared" si="0"/>
        <v>300.56659325224217</v>
      </c>
      <c r="S8" s="59">
        <f ca="1">AVERAGE(OFFSET($R$3,0,0,'Données projet'!$E$9+1,1))-AVERAGE(OFFSET($H$3,0,0,'Données projet'!$E$9+1,1))</f>
        <v>252.28378247570731</v>
      </c>
      <c r="T8" s="59">
        <f t="shared" si="34"/>
        <v>263.50418595307343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3.85</v>
      </c>
      <c r="N9" s="13">
        <f>IF('Données projet'!$A$36&gt;35,N8+M9-V8,IF(A9&lt;'Données projet'!$A$36,$K$205^A9,IF(A9='Données projet'!$A$36,'Données projet'!$B$36,N8+M9-V8)))</f>
        <v>6.7970581871865736</v>
      </c>
      <c r="O9" s="13">
        <f>N9*VLOOKUP('Données projet'!$B$9,Paramètres!$A$1:$I$89,3,0)*VLOOKUP('Données projet'!$B$9,Paramètres!$A$1:$I$89,5,0)</f>
        <v>4.0646407959375717</v>
      </c>
      <c r="P9" s="13">
        <f t="shared" si="33"/>
        <v>1.5910508350466677</v>
      </c>
      <c r="Q9" s="20">
        <f t="shared" si="2"/>
        <v>9.8503295906308832</v>
      </c>
      <c r="R9" s="59">
        <f t="shared" si="0"/>
        <v>303.18366292396422</v>
      </c>
      <c r="S9" s="59">
        <f ca="1">AVERAGE(OFFSET($R$3,0,0,'Données projet'!$E$9+1,1))-AVERAGE(OFFSET($H$3,0,0,'Données projet'!$E$9+1,1))</f>
        <v>252.28378247570731</v>
      </c>
      <c r="T9" s="59">
        <f t="shared" si="34"/>
        <v>263.50418595307343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3.85</v>
      </c>
      <c r="N10" s="13">
        <f>IF('Données projet'!$A$36&gt;35,N9+M10-V9,IF(A10&lt;'Données projet'!$A$36,$K$205^A10,IF(A10='Données projet'!$A$36,'Données projet'!$B$36,N9+M10-V9)))</f>
        <v>9.3549431450832632</v>
      </c>
      <c r="O10" s="13">
        <f>N10*VLOOKUP('Données projet'!$B$9,Paramètres!$A$1:$I$89,3,0)*VLOOKUP('Données projet'!$B$9,Paramètres!$A$1:$I$89,5,0)</f>
        <v>5.5942560007597919</v>
      </c>
      <c r="P10" s="13">
        <f t="shared" si="33"/>
        <v>2.1098772693466379</v>
      </c>
      <c r="Q10" s="20">
        <f t="shared" si="2"/>
        <v>13.418032112102033</v>
      </c>
      <c r="R10" s="59">
        <f t="shared" si="0"/>
        <v>306.75136544543534</v>
      </c>
      <c r="S10" s="59">
        <f ca="1">AVERAGE(OFFSET($R$3,0,0,'Données projet'!$E$9+1,1))-AVERAGE(OFFSET($H$3,0,0,'Données projet'!$E$9+1,1))</f>
        <v>252.28378247570731</v>
      </c>
      <c r="T10" s="59">
        <f t="shared" si="34"/>
        <v>263.50418595307343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3.85</v>
      </c>
      <c r="N11" s="13">
        <f>IF('Données projet'!$A$36&gt;35,N10+M11-V10,IF(A11&lt;'Données projet'!$A$36,$K$205^A11,IF(A11='Données projet'!$A$36,'Données projet'!$B$36,N10+M11-V10)))</f>
        <v>12.875417399356465</v>
      </c>
      <c r="O11" s="13">
        <f>N11*VLOOKUP('Données projet'!$B$9,Paramètres!$A$1:$I$89,3,0)*VLOOKUP('Données projet'!$B$9,Paramètres!$A$1:$I$89,5,0)</f>
        <v>7.6994996048151672</v>
      </c>
      <c r="P11" s="13">
        <f t="shared" si="33"/>
        <v>2.7978880332727099</v>
      </c>
      <c r="Q11" s="20">
        <f t="shared" si="2"/>
        <v>18.282950136336385</v>
      </c>
      <c r="R11" s="59">
        <f t="shared" si="0"/>
        <v>311.61628346966972</v>
      </c>
      <c r="S11" s="59">
        <f ca="1">AVERAGE(OFFSET($R$3,0,0,'Données projet'!$E$9+1,1))-AVERAGE(OFFSET($H$3,0,0,'Données projet'!$E$9+1,1))</f>
        <v>252.28378247570731</v>
      </c>
      <c r="T11" s="59">
        <f t="shared" si="34"/>
        <v>263.50418595307343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3.85</v>
      </c>
      <c r="N12" s="13">
        <f>IF('Données projet'!$A$36&gt;35,N11+M12-V11,IF(A12&lt;'Données projet'!$A$36,$K$205^A12,IF(A12='Données projet'!$A$36,'Données projet'!$B$36,N11+M12-V11)))</f>
        <v>17.720724822873922</v>
      </c>
      <c r="O12" s="13">
        <f>N12*VLOOKUP('Données projet'!$B$9,Paramètres!$A$1:$I$89,3,0)*VLOOKUP('Données projet'!$B$9,Paramètres!$A$1:$I$89,5,0)</f>
        <v>10.596993444078608</v>
      </c>
      <c r="P12" s="13">
        <f t="shared" si="33"/>
        <v>3.7102525158512041</v>
      </c>
      <c r="Q12" s="20">
        <f t="shared" si="2"/>
        <v>24.918453380211091</v>
      </c>
      <c r="R12" s="59">
        <f t="shared" si="0"/>
        <v>318.25178671354439</v>
      </c>
      <c r="S12" s="59">
        <f ca="1">AVERAGE(OFFSET($R$3,0,0,'Données projet'!$E$9+1,1))-AVERAGE(OFFSET($H$3,0,0,'Données projet'!$E$9+1,1))</f>
        <v>252.28378247570731</v>
      </c>
      <c r="T12" s="59">
        <f t="shared" si="34"/>
        <v>263.50418595307343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3.85</v>
      </c>
      <c r="N13" s="13">
        <f>IF('Données projet'!$A$36&gt;35,N12+M13-V12,IF(A13&lt;'Données projet'!$A$36,$K$205^A13,IF(A13='Données projet'!$A$36,'Données projet'!$B$36,N12+M13-V12)))</f>
        <v>24.389429756561942</v>
      </c>
      <c r="O13" s="13">
        <f>N13*VLOOKUP('Données projet'!$B$9,Paramètres!$A$1:$I$89,3,0)*VLOOKUP('Données projet'!$B$9,Paramètres!$A$1:$I$89,5,0)</f>
        <v>14.584878994424042</v>
      </c>
      <c r="P13" s="13">
        <f t="shared" si="33"/>
        <v>4.9201303153214564</v>
      </c>
      <c r="Q13" s="20">
        <f t="shared" si="2"/>
        <v>33.971224547806742</v>
      </c>
      <c r="R13" s="59">
        <f t="shared" si="0"/>
        <v>327.30455788114006</v>
      </c>
      <c r="S13" s="59">
        <f ca="1">AVERAGE(OFFSET($R$3,0,0,'Données projet'!$E$9+1,1))-AVERAGE(OFFSET($H$3,0,0,'Données projet'!$E$9+1,1))</f>
        <v>252.28378247570731</v>
      </c>
      <c r="T13" s="59">
        <f t="shared" si="34"/>
        <v>263.50418595307343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3.85</v>
      </c>
      <c r="N14" s="13">
        <f>IF('Données projet'!$A$36&gt;35,N13+M14-V13,IF(A14&lt;'Données projet'!$A$36,$K$205^A14,IF(A14='Données projet'!$A$36,'Données projet'!$B$36,N13+M14-V13)))</f>
        <v>33.567717449257145</v>
      </c>
      <c r="O14" s="13">
        <f>N14*VLOOKUP('Données projet'!$B$9,Paramètres!$A$1:$I$89,3,0)*VLOOKUP('Données projet'!$B$9,Paramètres!$A$1:$I$89,5,0)</f>
        <v>20.073495034655775</v>
      </c>
      <c r="P14" s="13">
        <f t="shared" si="33"/>
        <v>6.5245376740055958</v>
      </c>
      <c r="Q14" s="20">
        <f t="shared" si="2"/>
        <v>46.324906967585214</v>
      </c>
      <c r="R14" s="59">
        <f t="shared" si="0"/>
        <v>339.65824030091852</v>
      </c>
      <c r="S14" s="59">
        <f ca="1">AVERAGE(OFFSET($R$3,0,0,'Données projet'!$E$9+1,1))-AVERAGE(OFFSET($H$3,0,0,'Données projet'!$E$9+1,1))</f>
        <v>252.28378247570731</v>
      </c>
      <c r="T14" s="59">
        <f t="shared" si="34"/>
        <v>263.50418595307343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46.2</v>
      </c>
      <c r="L15" s="12">
        <f>VLOOKUP(A15,'Données projet'!$A$35:$I$55,9,0)</f>
        <v>3.85</v>
      </c>
      <c r="M15" s="12">
        <f t="array" ref="M15">INDEX(L:L,MIN(IF(ISNUMBER(L15:L211),ROW(L15:L211),"")))</f>
        <v>3.85</v>
      </c>
      <c r="N15" s="13">
        <f>IF('Données projet'!$A$36&gt;35,N14+M15-V14,IF(A15&lt;'Données projet'!$A$36,$K$205^A15,IF(A15='Données projet'!$A$36,'Données projet'!$B$36,N14+M15-V14)))</f>
        <v>46.2</v>
      </c>
      <c r="O15" s="13">
        <f>N15*VLOOKUP('Données projet'!$B$9,Paramètres!$A$1:$I$89,3,0)*VLOOKUP('Données projet'!$B$9,Paramètres!$A$1:$I$89,5,0)</f>
        <v>27.627600000000005</v>
      </c>
      <c r="P15" s="13">
        <f t="shared" si="33"/>
        <v>8.6521269013861506</v>
      </c>
      <c r="Q15" s="20">
        <f t="shared" si="2"/>
        <v>63.187191019914216</v>
      </c>
      <c r="R15" s="59">
        <f t="shared" si="0"/>
        <v>356.52052435324754</v>
      </c>
      <c r="S15" s="59">
        <f ca="1">AVERAGE(OFFSET($R$3,0,0,'Données projet'!$E$9+1,1))-AVERAGE(OFFSET($H$3,0,0,'Données projet'!$E$9+1,1))</f>
        <v>252.28378247570731</v>
      </c>
      <c r="T15" s="59">
        <f t="shared" si="34"/>
        <v>263.50418595307343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15.324999999999999</v>
      </c>
      <c r="N16" s="13">
        <f>IF('Données projet'!$A$36&gt;35,N15+M16-V15,IF(A16&lt;'Données projet'!$A$36,$K$205^A16,IF(A16='Données projet'!$A$36,'Données projet'!$B$36,N15+M16-V15)))</f>
        <v>61.525000000000006</v>
      </c>
      <c r="O16" s="13">
        <f>N16*VLOOKUP('Données projet'!$B$9,Paramètres!$A$1:$I$89,3,0)*VLOOKUP('Données projet'!$B$9,Paramètres!$A$1:$I$89,5,0)</f>
        <v>36.791950000000007</v>
      </c>
      <c r="P16" s="13">
        <f t="shared" si="33"/>
        <v>11.144260225190576</v>
      </c>
      <c r="Q16" s="20">
        <f t="shared" si="2"/>
        <v>83.488899475540265</v>
      </c>
      <c r="R16" s="59">
        <f t="shared" si="0"/>
        <v>376.82223280887359</v>
      </c>
      <c r="S16" s="59">
        <f ca="1">AVERAGE(OFFSET($R$3,0,0,'Données projet'!$E$9+1,1))-AVERAGE(OFFSET($H$3,0,0,'Données projet'!$E$9+1,1))</f>
        <v>252.28378247570731</v>
      </c>
      <c r="T16" s="59">
        <f t="shared" si="34"/>
        <v>263.50418595307343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15.324999999999999</v>
      </c>
      <c r="N17" s="13">
        <f>IF('Données projet'!$A$36&gt;35,N16+M17-V16,IF(A17&lt;'Données projet'!$A$36,$K$205^A17,IF(A17='Données projet'!$A$36,'Données projet'!$B$36,N16+M17-V16)))</f>
        <v>76.850000000000009</v>
      </c>
      <c r="O17" s="13">
        <f>N17*VLOOKUP('Données projet'!$B$9,Paramètres!$A$1:$I$89,3,0)*VLOOKUP('Données projet'!$B$9,Paramètres!$A$1:$I$89,5,0)</f>
        <v>45.956300000000013</v>
      </c>
      <c r="P17" s="13">
        <f t="shared" si="33"/>
        <v>13.564386507579055</v>
      </c>
      <c r="Q17" s="20">
        <f t="shared" si="2"/>
        <v>103.66519566736689</v>
      </c>
      <c r="R17" s="59">
        <f t="shared" si="0"/>
        <v>396.99852900070022</v>
      </c>
      <c r="S17" s="59">
        <f ca="1">AVERAGE(OFFSET($R$3,0,0,'Données projet'!$E$9+1,1))-AVERAGE(OFFSET($H$3,0,0,'Données projet'!$E$9+1,1))</f>
        <v>252.28378247570731</v>
      </c>
      <c r="T17" s="59">
        <f t="shared" si="34"/>
        <v>263.50418595307343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15.324999999999999</v>
      </c>
      <c r="N18" s="13">
        <f>IF('Données projet'!$A$36&gt;35,N17+M18-V17,IF(A18&lt;'Données projet'!$A$36,$K$205^A18,IF(A18='Données projet'!$A$36,'Données projet'!$B$36,N17+M18-V17)))</f>
        <v>92.175000000000011</v>
      </c>
      <c r="O18" s="13">
        <f>N18*VLOOKUP('Données projet'!$B$9,Paramètres!$A$1:$I$89,3,0)*VLOOKUP('Données projet'!$B$9,Paramètres!$A$1:$I$89,5,0)</f>
        <v>55.120650000000012</v>
      </c>
      <c r="P18" s="13">
        <f t="shared" si="33"/>
        <v>15.928592691029031</v>
      </c>
      <c r="Q18" s="20">
        <f t="shared" si="2"/>
        <v>123.74409768687555</v>
      </c>
      <c r="R18" s="59">
        <f t="shared" si="0"/>
        <v>417.07743102020885</v>
      </c>
      <c r="S18" s="59">
        <f ca="1">AVERAGE(OFFSET($R$3,0,0,'Données projet'!$E$9+1,1))-AVERAGE(OFFSET($H$3,0,0,'Données projet'!$E$9+1,1))</f>
        <v>252.28378247570731</v>
      </c>
      <c r="T18" s="59">
        <f t="shared" si="34"/>
        <v>263.50418595307343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107.5</v>
      </c>
      <c r="L19" s="12">
        <f>VLOOKUP(A19,'Données projet'!$A$35:$I$55,9,0)</f>
        <v>15.324999999999999</v>
      </c>
      <c r="M19" s="12">
        <f t="array" ref="M19">INDEX(L:L,MIN(IF(ISNUMBER(L19:L215),ROW(L19:L215),"")))</f>
        <v>15.324999999999999</v>
      </c>
      <c r="N19" s="13">
        <f>IF('Données projet'!$A$36&gt;35,N18+M19-V18,IF(A19&lt;'Données projet'!$A$36,$K$205^A19,IF(A19='Données projet'!$A$36,'Données projet'!$B$36,N18+M19-V18)))</f>
        <v>107.50000000000001</v>
      </c>
      <c r="O19" s="13">
        <f>N19*VLOOKUP('Données projet'!$B$9,Paramètres!$A$1:$I$89,3,0)*VLOOKUP('Données projet'!$B$9,Paramètres!$A$1:$I$89,5,0)</f>
        <v>64.285000000000011</v>
      </c>
      <c r="P19" s="13">
        <f t="shared" si="33"/>
        <v>18.247263773944024</v>
      </c>
      <c r="Q19" s="20">
        <f t="shared" si="2"/>
        <v>143.74369273961921</v>
      </c>
      <c r="R19" s="59">
        <f t="shared" si="0"/>
        <v>437.07702607295255</v>
      </c>
      <c r="S19" s="59">
        <f ca="1">AVERAGE(OFFSET($R$3,0,0,'Données projet'!$E$9+1,1))-AVERAGE(OFFSET($H$3,0,0,'Données projet'!$E$9+1,1))</f>
        <v>252.28378247570731</v>
      </c>
      <c r="T19" s="59">
        <f t="shared" si="34"/>
        <v>263.50418595307343</v>
      </c>
      <c r="U19" s="15">
        <f>IF(ISNA(VLOOKUP(A19,'Données projet'!$A$35:$I$55,3,0)),0,VLOOKUP(A19,'Données projet'!$A$35:$I$55,3,0))</f>
        <v>2</v>
      </c>
      <c r="V19" s="15">
        <f>IF(ISNA(VLOOKUP(A19,'Données projet'!$A$35:$I$55,4,0)),0,VLOOKUP(A19,'Données projet'!$A$35:$I$55,4,0))</f>
        <v>25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0.5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8.4634364240103324</v>
      </c>
      <c r="AC19" s="22">
        <f t="shared" si="3"/>
        <v>8.4634364240103324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17.200000000000003</v>
      </c>
      <c r="N20" s="13">
        <f>IF('Données projet'!$A$36&gt;35,N19+M20-V19,IF(A20&lt;'Données projet'!$A$36,$K$205^A20,IF(A20='Données projet'!$A$36,'Données projet'!$B$36,N19+M20-V19)))</f>
        <v>99.700000000000017</v>
      </c>
      <c r="O20" s="13">
        <f>N20*VLOOKUP('Données projet'!$B$9,Paramètres!$A$1:$I$89,3,0)*VLOOKUP('Données projet'!$B$9,Paramètres!$A$1:$I$89,5,0)</f>
        <v>59.62060000000001</v>
      </c>
      <c r="P20" s="13">
        <f t="shared" si="33"/>
        <v>17.072309403636297</v>
      </c>
      <c r="Q20" s="20">
        <f t="shared" si="2"/>
        <v>133.57348387799991</v>
      </c>
      <c r="R20" s="59">
        <f t="shared" si="0"/>
        <v>426.90681721133319</v>
      </c>
      <c r="S20" s="59">
        <f ca="1">AVERAGE(OFFSET($R$3,0,0,'Données projet'!$E$9+1,1))-AVERAGE(OFFSET($H$3,0,0,'Données projet'!$E$9+1,1))</f>
        <v>252.28378247570731</v>
      </c>
      <c r="T20" s="59">
        <f t="shared" si="34"/>
        <v>263.50418595307343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5.9845532875589305</v>
      </c>
      <c r="AC20" s="22">
        <f t="shared" si="3"/>
        <v>5.9845532875589305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17.200000000000003</v>
      </c>
      <c r="N21" s="13">
        <f>IF('Données projet'!$A$36&gt;35,N20+M21-V20,IF(A21&lt;'Données projet'!$A$36,$K$205^A21,IF(A21='Données projet'!$A$36,'Données projet'!$B$36,N20+M21-V20)))</f>
        <v>116.90000000000002</v>
      </c>
      <c r="O21" s="13">
        <f>N21*VLOOKUP('Données projet'!$B$9,Paramètres!$A$1:$I$89,3,0)*VLOOKUP('Données projet'!$B$9,Paramètres!$A$1:$I$89,5,0)</f>
        <v>69.906200000000013</v>
      </c>
      <c r="P21" s="13">
        <f t="shared" si="33"/>
        <v>19.650161907904558</v>
      </c>
      <c r="Q21" s="20">
        <f t="shared" si="2"/>
        <v>155.9773303229338</v>
      </c>
      <c r="R21" s="59">
        <f t="shared" si="0"/>
        <v>449.31066365626714</v>
      </c>
      <c r="S21" s="59">
        <f ca="1">AVERAGE(OFFSET($R$3,0,0,'Données projet'!$E$9+1,1))-AVERAGE(OFFSET($H$3,0,0,'Données projet'!$E$9+1,1))</f>
        <v>252.28378247570731</v>
      </c>
      <c r="T21" s="59">
        <f t="shared" si="34"/>
        <v>263.50418595307343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4.2317182120051662</v>
      </c>
      <c r="AC21" s="22">
        <f t="shared" si="3"/>
        <v>4.2317182120051662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17.200000000000003</v>
      </c>
      <c r="N22" s="13">
        <f>IF('Données projet'!$A$36&gt;35,N21+M22-V21,IF(A22&lt;'Données projet'!$A$36,$K$205^A22,IF(A22='Données projet'!$A$36,'Données projet'!$B$36,N21+M22-V21)))</f>
        <v>134.10000000000002</v>
      </c>
      <c r="O22" s="13">
        <f>N22*VLOOKUP('Données projet'!$B$9,Paramètres!$A$1:$I$89,3,0)*VLOOKUP('Données projet'!$B$9,Paramètres!$A$1:$I$89,5,0)</f>
        <v>80.191800000000015</v>
      </c>
      <c r="P22" s="13">
        <f t="shared" si="33"/>
        <v>22.184073687979513</v>
      </c>
      <c r="Q22" s="20">
        <f t="shared" si="2"/>
        <v>178.30464667323099</v>
      </c>
      <c r="R22" s="59">
        <f t="shared" si="0"/>
        <v>471.63798000656431</v>
      </c>
      <c r="S22" s="59">
        <f ca="1">AVERAGE(OFFSET($R$3,0,0,'Données projet'!$E$9+1,1))-AVERAGE(OFFSET($H$3,0,0,'Données projet'!$E$9+1,1))</f>
        <v>252.28378247570731</v>
      </c>
      <c r="T22" s="59">
        <f t="shared" si="34"/>
        <v>263.50418595307343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2.9922766437794652</v>
      </c>
      <c r="AC22" s="22">
        <f t="shared" si="3"/>
        <v>2.9922766437794652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151.30000000000001</v>
      </c>
      <c r="L23" s="12">
        <f>VLOOKUP(A23,'Données projet'!$A$35:$I$55,9,0)</f>
        <v>17.200000000000003</v>
      </c>
      <c r="M23" s="12">
        <f t="array" ref="M23">INDEX(L:L,MIN(IF(ISNUMBER(L23:L219),ROW(L23:L219),"")))</f>
        <v>17.200000000000003</v>
      </c>
      <c r="N23" s="13">
        <f>IF('Données projet'!$A$36&gt;35,N22+M23-V22,IF(A23&lt;'Données projet'!$A$36,$K$205^A23,IF(A23='Données projet'!$A$36,'Données projet'!$B$36,N22+M23-V22)))</f>
        <v>151.30000000000001</v>
      </c>
      <c r="O23" s="13">
        <f>N23*VLOOKUP('Données projet'!$B$9,Paramètres!$A$1:$I$89,3,0)*VLOOKUP('Données projet'!$B$9,Paramètres!$A$1:$I$89,5,0)</f>
        <v>90.477400000000017</v>
      </c>
      <c r="P23" s="13">
        <f t="shared" si="33"/>
        <v>24.680326903050478</v>
      </c>
      <c r="Q23" s="20">
        <f t="shared" si="2"/>
        <v>200.5663743561463</v>
      </c>
      <c r="R23" s="59">
        <f t="shared" si="0"/>
        <v>493.89970768947961</v>
      </c>
      <c r="S23" s="59">
        <f ca="1">AVERAGE(OFFSET($R$3,0,0,'Données projet'!$E$9+1,1))-AVERAGE(OFFSET($H$3,0,0,'Données projet'!$E$9+1,1))</f>
        <v>252.28378247570731</v>
      </c>
      <c r="T23" s="59">
        <f t="shared" si="34"/>
        <v>263.50418595307343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33.700000000000003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2.4060350560221795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15.8063138654817</v>
      </c>
      <c r="AC23" s="22">
        <f t="shared" si="3"/>
        <v>18.212348921503878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19.899999999999995</v>
      </c>
      <c r="N24" s="13">
        <f>IF('Données projet'!$A$36&gt;35,N23+M24-V23,IF(A24&lt;'Données projet'!$A$36,$K$205^A24,IF(A24='Données projet'!$A$36,'Données projet'!$B$36,N23+M24-V23)))</f>
        <v>137.5</v>
      </c>
      <c r="O24" s="13">
        <f>N24*VLOOKUP('Données projet'!$B$9,Paramètres!$A$1:$I$89,3,0)*VLOOKUP('Données projet'!$B$9,Paramètres!$A$1:$I$89,5,0)</f>
        <v>82.225000000000009</v>
      </c>
      <c r="P24" s="13">
        <f t="shared" si="33"/>
        <v>22.680336573198979</v>
      </c>
      <c r="Q24" s="20">
        <f t="shared" si="2"/>
        <v>182.71012786498821</v>
      </c>
      <c r="R24" s="59">
        <f t="shared" si="0"/>
        <v>476.04346119832155</v>
      </c>
      <c r="S24" s="59">
        <f ca="1">AVERAGE(OFFSET($R$3,0,0,'Données projet'!$E$9+1,1))-AVERAGE(OFFSET($H$3,0,0,'Données projet'!$E$9+1,1))</f>
        <v>252.28378247570731</v>
      </c>
      <c r="T24" s="59">
        <f t="shared" si="34"/>
        <v>263.50418595307343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2.3588541761100617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11.176751719845061</v>
      </c>
      <c r="AC24" s="22">
        <f t="shared" si="3"/>
        <v>13.535605895955122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19.899999999999995</v>
      </c>
      <c r="N25" s="13">
        <f>IF('Données projet'!$A$36&gt;35,N24+M25-V24,IF(A25&lt;'Données projet'!$A$36,$K$205^A25,IF(A25='Données projet'!$A$36,'Données projet'!$B$36,N24+M25-V24)))</f>
        <v>157.4</v>
      </c>
      <c r="O25" s="13">
        <f>N25*VLOOKUP('Données projet'!$B$9,Paramètres!$A$1:$I$89,3,0)*VLOOKUP('Données projet'!$B$9,Paramètres!$A$1:$I$89,5,0)</f>
        <v>94.125200000000021</v>
      </c>
      <c r="P25" s="13">
        <f t="shared" si="33"/>
        <v>25.557514079834487</v>
      </c>
      <c r="Q25" s="20">
        <f t="shared" si="2"/>
        <v>208.44739368904513</v>
      </c>
      <c r="R25" s="59">
        <f t="shared" si="0"/>
        <v>501.78072702237841</v>
      </c>
      <c r="S25" s="59">
        <f ca="1">AVERAGE(OFFSET($R$3,0,0,'Données projet'!$E$9+1,1))-AVERAGE(OFFSET($H$3,0,0,'Données projet'!$E$9+1,1))</f>
        <v>252.28378247570731</v>
      </c>
      <c r="T25" s="59">
        <f t="shared" si="34"/>
        <v>263.50418595307343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2.312598484475525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7.9031569327408508</v>
      </c>
      <c r="AC25" s="22">
        <f t="shared" si="3"/>
        <v>10.215755417216375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19.899999999999995</v>
      </c>
      <c r="N26" s="13">
        <f>IF('Données projet'!$A$36&gt;35,N25+M26-V25,IF(A26&lt;'Données projet'!$A$36,$K$205^A26,IF(A26='Données projet'!$A$36,'Données projet'!$B$36,N25+M26-V25)))</f>
        <v>177.3</v>
      </c>
      <c r="O26" s="13">
        <f>N26*VLOOKUP('Données projet'!$B$9,Paramètres!$A$1:$I$89,3,0)*VLOOKUP('Données projet'!$B$9,Paramètres!$A$1:$I$89,5,0)</f>
        <v>106.02540000000002</v>
      </c>
      <c r="P26" s="13">
        <f t="shared" si="33"/>
        <v>28.392541537580129</v>
      </c>
      <c r="Q26" s="20">
        <f t="shared" si="2"/>
        <v>234.11124817795204</v>
      </c>
      <c r="R26" s="59">
        <f t="shared" si="0"/>
        <v>527.44458151128538</v>
      </c>
      <c r="S26" s="59">
        <f ca="1">AVERAGE(OFFSET($R$3,0,0,'Données projet'!$E$9+1,1))-AVERAGE(OFFSET($H$3,0,0,'Données projet'!$E$9+1,1))</f>
        <v>252.28378247570731</v>
      </c>
      <c r="T26" s="59">
        <f t="shared" si="34"/>
        <v>263.50418595307343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2.2672498387407556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5.5883758599225315</v>
      </c>
      <c r="AC26" s="22">
        <f t="shared" si="3"/>
        <v>7.8556256986632871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197.2</v>
      </c>
      <c r="L27" s="12">
        <f>VLOOKUP(A27,'Données projet'!$A$35:$I$55,9,0)</f>
        <v>19.899999999999995</v>
      </c>
      <c r="M27" s="12">
        <f t="array" ref="M27">INDEX(L:L,MIN(IF(ISNUMBER(L27:L223),ROW(L27:L223),"")))</f>
        <v>19.899999999999995</v>
      </c>
      <c r="N27" s="13">
        <f>IF('Données projet'!$A$36&gt;35,N26+M27-V26,IF(A27&lt;'Données projet'!$A$36,$K$205^A27,IF(A27='Données projet'!$A$36,'Données projet'!$B$36,N26+M27-V26)))</f>
        <v>197.20000000000002</v>
      </c>
      <c r="O27" s="13">
        <f>N27*VLOOKUP('Données projet'!$B$9,Paramètres!$A$1:$I$89,3,0)*VLOOKUP('Données projet'!$B$9,Paramètres!$A$1:$I$89,5,0)</f>
        <v>117.92560000000003</v>
      </c>
      <c r="P27" s="13">
        <f t="shared" si="33"/>
        <v>31.190689636070587</v>
      </c>
      <c r="Q27" s="20">
        <f t="shared" si="2"/>
        <v>259.71087111615634</v>
      </c>
      <c r="R27" s="59">
        <f t="shared" si="0"/>
        <v>553.0442044494896</v>
      </c>
      <c r="S27" s="59">
        <f ca="1">AVERAGE(OFFSET($R$3,0,0,'Données projet'!$E$9+1,1))-AVERAGE(OFFSET($H$3,0,0,'Données projet'!$E$9+1,1))</f>
        <v>252.28378247570731</v>
      </c>
      <c r="T27" s="59">
        <f t="shared" si="34"/>
        <v>263.50418595307343</v>
      </c>
      <c r="U27" s="15">
        <f>IF(ISNA(VLOOKUP(A27,'Données projet'!$A$35:$I$55,3,0)),0,VLOOKUP(A27,'Données projet'!$A$35:$I$55,3,0))</f>
        <v>4</v>
      </c>
      <c r="V27" s="15">
        <f>IF(ISNA(VLOOKUP(A27,'Données projet'!$A$35:$I$55,4,0)),0,VLOOKUP(A27,'Données projet'!$A$35:$I$55,4,0))</f>
        <v>42.9</v>
      </c>
      <c r="W27" s="16">
        <f>IF(ISNA(VLOOKUP(A27,'Données projet'!$A$35:$I$55,5,0)),0%,VLOOKUP(A27,'Données projet'!$A$35:$I$55,5,0)*VLOOKUP('Données projet'!$B$9,Paramètres!$A$1:$I$89,7,0))</f>
        <v>0.13500000000000001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0.5</v>
      </c>
      <c r="Z27" s="21">
        <f>EXP(-LN(2)/35)*Z26+(1-EXP(-LN(2)/35))/(LN(2)/35)*V27*W27*VLOOKUP('Données projet'!$B$9,Paramètres!$A$1:$I$89,3,0)*0.475*44/12</f>
        <v>6.8171036824084048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18.474835369972155</v>
      </c>
      <c r="AC27" s="22">
        <f t="shared" si="3"/>
        <v>25.29193905238056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19.875</v>
      </c>
      <c r="N28" s="13">
        <f>IF('Données projet'!$A$36&gt;35,N27+M28-V27,IF(A28&lt;'Données projet'!$A$36,$K$205^A28,IF(A28='Données projet'!$A$36,'Données projet'!$B$36,N27+M28-V27)))</f>
        <v>174.17500000000001</v>
      </c>
      <c r="O28" s="13">
        <f>N28*VLOOKUP('Données projet'!$B$9,Paramètres!$A$1:$I$89,3,0)*VLOOKUP('Données projet'!$B$9,Paramètres!$A$1:$I$89,5,0)</f>
        <v>104.15665000000001</v>
      </c>
      <c r="P28" s="13">
        <f t="shared" si="33"/>
        <v>27.949902735136092</v>
      </c>
      <c r="Q28" s="20">
        <f t="shared" si="2"/>
        <v>230.08557934702876</v>
      </c>
      <c r="R28" s="59">
        <f t="shared" si="0"/>
        <v>523.41891268036204</v>
      </c>
      <c r="S28" s="59">
        <f ca="1">AVERAGE(OFFSET($R$3,0,0,'Données projet'!$E$9+1,1))-AVERAGE(OFFSET($H$3,0,0,'Données projet'!$E$9+1,1))</f>
        <v>252.28378247570731</v>
      </c>
      <c r="T28" s="59">
        <f t="shared" si="34"/>
        <v>263.50418595307343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6.6834244372190517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13.06368137141239</v>
      </c>
      <c r="AC28" s="22">
        <f t="shared" si="3"/>
        <v>19.747105808631442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19.875</v>
      </c>
      <c r="N29" s="13">
        <f>IF('Données projet'!$A$36&gt;35,N28+M29-V28,IF(A29&lt;'Données projet'!$A$36,$K$205^A29,IF(A29='Données projet'!$A$36,'Données projet'!$B$36,N28+M29-V28)))</f>
        <v>194.05</v>
      </c>
      <c r="O29" s="13">
        <f>N29*VLOOKUP('Données projet'!$B$9,Paramètres!$A$1:$I$89,3,0)*VLOOKUP('Données projet'!$B$9,Paramètres!$A$1:$I$89,5,0)</f>
        <v>116.04190000000001</v>
      </c>
      <c r="P29" s="13">
        <f t="shared" si="33"/>
        <v>30.750043154423295</v>
      </c>
      <c r="Q29" s="20">
        <f t="shared" si="2"/>
        <v>255.66263432728726</v>
      </c>
      <c r="R29" s="59">
        <f t="shared" si="0"/>
        <v>548.99596766062064</v>
      </c>
      <c r="S29" s="59">
        <f ca="1">AVERAGE(OFFSET($R$3,0,0,'Données projet'!$E$9+1,1))-AVERAGE(OFFSET($H$3,0,0,'Données projet'!$E$9+1,1))</f>
        <v>252.28378247570731</v>
      </c>
      <c r="T29" s="59">
        <f t="shared" si="34"/>
        <v>263.50418595307343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6.5523665604915733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9.2374176849860774</v>
      </c>
      <c r="AC29" s="22">
        <f t="shared" si="3"/>
        <v>15.789784245477652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19.875</v>
      </c>
      <c r="N30" s="13">
        <f>IF('Données projet'!$A$36&gt;35,N29+M30-V29,IF(A30&lt;'Données projet'!$A$36,$K$205^A30,IF(A30='Données projet'!$A$36,'Données projet'!$B$36,N29+M30-V29)))</f>
        <v>213.92500000000001</v>
      </c>
      <c r="O30" s="13">
        <f>N30*VLOOKUP('Données projet'!$B$9,Paramètres!$A$1:$I$89,3,0)*VLOOKUP('Données projet'!$B$9,Paramètres!$A$1:$I$89,5,0)</f>
        <v>127.92715000000001</v>
      </c>
      <c r="P30" s="13">
        <f t="shared" si="33"/>
        <v>33.51693740969332</v>
      </c>
      <c r="Q30" s="20">
        <f t="shared" si="2"/>
        <v>281.18178557188253</v>
      </c>
      <c r="R30" s="59">
        <f t="shared" si="0"/>
        <v>574.51511890521579</v>
      </c>
      <c r="S30" s="59">
        <f ca="1">AVERAGE(OFFSET($R$3,0,0,'Données projet'!$E$9+1,1))-AVERAGE(OFFSET($H$3,0,0,'Données projet'!$E$9+1,1))</f>
        <v>252.28378247570731</v>
      </c>
      <c r="T30" s="59">
        <f t="shared" si="34"/>
        <v>263.50418595307343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6.4238786487893087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6.5318406857061948</v>
      </c>
      <c r="AC30" s="22">
        <f t="shared" si="3"/>
        <v>12.955719334495504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233.79999999999998</v>
      </c>
      <c r="L31" s="12">
        <f>VLOOKUP(A31,'Données projet'!$A$35:$I$55,9,0)</f>
        <v>19.875</v>
      </c>
      <c r="M31" s="12">
        <f t="array" ref="M31">INDEX(L:L,MIN(IF(ISNUMBER(L31:L227),ROW(L31:L227),"")))</f>
        <v>19.875</v>
      </c>
      <c r="N31" s="13">
        <f>IF('Données projet'!$A$36&gt;35,N30+M31-V30,IF(A31&lt;'Données projet'!$A$36,$K$205^A31,IF(A31='Données projet'!$A$36,'Données projet'!$B$36,N30+M31-V30)))</f>
        <v>233.8</v>
      </c>
      <c r="O31" s="13">
        <f>N31*VLOOKUP('Données projet'!$B$9,Paramètres!$A$1:$I$89,3,0)*VLOOKUP('Données projet'!$B$9,Paramètres!$A$1:$I$89,5,0)</f>
        <v>139.81240000000003</v>
      </c>
      <c r="P31" s="13">
        <f t="shared" si="33"/>
        <v>36.254025616047976</v>
      </c>
      <c r="Q31" s="20">
        <f t="shared" si="2"/>
        <v>306.64902461461696</v>
      </c>
      <c r="R31" s="59">
        <f t="shared" si="0"/>
        <v>599.98235794795028</v>
      </c>
      <c r="S31" s="59">
        <f ca="1">AVERAGE(OFFSET($R$3,0,0,'Données projet'!$E$9+1,1))-AVERAGE(OFFSET($H$3,0,0,'Données projet'!$E$9+1,1))</f>
        <v>252.28378247570731</v>
      </c>
      <c r="T31" s="59">
        <f t="shared" si="34"/>
        <v>263.50418595307343</v>
      </c>
      <c r="U31" s="15">
        <f>IF(ISNA(VLOOKUP(A31,'Données projet'!$A$35:$I$55,3,0)),0,VLOOKUP(A31,'Données projet'!$A$35:$I$55,3,0))</f>
        <v>5</v>
      </c>
      <c r="V31" s="15">
        <f>IF(ISNA(VLOOKUP(A31,'Données projet'!$A$35:$I$55,4,0)),0,VLOOKUP(A31,'Données projet'!$A$35:$I$55,4,0))</f>
        <v>41.4</v>
      </c>
      <c r="W31" s="16">
        <f>IF(ISNA(VLOOKUP(A31,'Données projet'!$A$35:$I$55,5,0)),0%,VLOOKUP(A31,'Données projet'!$A$35:$I$55,5,0)*VLOOKUP('Données projet'!$B$9,Paramètres!$A$1:$I$89,7,0))</f>
        <v>0.22500000000000001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0.4</v>
      </c>
      <c r="Z31" s="21">
        <f>EXP(-LN(2)/35)*Z30+(1-EXP(-LN(2)/35))/(LN(2)/35)*V31*W31*VLOOKUP('Données projet'!$B$9,Paramètres!$A$1:$I$89,3,0)*0.475*44/12</f>
        <v>13.68736515231239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15.831069417021927</v>
      </c>
      <c r="AC31" s="22">
        <f t="shared" si="3"/>
        <v>29.518434569334318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18.700000000000006</v>
      </c>
      <c r="N32" s="13">
        <f>IF('Données projet'!$A$36&gt;35,N31+M32-V31,IF(A32&lt;'Données projet'!$A$36,$K$205^A32,IF(A32='Données projet'!$A$36,'Données projet'!$B$36,N31+M32-V31)))</f>
        <v>211.10000000000002</v>
      </c>
      <c r="O32" s="13">
        <f>N32*VLOOKUP('Données projet'!$B$9,Paramètres!$A$1:$I$89,3,0)*VLOOKUP('Données projet'!$B$9,Paramètres!$A$1:$I$89,5,0)</f>
        <v>126.23780000000002</v>
      </c>
      <c r="P32" s="13">
        <f t="shared" si="33"/>
        <v>33.12554513217659</v>
      </c>
      <c r="Q32" s="20">
        <f t="shared" si="2"/>
        <v>277.5578261052076</v>
      </c>
      <c r="R32" s="59">
        <f t="shared" si="0"/>
        <v>570.89115943854085</v>
      </c>
      <c r="S32" s="59">
        <f ca="1">AVERAGE(OFFSET($R$3,0,0,'Données projet'!$E$9+1,1))-AVERAGE(OFFSET($H$3,0,0,'Données projet'!$E$9+1,1))</f>
        <v>252.28378247570731</v>
      </c>
      <c r="T32" s="59">
        <f t="shared" si="34"/>
        <v>263.50418595307343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13.418964270143944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11.194256538211169</v>
      </c>
      <c r="AC32" s="22">
        <f t="shared" si="3"/>
        <v>24.613220808355113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18.700000000000006</v>
      </c>
      <c r="N33" s="13">
        <f>IF('Données projet'!$A$36&gt;35,N32+M33-V32,IF(A33&lt;'Données projet'!$A$36,$K$205^A33,IF(A33='Données projet'!$A$36,'Données projet'!$B$36,N32+M33-V32)))</f>
        <v>229.80000000000004</v>
      </c>
      <c r="O33" s="13">
        <f>N33*VLOOKUP('Données projet'!$B$9,Paramètres!$A$1:$I$89,3,0)*VLOOKUP('Données projet'!$B$9,Paramètres!$A$1:$I$89,5,0)</f>
        <v>137.42040000000003</v>
      </c>
      <c r="P33" s="13">
        <f t="shared" si="33"/>
        <v>35.705417249692559</v>
      </c>
      <c r="Q33" s="20">
        <f t="shared" si="2"/>
        <v>301.52746504321459</v>
      </c>
      <c r="R33" s="59">
        <f t="shared" si="0"/>
        <v>594.8607983765479</v>
      </c>
      <c r="S33" s="59">
        <f ca="1">AVERAGE(OFFSET($R$3,0,0,'Données projet'!$E$9+1,1))-AVERAGE(OFFSET($H$3,0,0,'Données projet'!$E$9+1,1))</f>
        <v>252.28378247570731</v>
      </c>
      <c r="T33" s="59">
        <f t="shared" si="34"/>
        <v>263.50418595307343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13.155826565566448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7.9155347085109646</v>
      </c>
      <c r="AC33" s="22">
        <f t="shared" si="3"/>
        <v>21.071361274077411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18.700000000000006</v>
      </c>
      <c r="N34" s="13">
        <f>IF('Données projet'!$A$36&gt;35,N33+M34-V33,IF(A34&lt;'Données projet'!$A$36,$K$205^A34,IF(A34='Données projet'!$A$36,'Données projet'!$B$36,N33+M34-V33)))</f>
        <v>248.50000000000006</v>
      </c>
      <c r="O34" s="13">
        <f>N34*VLOOKUP('Données projet'!$B$9,Paramètres!$A$1:$I$89,3,0)*VLOOKUP('Données projet'!$B$9,Paramètres!$A$1:$I$89,5,0)</f>
        <v>148.60300000000004</v>
      </c>
      <c r="P34" s="13">
        <f t="shared" si="33"/>
        <v>38.260939676613795</v>
      </c>
      <c r="Q34" s="20">
        <f t="shared" si="2"/>
        <v>325.45469493676904</v>
      </c>
      <c r="R34" s="59">
        <f t="shared" si="0"/>
        <v>618.78802827010236</v>
      </c>
      <c r="S34" s="59">
        <f ca="1">AVERAGE(OFFSET($R$3,0,0,'Données projet'!$E$9+1,1))-AVERAGE(OFFSET($H$3,0,0,'Données projet'!$E$9+1,1))</f>
        <v>252.28378247570731</v>
      </c>
      <c r="T34" s="59">
        <f t="shared" si="34"/>
        <v>263.50418595307343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12.897848830877566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5.5971282691055855</v>
      </c>
      <c r="AC34" s="22">
        <f t="shared" si="3"/>
        <v>18.494977099983153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18.700000000000006</v>
      </c>
      <c r="N35" s="13">
        <f>IF('Données projet'!$A$36&gt;35,N34+M35-V34,IF(A35&lt;'Données projet'!$A$36,$K$205^A35,IF(A35='Données projet'!$A$36,'Données projet'!$B$36,N34+M35-V34)))</f>
        <v>267.20000000000005</v>
      </c>
      <c r="O35" s="13">
        <f>N35*VLOOKUP('Données projet'!$B$9,Paramètres!$A$1:$I$89,3,0)*VLOOKUP('Données projet'!$B$9,Paramètres!$A$1:$I$89,5,0)</f>
        <v>159.78560000000004</v>
      </c>
      <c r="P35" s="13">
        <f t="shared" si="33"/>
        <v>40.794153114967841</v>
      </c>
      <c r="Q35" s="20">
        <f t="shared" ref="Q35:Q66" si="53">(O35+P35)*0.475*44/12</f>
        <v>349.3430700085691</v>
      </c>
      <c r="R35" s="59">
        <f t="shared" si="0"/>
        <v>642.67640334190241</v>
      </c>
      <c r="S35" s="59">
        <f ca="1">AVERAGE(OFFSET($R$3,0,0,'Données projet'!$E$9+1,1))-AVERAGE(OFFSET($H$3,0,0,'Données projet'!$E$9+1,1))</f>
        <v>252.28378247570731</v>
      </c>
      <c r="T35" s="59">
        <f t="shared" si="34"/>
        <v>263.50418595307343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12.644929882215051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3.9577673542554832</v>
      </c>
      <c r="AC35" s="22">
        <f t="shared" si="3"/>
        <v>16.602697236470533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18.700000000000006</v>
      </c>
      <c r="N36" s="13">
        <f>IF('Données projet'!$A$36&gt;35,N35+M36-V35,IF(A36&lt;'Données projet'!$A$36,$K$205^A36,IF(A36='Données projet'!$A$36,'Données projet'!$B$36,N35+M36-V35)))</f>
        <v>285.90000000000003</v>
      </c>
      <c r="O36" s="13">
        <f>N36*VLOOKUP('Données projet'!$B$9,Paramètres!$A$1:$I$89,3,0)*VLOOKUP('Données projet'!$B$9,Paramètres!$A$1:$I$89,5,0)</f>
        <v>170.96820000000002</v>
      </c>
      <c r="P36" s="13">
        <f t="shared" si="33"/>
        <v>43.306796452756018</v>
      </c>
      <c r="Q36" s="20">
        <f t="shared" si="53"/>
        <v>373.19561882188344</v>
      </c>
      <c r="R36" s="59">
        <f t="shared" si="0"/>
        <v>666.52895215521676</v>
      </c>
      <c r="S36" s="59">
        <f ca="1">AVERAGE(OFFSET($R$3,0,0,'Données projet'!$E$9+1,1))-AVERAGE(OFFSET($H$3,0,0,'Données projet'!$E$9+1,1))</f>
        <v>252.28378247570731</v>
      </c>
      <c r="T36" s="59">
        <f t="shared" si="34"/>
        <v>263.50418595307343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12.39697051987048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2.7985641345527932</v>
      </c>
      <c r="AC36" s="22">
        <f t="shared" si="3"/>
        <v>15.195534654423273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304.60000000000002</v>
      </c>
      <c r="L37" s="12">
        <f>VLOOKUP(A37,'Données projet'!$A$35:$I$55,9,0)</f>
        <v>18.700000000000006</v>
      </c>
      <c r="M37" s="12">
        <f t="array" ref="M37">INDEX(L:L,MIN(IF(ISNUMBER(L37:L233),ROW(L37:L233),"")))</f>
        <v>18.700000000000006</v>
      </c>
      <c r="N37" s="13">
        <f>IF('Données projet'!$A$36&gt;35,N36+M37-V36,IF(A37&lt;'Données projet'!$A$36,$K$205^A37,IF(A37='Données projet'!$A$36,'Données projet'!$B$36,N36+M37-V36)))</f>
        <v>304.60000000000002</v>
      </c>
      <c r="O37" s="13">
        <f>N37*VLOOKUP('Données projet'!$B$9,Paramètres!$A$1:$I$89,3,0)*VLOOKUP('Données projet'!$B$9,Paramètres!$A$1:$I$89,5,0)</f>
        <v>182.15080000000003</v>
      </c>
      <c r="P37" s="13">
        <f t="shared" si="33"/>
        <v>45.800368240506849</v>
      </c>
      <c r="Q37" s="20">
        <f t="shared" si="53"/>
        <v>397.0149513522162</v>
      </c>
      <c r="R37" s="59">
        <f t="shared" si="0"/>
        <v>690.34828468554952</v>
      </c>
      <c r="S37" s="59">
        <f ca="1">AVERAGE(OFFSET($R$3,0,0,'Données projet'!$E$9+1,1))-AVERAGE(OFFSET($H$3,0,0,'Données projet'!$E$9+1,1))</f>
        <v>252.28378247570731</v>
      </c>
      <c r="T37" s="59">
        <f t="shared" si="34"/>
        <v>263.50418595307343</v>
      </c>
      <c r="U37" s="15">
        <f>IF(ISNA(VLOOKUP(A37,'Données projet'!$A$35:$I$55,3,0)),0,VLOOKUP(A37,'Données projet'!$A$35:$I$55,3,0))</f>
        <v>6</v>
      </c>
      <c r="V37" s="15">
        <f>IF(ISNA(VLOOKUP(A37,'Données projet'!$A$35:$I$55,4,0)),0,VLOOKUP(A37,'Données projet'!$A$35:$I$55,4,0))</f>
        <v>59.9</v>
      </c>
      <c r="W37" s="16">
        <f>IF(ISNA(VLOOKUP(A37,'Données projet'!$A$35:$I$55,5,0)),0%,VLOOKUP(A37,'Données projet'!$A$35:$I$55,5,0)*VLOOKUP('Données projet'!$B$9,Paramètres!$A$1:$I$89,7,0))</f>
        <v>0.315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0.2</v>
      </c>
      <c r="Z37" s="21">
        <f>EXP(-LN(2)/35)*Z36+(1-EXP(-LN(2)/35))/(LN(2)/35)*V37*W37*VLOOKUP('Données projet'!$B$9,Paramètres!$A$1:$I$89,3,0)*0.475*44/12</f>
        <v>27.121981783002866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10.090241145899245</v>
      </c>
      <c r="AC37" s="22">
        <f t="shared" si="3"/>
        <v>37.212222928902108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14.850000000000009</v>
      </c>
      <c r="N38" s="13">
        <f>IF('Données projet'!$A$36&gt;35,N37+M38-V37,IF(A38&lt;'Données projet'!$A$36,$K$205^A38,IF(A38='Données projet'!$A$36,'Données projet'!$B$36,N37+M38-V37)))</f>
        <v>259.55000000000007</v>
      </c>
      <c r="O38" s="13">
        <f>N38*VLOOKUP('Données projet'!$B$9,Paramètres!$A$1:$I$89,3,0)*VLOOKUP('Données projet'!$B$9,Paramètres!$A$1:$I$89,5,0)</f>
        <v>155.21090000000007</v>
      </c>
      <c r="P38" s="13">
        <f t="shared" si="33"/>
        <v>39.760417498033199</v>
      </c>
      <c r="Q38" s="20">
        <f t="shared" si="53"/>
        <v>339.57504464240793</v>
      </c>
      <c r="R38" s="59">
        <f t="shared" si="0"/>
        <v>632.90837797574125</v>
      </c>
      <c r="S38" s="59">
        <f ca="1">AVERAGE(OFFSET($R$3,0,0,'Données projet'!$E$9+1,1))-AVERAGE(OFFSET($H$3,0,0,'Données projet'!$E$9+1,1))</f>
        <v>252.28378247570731</v>
      </c>
      <c r="T38" s="59">
        <f t="shared" si="34"/>
        <v>263.50418595307343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26.590136263013605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7.1348779380728766</v>
      </c>
      <c r="AC38" s="22">
        <f t="shared" si="3"/>
        <v>33.725014201086481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14.850000000000009</v>
      </c>
      <c r="N39" s="13">
        <f>IF('Données projet'!$A$36&gt;35,N38+M39-V38,IF(A39&lt;'Données projet'!$A$36,$K$205^A39,IF(A39='Données projet'!$A$36,'Données projet'!$B$36,N38+M39-V38)))</f>
        <v>274.40000000000009</v>
      </c>
      <c r="O39" s="13">
        <f>N39*VLOOKUP('Données projet'!$B$9,Paramètres!$A$1:$I$89,3,0)*VLOOKUP('Données projet'!$B$9,Paramètres!$A$1:$I$89,5,0)</f>
        <v>164.09120000000007</v>
      </c>
      <c r="P39" s="13">
        <f t="shared" si="33"/>
        <v>41.763936620208121</v>
      </c>
      <c r="Q39" s="20">
        <f t="shared" si="53"/>
        <v>358.5310296135292</v>
      </c>
      <c r="R39" s="59">
        <f t="shared" si="0"/>
        <v>651.86436294686246</v>
      </c>
      <c r="S39" s="59">
        <f ca="1">AVERAGE(OFFSET($R$3,0,0,'Données projet'!$E$9+1,1))-AVERAGE(OFFSET($H$3,0,0,'Données projet'!$E$9+1,1))</f>
        <v>252.28378247570731</v>
      </c>
      <c r="T39" s="59">
        <f t="shared" si="34"/>
        <v>263.50418595307343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26.068719909277597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5.0451205729496236</v>
      </c>
      <c r="AC39" s="22">
        <f t="shared" si="3"/>
        <v>31.113840482227221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14.850000000000009</v>
      </c>
      <c r="N40" s="13">
        <f>IF('Données projet'!$A$36&gt;35,N39+M40-V39,IF(A40&lt;'Données projet'!$A$36,$K$205^A40,IF(A40='Données projet'!$A$36,'Données projet'!$B$36,N39+M40-V39)))</f>
        <v>289.25000000000011</v>
      </c>
      <c r="O40" s="13">
        <f>N40*VLOOKUP('Données projet'!$B$9,Paramètres!$A$1:$I$89,3,0)*VLOOKUP('Données projet'!$B$9,Paramètres!$A$1:$I$89,5,0)</f>
        <v>172.97150000000008</v>
      </c>
      <c r="P40" s="13">
        <f t="shared" si="33"/>
        <v>43.754868068248705</v>
      </c>
      <c r="Q40" s="20">
        <f t="shared" si="53"/>
        <v>377.46509105219997</v>
      </c>
      <c r="R40" s="59">
        <f t="shared" si="0"/>
        <v>670.79842438553328</v>
      </c>
      <c r="S40" s="59">
        <f ca="1">AVERAGE(OFFSET($R$3,0,0,'Données projet'!$E$9+1,1))-AVERAGE(OFFSET($H$3,0,0,'Données projet'!$E$9+1,1))</f>
        <v>252.28378247570731</v>
      </c>
      <c r="T40" s="59">
        <f t="shared" si="34"/>
        <v>263.50418595307343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25.557528212205778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3.5674389690364392</v>
      </c>
      <c r="AC40" s="22">
        <f t="shared" si="3"/>
        <v>29.124967181242216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14.850000000000009</v>
      </c>
      <c r="N41" s="13">
        <f>IF('Données projet'!$A$36&gt;35,N40+M41-V40,IF(A41&lt;'Données projet'!$A$36,$K$205^A41,IF(A41='Données projet'!$A$36,'Données projet'!$B$36,N40+M41-V40)))</f>
        <v>304.10000000000014</v>
      </c>
      <c r="O41" s="13">
        <f>N41*VLOOKUP('Données projet'!$B$9,Paramètres!$A$1:$I$89,3,0)*VLOOKUP('Données projet'!$B$9,Paramètres!$A$1:$I$89,5,0)</f>
        <v>181.85180000000011</v>
      </c>
      <c r="P41" s="13">
        <f t="shared" si="33"/>
        <v>45.733931809167743</v>
      </c>
      <c r="Q41" s="20">
        <f t="shared" si="53"/>
        <v>396.3784829009673</v>
      </c>
      <c r="R41" s="59">
        <f t="shared" si="0"/>
        <v>689.71181623430061</v>
      </c>
      <c r="S41" s="59">
        <f ca="1">AVERAGE(OFFSET($R$3,0,0,'Données projet'!$E$9+1,1))-AVERAGE(OFFSET($H$3,0,0,'Données projet'!$E$9+1,1))</f>
        <v>252.28378247570731</v>
      </c>
      <c r="T41" s="59">
        <f t="shared" si="34"/>
        <v>263.50418595307343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25.056360672517389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2.5225602864748122</v>
      </c>
      <c r="AC41" s="22">
        <f t="shared" si="3"/>
        <v>27.5789209589922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14.850000000000009</v>
      </c>
      <c r="N42" s="13">
        <f>IF('Données projet'!$A$36&gt;35,N41+M42-V41,IF(A42&lt;'Données projet'!$A$36,$K$205^A42,IF(A42='Données projet'!$A$36,'Données projet'!$B$36,N41+M42-V41)))</f>
        <v>318.95000000000016</v>
      </c>
      <c r="O42" s="13">
        <f>N42*VLOOKUP('Données projet'!$B$9,Paramètres!$A$1:$I$89,3,0)*VLOOKUP('Données projet'!$B$9,Paramètres!$A$1:$I$89,5,0)</f>
        <v>190.73210000000009</v>
      </c>
      <c r="P42" s="13">
        <f t="shared" si="33"/>
        <v>47.701773521629008</v>
      </c>
      <c r="Q42" s="20">
        <f t="shared" si="53"/>
        <v>415.27232971683731</v>
      </c>
      <c r="R42" s="59">
        <f t="shared" si="0"/>
        <v>708.60566305017062</v>
      </c>
      <c r="S42" s="59">
        <f ca="1">AVERAGE(OFFSET($R$3,0,0,'Données projet'!$E$9+1,1))-AVERAGE(OFFSET($H$3,0,0,'Données projet'!$E$9+1,1))</f>
        <v>252.28378247570731</v>
      </c>
      <c r="T42" s="59">
        <f t="shared" si="34"/>
        <v>263.50418595307343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24.565020722600273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1.7837194845182198</v>
      </c>
      <c r="AC42" s="22">
        <f t="shared" si="3"/>
        <v>26.348740207118492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333.80000000000007</v>
      </c>
      <c r="L43" s="12">
        <f>VLOOKUP(A43,'Données projet'!$A$35:$I$55,9,0)</f>
        <v>14.850000000000009</v>
      </c>
      <c r="M43" s="12">
        <f t="array" ref="M43">INDEX(L:L,MIN(IF(ISNUMBER(L43:L239),ROW(L43:L239),"")))</f>
        <v>14.850000000000009</v>
      </c>
      <c r="N43" s="13">
        <f>IF('Données projet'!$A$36&gt;35,N42+M43-V42,IF(A43&lt;'Données projet'!$A$36,$K$205^A43,IF(A43='Données projet'!$A$36,'Données projet'!$B$36,N42+M43-V42)))</f>
        <v>333.80000000000018</v>
      </c>
      <c r="O43" s="13">
        <f>N43*VLOOKUP('Données projet'!$B$9,Paramètres!$A$1:$I$89,3,0)*VLOOKUP('Données projet'!$B$9,Paramètres!$A$1:$I$89,5,0)</f>
        <v>199.61240000000012</v>
      </c>
      <c r="P43" s="13">
        <f t="shared" si="33"/>
        <v>49.658975362033459</v>
      </c>
      <c r="Q43" s="20">
        <f t="shared" si="53"/>
        <v>434.14764542220854</v>
      </c>
      <c r="R43" s="59">
        <f t="shared" si="0"/>
        <v>727.48097875554186</v>
      </c>
      <c r="S43" s="59">
        <f ca="1">AVERAGE(OFFSET($R$3,0,0,'Données projet'!$E$9+1,1))-AVERAGE(OFFSET($H$3,0,0,'Données projet'!$E$9+1,1))</f>
        <v>252.28378247570731</v>
      </c>
      <c r="T43" s="59">
        <f t="shared" si="34"/>
        <v>263.50418595307343</v>
      </c>
      <c r="U43" s="15">
        <f>IF(ISNA(VLOOKUP(A43,'Données projet'!$A$35:$I$55,3,0)),0,VLOOKUP(A43,'Données projet'!$A$35:$I$55,3,0))</f>
        <v>7</v>
      </c>
      <c r="V43" s="15">
        <f>IF(ISNA(VLOOKUP(A43,'Données projet'!$A$35:$I$55,4,0)),0,VLOOKUP(A43,'Données projet'!$A$35:$I$55,4,0))</f>
        <v>34.1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24.083315649413258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1.2612801432374063</v>
      </c>
      <c r="AC43" s="22">
        <f t="shared" si="3"/>
        <v>25.344595792650665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11.049999999999992</v>
      </c>
      <c r="N44" s="13">
        <f>IF('Données projet'!$A$36&gt;35,N43+M44-V43,IF(A44&lt;'Données projet'!$A$36,$K$205^A44,IF(A44='Données projet'!$A$36,'Données projet'!$B$36,N43+M44-V43)))</f>
        <v>310.75000000000017</v>
      </c>
      <c r="O44" s="13">
        <f>N44*VLOOKUP('Données projet'!$B$9,Paramètres!$A$1:$I$89,3,0)*VLOOKUP('Données projet'!$B$9,Paramètres!$A$1:$I$89,5,0)</f>
        <v>185.8285000000001</v>
      </c>
      <c r="P44" s="13">
        <f t="shared" si="33"/>
        <v>46.616505227631968</v>
      </c>
      <c r="Q44" s="20">
        <f t="shared" si="53"/>
        <v>404.84171743812584</v>
      </c>
      <c r="R44" s="59">
        <f t="shared" si="0"/>
        <v>698.17505077145915</v>
      </c>
      <c r="S44" s="59">
        <f ca="1">AVERAGE(OFFSET($R$3,0,0,'Données projet'!$E$9+1,1))-AVERAGE(OFFSET($H$3,0,0,'Données projet'!$E$9+1,1))</f>
        <v>252.28378247570731</v>
      </c>
      <c r="T44" s="59">
        <f t="shared" si="34"/>
        <v>263.50418595307343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23.611056518900355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0.89185974225911002</v>
      </c>
      <c r="AC44" s="22">
        <f t="shared" si="3"/>
        <v>24.502916261159466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11.049999999999992</v>
      </c>
      <c r="N45" s="13">
        <f>IF('Données projet'!$A$36&gt;35,N44+M45-V44,IF(A45&lt;'Données projet'!$A$36,$K$205^A45,IF(A45='Données projet'!$A$36,'Données projet'!$B$36,N44+M45-V44)))</f>
        <v>321.80000000000018</v>
      </c>
      <c r="O45" s="13">
        <f>N45*VLOOKUP('Données projet'!$B$9,Paramètres!$A$1:$I$89,3,0)*VLOOKUP('Données projet'!$B$9,Paramètres!$A$1:$I$89,5,0)</f>
        <v>192.43640000000011</v>
      </c>
      <c r="P45" s="13">
        <f t="shared" si="33"/>
        <v>48.07820620284339</v>
      </c>
      <c r="Q45" s="20">
        <f t="shared" si="53"/>
        <v>418.89627246995241</v>
      </c>
      <c r="R45" s="59">
        <f t="shared" si="0"/>
        <v>712.22960580328572</v>
      </c>
      <c r="S45" s="59">
        <f ca="1">AVERAGE(OFFSET($R$3,0,0,'Données projet'!$E$9+1,1))-AVERAGE(OFFSET($H$3,0,0,'Données projet'!$E$9+1,1))</f>
        <v>252.28378247570731</v>
      </c>
      <c r="T45" s="59">
        <f t="shared" si="34"/>
        <v>263.50418595307343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23.148058101887184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0.63064007161870328</v>
      </c>
      <c r="AC45" s="22">
        <f t="shared" si="3"/>
        <v>23.778698173505887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11.049999999999992</v>
      </c>
      <c r="N46" s="13">
        <f>IF('Données projet'!$A$36&gt;35,N45+M46-V45,IF(A46&lt;'Données projet'!$A$36,$K$205^A46,IF(A46='Données projet'!$A$36,'Données projet'!$B$36,N45+M46-V45)))</f>
        <v>332.85000000000019</v>
      </c>
      <c r="O46" s="13">
        <f>N46*VLOOKUP('Données projet'!$B$9,Paramètres!$A$1:$I$89,3,0)*VLOOKUP('Données projet'!$B$9,Paramètres!$A$1:$I$89,5,0)</f>
        <v>199.04430000000013</v>
      </c>
      <c r="P46" s="13">
        <f t="shared" si="33"/>
        <v>49.534075275146158</v>
      </c>
      <c r="Q46" s="20">
        <f t="shared" si="53"/>
        <v>432.94067027087976</v>
      </c>
      <c r="R46" s="59">
        <f t="shared" si="0"/>
        <v>726.27400360421302</v>
      </c>
      <c r="S46" s="59">
        <f ca="1">AVERAGE(OFFSET($R$3,0,0,'Données projet'!$E$9+1,1))-AVERAGE(OFFSET($H$3,0,0,'Données projet'!$E$9+1,1))</f>
        <v>252.28378247570731</v>
      </c>
      <c r="T46" s="59">
        <f t="shared" si="34"/>
        <v>263.50418595307343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22.694138801430491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0.44592987112955512</v>
      </c>
      <c r="AC46" s="22">
        <f t="shared" si="3"/>
        <v>23.140068672560044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11.049999999999992</v>
      </c>
      <c r="N47" s="13">
        <f>IF('Données projet'!$A$36&gt;35,N46+M47-V46,IF(A47&lt;'Données projet'!$A$36,$K$205^A47,IF(A47='Données projet'!$A$36,'Données projet'!$B$36,N46+M47-V46)))</f>
        <v>343.9000000000002</v>
      </c>
      <c r="O47" s="13">
        <f>N47*VLOOKUP('Données projet'!$B$9,Paramètres!$A$1:$I$89,3,0)*VLOOKUP('Données projet'!$B$9,Paramètres!$A$1:$I$89,5,0)</f>
        <v>205.65220000000014</v>
      </c>
      <c r="P47" s="13">
        <f t="shared" si="33"/>
        <v>50.984328252291228</v>
      </c>
      <c r="Q47" s="20">
        <f t="shared" si="53"/>
        <v>446.97528670607409</v>
      </c>
      <c r="R47" s="59">
        <f t="shared" si="0"/>
        <v>740.3086200394074</v>
      </c>
      <c r="S47" s="59">
        <f ca="1">AVERAGE(OFFSET($R$3,0,0,'Données projet'!$E$9+1,1))-AVERAGE(OFFSET($H$3,0,0,'Données projet'!$E$9+1,1))</f>
        <v>252.28378247570731</v>
      </c>
      <c r="T47" s="59">
        <f t="shared" si="34"/>
        <v>263.50418595307343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22.249120581592319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0.3153200358093517</v>
      </c>
      <c r="AC47" s="22">
        <f t="shared" si="3"/>
        <v>22.564440617401669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11.049999999999992</v>
      </c>
      <c r="N48" s="13">
        <f>IF('Données projet'!$A$36&gt;35,N47+M48-V47,IF(A48&lt;'Données projet'!$A$36,$K$205^A48,IF(A48='Données projet'!$A$36,'Données projet'!$B$36,N47+M48-V47)))</f>
        <v>354.95000000000022</v>
      </c>
      <c r="O48" s="13">
        <f>N48*VLOOKUP('Données projet'!$B$9,Paramètres!$A$1:$I$89,3,0)*VLOOKUP('Données projet'!$B$9,Paramètres!$A$1:$I$89,5,0)</f>
        <v>212.26010000000014</v>
      </c>
      <c r="P48" s="13">
        <f t="shared" si="33"/>
        <v>52.429166286213409</v>
      </c>
      <c r="Q48" s="20">
        <f t="shared" si="53"/>
        <v>461.00047211515522</v>
      </c>
      <c r="R48" s="59">
        <f t="shared" si="0"/>
        <v>754.33380544848853</v>
      </c>
      <c r="S48" s="59">
        <f ca="1">AVERAGE(OFFSET($R$3,0,0,'Données projet'!$E$9+1,1))-AVERAGE(OFFSET($H$3,0,0,'Données projet'!$E$9+1,1))</f>
        <v>252.28378247570731</v>
      </c>
      <c r="T48" s="59">
        <f t="shared" si="34"/>
        <v>263.50418595307343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21.81282889761086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0.22296493556477759</v>
      </c>
      <c r="AC48" s="22">
        <f t="shared" si="3"/>
        <v>22.035793833175639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366</v>
      </c>
      <c r="L49" s="12">
        <f>VLOOKUP(A49,'Données projet'!$A$35:$I$55,9,0)</f>
        <v>11.049999999999992</v>
      </c>
      <c r="M49" s="12">
        <f t="array" ref="M49">INDEX(L:L,MIN(IF(ISNUMBER(L49:L245),ROW(L49:L245),"")))</f>
        <v>11.049999999999992</v>
      </c>
      <c r="N49" s="13">
        <f>IF('Données projet'!$A$36&gt;35,N48+M49-V48,IF(A49&lt;'Données projet'!$A$36,$K$205^A49,IF(A49='Données projet'!$A$36,'Données projet'!$B$36,N48+M49-V48)))</f>
        <v>366.00000000000023</v>
      </c>
      <c r="O49" s="13">
        <f>N49*VLOOKUP('Données projet'!$B$9,Paramètres!$A$1:$I$89,3,0)*VLOOKUP('Données projet'!$B$9,Paramètres!$A$1:$I$89,5,0)</f>
        <v>218.86800000000014</v>
      </c>
      <c r="P49" s="13">
        <f t="shared" si="33"/>
        <v>53.868777293257544</v>
      </c>
      <c r="Q49" s="20">
        <f t="shared" si="53"/>
        <v>475.01655378575714</v>
      </c>
      <c r="R49" s="59">
        <f t="shared" si="0"/>
        <v>768.34988711909045</v>
      </c>
      <c r="S49" s="59">
        <f ca="1">AVERAGE(OFFSET($R$3,0,0,'Données projet'!$E$9+1,1))-AVERAGE(OFFSET($H$3,0,0,'Données projet'!$E$9+1,1))</f>
        <v>252.28378247570731</v>
      </c>
      <c r="T49" s="59">
        <f t="shared" si="34"/>
        <v>263.50418595307343</v>
      </c>
      <c r="U49" s="15">
        <f>IF(ISNA(VLOOKUP(A49,'Données projet'!$A$35:$I$55,3,0)),0,VLOOKUP(A49,'Données projet'!$A$35:$I$55,3,0))</f>
        <v>8</v>
      </c>
      <c r="V49" s="15">
        <f>IF(ISNA(VLOOKUP(A49,'Données projet'!$A$35:$I$55,4,0)),0,VLOOKUP(A49,'Données projet'!$A$35:$I$55,4,0))</f>
        <v>21.3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21.385092627440628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0.15766001790467588</v>
      </c>
      <c r="AC49" s="22">
        <f t="shared" si="3"/>
        <v>21.542752645345303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7.2999999999999972</v>
      </c>
      <c r="N50" s="13">
        <f>IF('Données projet'!$A$36&gt;35,N49+M50-V49,IF(A50&lt;'Données projet'!$A$36,$K$205^A50,IF(A50='Données projet'!$A$36,'Données projet'!$B$36,N49+M50-V49)))</f>
        <v>352.00000000000023</v>
      </c>
      <c r="O50" s="13">
        <f>N50*VLOOKUP('Données projet'!$B$9,Paramètres!$A$1:$I$89,3,0)*VLOOKUP('Données projet'!$B$9,Paramètres!$A$1:$I$89,5,0)</f>
        <v>210.49600000000015</v>
      </c>
      <c r="P50" s="13">
        <f t="shared" si="33"/>
        <v>52.043959291168512</v>
      </c>
      <c r="Q50" s="20">
        <f t="shared" si="53"/>
        <v>457.25709576545205</v>
      </c>
      <c r="R50" s="59">
        <f t="shared" si="0"/>
        <v>750.59042909878531</v>
      </c>
      <c r="S50" s="59">
        <f ca="1">AVERAGE(OFFSET($R$3,0,0,'Données projet'!$E$9+1,1))-AVERAGE(OFFSET($H$3,0,0,'Données projet'!$E$9+1,1))</f>
        <v>252.28378247570731</v>
      </c>
      <c r="T50" s="59">
        <f t="shared" si="34"/>
        <v>263.50418595307343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20.96574400463507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0.11148246778238882</v>
      </c>
      <c r="AC50" s="22">
        <f t="shared" si="3"/>
        <v>21.077226472417458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7.2999999999999972</v>
      </c>
      <c r="N51" s="13">
        <f>IF('Données projet'!$A$36&gt;35,N50+M51-V50,IF(A51&lt;'Données projet'!$A$36,$K$205^A51,IF(A51='Données projet'!$A$36,'Données projet'!$B$36,N50+M51-V50)))</f>
        <v>359.30000000000024</v>
      </c>
      <c r="O51" s="13">
        <f>N51*VLOOKUP('Données projet'!$B$9,Paramètres!$A$1:$I$89,3,0)*VLOOKUP('Données projet'!$B$9,Paramètres!$A$1:$I$89,5,0)</f>
        <v>214.86140000000015</v>
      </c>
      <c r="P51" s="13">
        <f t="shared" si="33"/>
        <v>52.996504799916742</v>
      </c>
      <c r="Q51" s="20">
        <f t="shared" si="53"/>
        <v>466.51918419318849</v>
      </c>
      <c r="R51" s="59">
        <f t="shared" si="0"/>
        <v>759.85251752652175</v>
      </c>
      <c r="S51" s="59">
        <f ca="1">AVERAGE(OFFSET($R$3,0,0,'Données projet'!$E$9+1,1))-AVERAGE(OFFSET($H$3,0,0,'Données projet'!$E$9+1,1))</f>
        <v>252.28378247570731</v>
      </c>
      <c r="T51" s="59">
        <f t="shared" si="34"/>
        <v>263.50418595307343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20.554618552545325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7.8830008952337952E-2</v>
      </c>
      <c r="AC51" s="22">
        <f t="shared" si="3"/>
        <v>20.633448561497662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7.2999999999999972</v>
      </c>
      <c r="N52" s="13">
        <f>IF('Données projet'!$A$36&gt;35,N51+M52-V51,IF(A52&lt;'Données projet'!$A$36,$K$205^A52,IF(A52='Données projet'!$A$36,'Données projet'!$B$36,N51+M52-V51)))</f>
        <v>366.60000000000025</v>
      </c>
      <c r="O52" s="13">
        <f>N52*VLOOKUP('Données projet'!$B$9,Paramètres!$A$1:$I$89,3,0)*VLOOKUP('Données projet'!$B$9,Paramètres!$A$1:$I$89,5,0)</f>
        <v>219.22680000000014</v>
      </c>
      <c r="P52" s="13">
        <f t="shared" si="33"/>
        <v>53.946800101493466</v>
      </c>
      <c r="Q52" s="20">
        <f t="shared" si="53"/>
        <v>475.77735351010136</v>
      </c>
      <c r="R52" s="59">
        <f t="shared" si="0"/>
        <v>769.11068684343468</v>
      </c>
      <c r="S52" s="59">
        <f ca="1">AVERAGE(OFFSET($R$3,0,0,'Données projet'!$E$9+1,1))-AVERAGE(OFFSET($H$3,0,0,'Données projet'!$E$9+1,1))</f>
        <v>252.28378247570731</v>
      </c>
      <c r="T52" s="59">
        <f t="shared" si="34"/>
        <v>263.50418595307343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20.151555019809294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5.5741233891194418E-2</v>
      </c>
      <c r="AC52" s="22">
        <f t="shared" si="3"/>
        <v>20.207296253700488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7.2999999999999972</v>
      </c>
      <c r="N53" s="13">
        <f>IF('Données projet'!$A$36&gt;35,N52+M53-V52,IF(A53&lt;'Données projet'!$A$36,$K$205^A53,IF(A53='Données projet'!$A$36,'Données projet'!$B$36,N52+M53-V52)))</f>
        <v>373.90000000000026</v>
      </c>
      <c r="O53" s="13">
        <f>N53*VLOOKUP('Données projet'!$B$9,Paramètres!$A$1:$I$89,3,0)*VLOOKUP('Données projet'!$B$9,Paramètres!$A$1:$I$89,5,0)</f>
        <v>223.59220000000019</v>
      </c>
      <c r="P53" s="13">
        <f t="shared" si="33"/>
        <v>54.894895167980749</v>
      </c>
      <c r="Q53" s="20">
        <f t="shared" si="53"/>
        <v>485.03169075090017</v>
      </c>
      <c r="R53" s="59">
        <f t="shared" si="0"/>
        <v>778.36502408423348</v>
      </c>
      <c r="S53" s="59">
        <f ca="1">AVERAGE(OFFSET($R$3,0,0,'Données projet'!$E$9+1,1))-AVERAGE(OFFSET($H$3,0,0,'Données projet'!$E$9+1,1))</f>
        <v>252.28378247570731</v>
      </c>
      <c r="T53" s="59">
        <f t="shared" si="34"/>
        <v>263.50418595307343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19.756395317105738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3.9415004476168983E-2</v>
      </c>
      <c r="AC53" s="22">
        <f t="shared" si="3"/>
        <v>19.795810321581907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7.2999999999999972</v>
      </c>
      <c r="N54" s="13">
        <f>IF('Données projet'!$A$36&gt;35,N53+M54-V53,IF(A54&lt;'Données projet'!$A$36,$K$205^A54,IF(A54='Données projet'!$A$36,'Données projet'!$B$36,N53+M54-V53)))</f>
        <v>381.20000000000027</v>
      </c>
      <c r="O54" s="13">
        <f>N54*VLOOKUP('Données projet'!$B$9,Paramètres!$A$1:$I$89,3,0)*VLOOKUP('Données projet'!$B$9,Paramètres!$A$1:$I$89,5,0)</f>
        <v>227.95760000000018</v>
      </c>
      <c r="P54" s="13">
        <f t="shared" si="33"/>
        <v>55.840837908542632</v>
      </c>
      <c r="Q54" s="20">
        <f t="shared" si="53"/>
        <v>494.28227935737868</v>
      </c>
      <c r="R54" s="59">
        <f t="shared" si="0"/>
        <v>787.61561269071194</v>
      </c>
      <c r="S54" s="59">
        <f ca="1">AVERAGE(OFFSET($R$3,0,0,'Données projet'!$E$9+1,1))-AVERAGE(OFFSET($H$3,0,0,'Données projet'!$E$9+1,1))</f>
        <v>252.28378247570731</v>
      </c>
      <c r="T54" s="59">
        <f t="shared" si="34"/>
        <v>263.50418595307343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19.368984455148578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2.7870616945597212E-2</v>
      </c>
      <c r="AC54" s="22">
        <f t="shared" si="3"/>
        <v>19.396855072094176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7.2999999999999972</v>
      </c>
      <c r="N55" s="13">
        <f>IF('Données projet'!$A$36&gt;35,N54+M55-V54,IF(A55&lt;'Données projet'!$A$36,$K$205^A55,IF(A55='Données projet'!$A$36,'Données projet'!$B$36,N54+M55-V54)))</f>
        <v>388.50000000000028</v>
      </c>
      <c r="O55" s="13">
        <f>N55*VLOOKUP('Données projet'!$B$9,Paramètres!$A$1:$I$89,3,0)*VLOOKUP('Données projet'!$B$9,Paramètres!$A$1:$I$89,5,0)</f>
        <v>232.32300000000021</v>
      </c>
      <c r="P55" s="13">
        <f t="shared" si="33"/>
        <v>56.784674292431681</v>
      </c>
      <c r="Q55" s="20">
        <f t="shared" si="53"/>
        <v>503.52919939265217</v>
      </c>
      <c r="R55" s="59">
        <f t="shared" si="0"/>
        <v>796.86253272598549</v>
      </c>
      <c r="S55" s="59">
        <f ca="1">AVERAGE(OFFSET($R$3,0,0,'Données projet'!$E$9+1,1))-AVERAGE(OFFSET($H$3,0,0,'Données projet'!$E$9+1,1))</f>
        <v>252.28378247570731</v>
      </c>
      <c r="T55" s="59">
        <f t="shared" si="34"/>
        <v>263.50418595307343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18.989170483897105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1.9707502238084491E-2</v>
      </c>
      <c r="AC55" s="22">
        <f t="shared" si="3"/>
        <v>19.00887798613519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7.2999999999999972</v>
      </c>
      <c r="N56" s="13">
        <f>IF('Données projet'!$A$36&gt;35,N55+M56-V55,IF(A56&lt;'Données projet'!$A$36,$K$205^A56,IF(A56='Données projet'!$A$36,'Données projet'!$B$36,N55+M56-V55)))</f>
        <v>395.8000000000003</v>
      </c>
      <c r="O56" s="13">
        <f>N56*VLOOKUP('Données projet'!$B$9,Paramètres!$A$1:$I$89,3,0)*VLOOKUP('Données projet'!$B$9,Paramètres!$A$1:$I$89,5,0)</f>
        <v>236.6884000000002</v>
      </c>
      <c r="P56" s="13">
        <f t="shared" si="33"/>
        <v>57.726448462488456</v>
      </c>
      <c r="Q56" s="20">
        <f t="shared" si="53"/>
        <v>512.77252773883436</v>
      </c>
      <c r="R56" s="59">
        <f t="shared" si="0"/>
        <v>806.10586107216773</v>
      </c>
      <c r="S56" s="59">
        <f ca="1">AVERAGE(OFFSET($R$3,0,0,'Données projet'!$E$9+1,1))-AVERAGE(OFFSET($H$3,0,0,'Données projet'!$E$9+1,1))</f>
        <v>252.28378247570731</v>
      </c>
      <c r="T56" s="59">
        <f t="shared" si="34"/>
        <v>263.50418595307343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18.616804432958226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1.3935308472798606E-2</v>
      </c>
      <c r="AC56" s="22">
        <f t="shared" si="3"/>
        <v>18.630739741431025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403.09999999999997</v>
      </c>
      <c r="L57" s="12">
        <f>VLOOKUP(A57,'Données projet'!$A$35:$I$55,9,0)</f>
        <v>7.2999999999999972</v>
      </c>
      <c r="M57" s="12">
        <f t="array" ref="M57">INDEX(L:L,MIN(IF(ISNUMBER(L57:L253),ROW(L57:L253),"")))</f>
        <v>7.2999999999999972</v>
      </c>
      <c r="N57" s="13">
        <f>IF('Données projet'!$A$36&gt;35,N56+M57-V56,IF(A57&lt;'Données projet'!$A$36,$K$205^A57,IF(A57='Données projet'!$A$36,'Données projet'!$B$36,N56+M57-V56)))</f>
        <v>403.10000000000031</v>
      </c>
      <c r="O57" s="13">
        <f>N57*VLOOKUP('Données projet'!$B$9,Paramètres!$A$1:$I$89,3,0)*VLOOKUP('Données projet'!$B$9,Paramètres!$A$1:$I$89,5,0)</f>
        <v>241.05380000000022</v>
      </c>
      <c r="P57" s="13">
        <f t="shared" si="33"/>
        <v>58.666202840030898</v>
      </c>
      <c r="Q57" s="20">
        <f t="shared" si="53"/>
        <v>522.01233827972089</v>
      </c>
      <c r="R57" s="59">
        <f t="shared" si="0"/>
        <v>815.34567161305426</v>
      </c>
      <c r="S57" s="59">
        <f ca="1">AVERAGE(OFFSET($R$3,0,0,'Données projet'!$E$9+1,1))-AVERAGE(OFFSET($H$3,0,0,'Données projet'!$E$9+1,1))</f>
        <v>252.28378247570731</v>
      </c>
      <c r="T57" s="59">
        <f t="shared" si="34"/>
        <v>263.50418595307343</v>
      </c>
      <c r="U57" s="15">
        <f>IF(ISNA(VLOOKUP(A57,'Données projet'!$A$35:$I$55,3,0)),0,VLOOKUP(A57,'Données projet'!$A$35:$I$55,3,0))</f>
        <v>9</v>
      </c>
      <c r="V57" s="15">
        <f>IF(ISNA(VLOOKUP(A57,'Données projet'!$A$35:$I$55,4,0)),0,VLOOKUP(A57,'Données projet'!$A$35:$I$55,4,0))</f>
        <v>17.399999999999999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18.251740253157394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9.8537511190422457E-3</v>
      </c>
      <c r="AC57" s="22">
        <f t="shared" si="3"/>
        <v>18.261594004276436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3.0375000000000085</v>
      </c>
      <c r="N58" s="13">
        <f>IF('Données projet'!$A$36&gt;35,N57+M58-V57,IF(A58&lt;'Données projet'!$A$36,$K$205^A58,IF(A58='Données projet'!$A$36,'Données projet'!$B$36,N57+M58-V57)))</f>
        <v>388.73750000000035</v>
      </c>
      <c r="O58" s="13">
        <f>N58*VLOOKUP('Données projet'!$B$9,Paramètres!$A$1:$I$89,3,0)*VLOOKUP('Données projet'!$B$9,Paramètres!$A$1:$I$89,5,0)</f>
        <v>232.46502500000025</v>
      </c>
      <c r="P58" s="13">
        <f t="shared" si="33"/>
        <v>56.81534642612386</v>
      </c>
      <c r="Q58" s="20">
        <f t="shared" si="53"/>
        <v>503.82998023383288</v>
      </c>
      <c r="R58" s="59">
        <f t="shared" si="0"/>
        <v>797.16331356716614</v>
      </c>
      <c r="S58" s="59">
        <f ca="1">AVERAGE(OFFSET($R$3,0,0,'Données projet'!$E$9+1,1))-AVERAGE(OFFSET($H$3,0,0,'Données projet'!$E$9+1,1))</f>
        <v>252.28378247570731</v>
      </c>
      <c r="T58" s="59">
        <f t="shared" si="34"/>
        <v>263.50418595307343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17.893834759255292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6.9676542363993031E-3</v>
      </c>
      <c r="AC58" s="22">
        <f t="shared" si="3"/>
        <v>17.900802413491689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3.0375000000000085</v>
      </c>
      <c r="N59" s="13">
        <f>IF('Données projet'!$A$36&gt;35,N58+M59-V58,IF(A59&lt;'Données projet'!$A$36,$K$205^A59,IF(A59='Données projet'!$A$36,'Données projet'!$B$36,N58+M59-V58)))</f>
        <v>391.77500000000038</v>
      </c>
      <c r="O59" s="13">
        <f>N59*VLOOKUP('Données projet'!$B$9,Paramètres!$A$1:$I$89,3,0)*VLOOKUP('Données projet'!$B$9,Paramètres!$A$1:$I$89,5,0)</f>
        <v>234.28145000000023</v>
      </c>
      <c r="P59" s="13">
        <f t="shared" si="33"/>
        <v>57.207435050889636</v>
      </c>
      <c r="Q59" s="20">
        <f t="shared" si="53"/>
        <v>507.67647479696649</v>
      </c>
      <c r="R59" s="59">
        <f t="shared" si="0"/>
        <v>801.0098081302998</v>
      </c>
      <c r="S59" s="59">
        <f ca="1">AVERAGE(OFFSET($R$3,0,0,'Données projet'!$E$9+1,1))-AVERAGE(OFFSET($H$3,0,0,'Données projet'!$E$9+1,1))</f>
        <v>252.28378247570731</v>
      </c>
      <c r="T59" s="59">
        <f t="shared" si="34"/>
        <v>263.50418595307343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17.542947573787814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4.9268755595211228E-3</v>
      </c>
      <c r="AC59" s="22">
        <f t="shared" si="3"/>
        <v>17.547874449347336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3.0375000000000085</v>
      </c>
      <c r="N60" s="13">
        <f>IF('Données projet'!$A$36&gt;35,N59+M60-V59,IF(A60&lt;'Données projet'!$A$36,$K$205^A60,IF(A60='Données projet'!$A$36,'Données projet'!$B$36,N59+M60-V59)))</f>
        <v>394.8125000000004</v>
      </c>
      <c r="O60" s="13">
        <f>N60*VLOOKUP('Données projet'!$B$9,Paramètres!$A$1:$I$89,3,0)*VLOOKUP('Données projet'!$B$9,Paramètres!$A$1:$I$89,5,0)</f>
        <v>236.09787500000024</v>
      </c>
      <c r="P60" s="13">
        <f t="shared" si="33"/>
        <v>57.599169983491038</v>
      </c>
      <c r="Q60" s="20">
        <f t="shared" si="53"/>
        <v>511.52235334624737</v>
      </c>
      <c r="R60" s="59">
        <f t="shared" si="0"/>
        <v>804.85568667958069</v>
      </c>
      <c r="S60" s="59">
        <f ca="1">AVERAGE(OFFSET($R$3,0,0,'Données projet'!$E$9+1,1))-AVERAGE(OFFSET($H$3,0,0,'Données projet'!$E$9+1,1))</f>
        <v>252.28378247570731</v>
      </c>
      <c r="T60" s="59">
        <f t="shared" si="34"/>
        <v>263.50418595307343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17.198941072007305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3.4838271181996516E-3</v>
      </c>
      <c r="AC60" s="22">
        <f t="shared" si="3"/>
        <v>17.202424899125504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3.0375000000000085</v>
      </c>
      <c r="N61" s="13">
        <f>IF('Données projet'!$A$36&gt;35,N60+M61-V60,IF(A61&lt;'Données projet'!$A$36,$K$205^A61,IF(A61='Données projet'!$A$36,'Données projet'!$B$36,N60+M61-V60)))</f>
        <v>397.85000000000042</v>
      </c>
      <c r="O61" s="13">
        <f>N61*VLOOKUP('Données projet'!$B$9,Paramètres!$A$1:$I$89,3,0)*VLOOKUP('Données projet'!$B$9,Paramètres!$A$1:$I$89,5,0)</f>
        <v>237.91430000000025</v>
      </c>
      <c r="P61" s="13">
        <f t="shared" si="33"/>
        <v>57.990554260508603</v>
      </c>
      <c r="Q61" s="20">
        <f t="shared" si="53"/>
        <v>515.3676211703862</v>
      </c>
      <c r="R61" s="59">
        <f t="shared" si="0"/>
        <v>808.70095450371946</v>
      </c>
      <c r="S61" s="59">
        <f ca="1">AVERAGE(OFFSET($R$3,0,0,'Données projet'!$E$9+1,1))-AVERAGE(OFFSET($H$3,0,0,'Données projet'!$E$9+1,1))</f>
        <v>252.28378247570731</v>
      </c>
      <c r="T61" s="59">
        <f t="shared" si="34"/>
        <v>263.50418595307343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16.861680327903464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2.4634377797605614E-3</v>
      </c>
      <c r="AC61" s="22">
        <f t="shared" si="3"/>
        <v>16.864143765683224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3.0375000000000085</v>
      </c>
      <c r="N62" s="13">
        <f>IF('Données projet'!$A$36&gt;35,N61+M62-V61,IF(A62&lt;'Données projet'!$A$36,$K$205^A62,IF(A62='Données projet'!$A$36,'Données projet'!$B$36,N61+M62-V61)))</f>
        <v>400.88750000000044</v>
      </c>
      <c r="O62" s="13">
        <f>N62*VLOOKUP('Données projet'!$B$9,Paramètres!$A$1:$I$89,3,0)*VLOOKUP('Données projet'!$B$9,Paramètres!$A$1:$I$89,5,0)</f>
        <v>239.73072500000029</v>
      </c>
      <c r="P62" s="13">
        <f t="shared" si="33"/>
        <v>58.381590869477499</v>
      </c>
      <c r="Q62" s="20">
        <f t="shared" si="53"/>
        <v>519.2122834726739</v>
      </c>
      <c r="R62" s="59">
        <f t="shared" si="0"/>
        <v>812.54561680600727</v>
      </c>
      <c r="S62" s="59">
        <f ca="1">AVERAGE(OFFSET($R$3,0,0,'Données projet'!$E$9+1,1))-AVERAGE(OFFSET($H$3,0,0,'Données projet'!$E$9+1,1))</f>
        <v>252.28378247570731</v>
      </c>
      <c r="T62" s="59">
        <f t="shared" si="34"/>
        <v>263.50418595307343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16.531033061282756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1.7419135590998258E-3</v>
      </c>
      <c r="AC62" s="22">
        <f t="shared" si="3"/>
        <v>16.532774974841857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3.0375000000000085</v>
      </c>
      <c r="N63" s="13">
        <f>IF('Données projet'!$A$36&gt;35,N62+M63-V62,IF(A63&lt;'Données projet'!$A$36,$K$205^A63,IF(A63='Données projet'!$A$36,'Données projet'!$B$36,N62+M63-V62)))</f>
        <v>403.92500000000047</v>
      </c>
      <c r="O63" s="13">
        <f>N63*VLOOKUP('Données projet'!$B$9,Paramètres!$A$1:$I$89,3,0)*VLOOKUP('Données projet'!$B$9,Paramètres!$A$1:$I$89,5,0)</f>
        <v>241.5471500000003</v>
      </c>
      <c r="P63" s="13">
        <f t="shared" si="33"/>
        <v>58.772282750044901</v>
      </c>
      <c r="Q63" s="20">
        <f t="shared" si="53"/>
        <v>523.05634537299545</v>
      </c>
      <c r="R63" s="59">
        <f t="shared" si="0"/>
        <v>816.38967870632882</v>
      </c>
      <c r="S63" s="59">
        <f ca="1">AVERAGE(OFFSET($R$3,0,0,'Données projet'!$E$9+1,1))-AVERAGE(OFFSET($H$3,0,0,'Données projet'!$E$9+1,1))</f>
        <v>252.28378247570731</v>
      </c>
      <c r="T63" s="59">
        <f t="shared" si="34"/>
        <v>263.50418595307343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16.20686958588556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1.2317188898802807E-3</v>
      </c>
      <c r="AC63" s="22">
        <f t="shared" si="3"/>
        <v>16.20810130477544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3.0375000000000085</v>
      </c>
      <c r="N64" s="13">
        <f>IF('Données projet'!$A$36&gt;35,N63+M64-V63,IF(A64&lt;'Données projet'!$A$36,$K$205^A64,IF(A64='Données projet'!$A$36,'Données projet'!$B$36,N63+M64-V63)))</f>
        <v>406.96250000000049</v>
      </c>
      <c r="O64" s="13">
        <f>N64*VLOOKUP('Données projet'!$B$9,Paramètres!$A$1:$I$89,3,0)*VLOOKUP('Données projet'!$B$9,Paramètres!$A$1:$I$89,5,0)</f>
        <v>243.36357500000031</v>
      </c>
      <c r="P64" s="13">
        <f t="shared" si="33"/>
        <v>59.162632795092129</v>
      </c>
      <c r="Q64" s="20">
        <f t="shared" si="53"/>
        <v>526.89981190978597</v>
      </c>
      <c r="R64" s="59">
        <f t="shared" si="0"/>
        <v>820.23314524311922</v>
      </c>
      <c r="S64" s="59">
        <f ca="1">AVERAGE(OFFSET($R$3,0,0,'Données projet'!$E$9+1,1))-AVERAGE(OFFSET($H$3,0,0,'Données projet'!$E$9+1,1))</f>
        <v>252.28378247570731</v>
      </c>
      <c r="T64" s="59">
        <f t="shared" si="34"/>
        <v>263.50418595307343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15.889062758520707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8.7095677954991289E-4</v>
      </c>
      <c r="AC64" s="22">
        <f t="shared" si="3"/>
        <v>15.889933715300257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410.00000000000006</v>
      </c>
      <c r="L65" s="12">
        <f>VLOOKUP(A65,'Données projet'!$A$35:$I$55,9,0)</f>
        <v>3.0375000000000085</v>
      </c>
      <c r="M65" s="12">
        <f t="array" ref="M65">INDEX(L:L,MIN(IF(ISNUMBER(L65:L261),ROW(L65:L261),"")))</f>
        <v>3.0375000000000085</v>
      </c>
      <c r="N65" s="13">
        <f>IF('Données projet'!$A$36&gt;35,N64+M65-V64,IF(A65&lt;'Données projet'!$A$36,$K$205^A65,IF(A65='Données projet'!$A$36,'Données projet'!$B$36,N64+M65-V64)))</f>
        <v>410.00000000000051</v>
      </c>
      <c r="O65" s="13">
        <f>N65*VLOOKUP('Données projet'!$B$9,Paramètres!$A$1:$I$89,3,0)*VLOOKUP('Données projet'!$B$9,Paramètres!$A$1:$I$89,5,0)</f>
        <v>245.18000000000032</v>
      </c>
      <c r="P65" s="13">
        <f t="shared" si="33"/>
        <v>59.552643851821543</v>
      </c>
      <c r="Q65" s="20">
        <f t="shared" si="53"/>
        <v>530.74268804192309</v>
      </c>
      <c r="R65" s="59">
        <f t="shared" si="0"/>
        <v>824.07602137525646</v>
      </c>
      <c r="S65" s="59">
        <f ca="1">AVERAGE(OFFSET($R$3,0,0,'Données projet'!$E$9+1,1))-AVERAGE(OFFSET($H$3,0,0,'Données projet'!$E$9+1,1))</f>
        <v>252.28378247570731</v>
      </c>
      <c r="T65" s="59">
        <f t="shared" si="34"/>
        <v>263.50418595307343</v>
      </c>
      <c r="U65" s="15">
        <f>IF(ISNA(VLOOKUP(A65,'Données projet'!$A$35:$I$55,3,0)),0,VLOOKUP(A65,'Données projet'!$A$35:$I$55,3,0))</f>
        <v>10</v>
      </c>
      <c r="V65" s="15">
        <f>IF(ISNA(VLOOKUP(A65,'Données projet'!$A$35:$I$55,4,0)),0,VLOOKUP(A65,'Données projet'!$A$35:$I$55,4,0))</f>
        <v>410.00000000000006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15.577487929197455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6.1585944494014036E-4</v>
      </c>
      <c r="AC65" s="22">
        <f t="shared" si="3"/>
        <v>15.578103788642395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4.5474735088646412E-13</v>
      </c>
      <c r="O66" s="13">
        <f>N66*VLOOKUP('Données projet'!$B$9,Paramètres!$A$1:$I$89,3,0)*VLOOKUP('Données projet'!$B$9,Paramètres!$A$1:$I$89,5,0)</f>
        <v>2.7193891583010558E-13</v>
      </c>
      <c r="P66" s="13">
        <f t="shared" si="33"/>
        <v>3.6362267729089988E-12</v>
      </c>
      <c r="Q66" s="20">
        <f t="shared" si="53"/>
        <v>6.8067219078872727E-12</v>
      </c>
      <c r="R66" s="59">
        <f t="shared" si="0"/>
        <v>293.33333333334014</v>
      </c>
      <c r="S66" s="59">
        <f ca="1">AVERAGE(OFFSET($R$3,0,0,'Données projet'!$E$9+1,1))-AVERAGE(OFFSET($H$3,0,0,'Données projet'!$E$9+1,1))</f>
        <v>252.28378247570731</v>
      </c>
      <c r="T66" s="59">
        <f t="shared" si="34"/>
        <v>263.50418595307343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15.27202289223535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4.3547838977495644E-4</v>
      </c>
      <c r="AC66" s="22">
        <f t="shared" si="3"/>
        <v>15.272458370625126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4.5474735088646412E-13</v>
      </c>
      <c r="O67" s="13">
        <f>N67*VLOOKUP('Données projet'!$B$9,Paramètres!$A$1:$I$89,3,0)*VLOOKUP('Données projet'!$B$9,Paramètres!$A$1:$I$89,5,0)</f>
        <v>2.7193891583010558E-13</v>
      </c>
      <c r="P67" s="13">
        <f t="shared" si="33"/>
        <v>3.6362267729089988E-12</v>
      </c>
      <c r="Q67" s="20">
        <f t="shared" ref="Q67:Q98" si="54">(O67+P67)*0.475*44/12</f>
        <v>6.8067219078872727E-12</v>
      </c>
      <c r="R67" s="59">
        <f t="shared" ref="R67:R130" si="55">Q67+(I67+J67)*44/12</f>
        <v>293.33333333334014</v>
      </c>
      <c r="S67" s="59">
        <f ca="1">AVERAGE(OFFSET($R$3,0,0,'Données projet'!$E$9+1,1))-AVERAGE(OFFSET($H$3,0,0,'Données projet'!$E$9+1,1))</f>
        <v>252.28378247570731</v>
      </c>
      <c r="T67" s="59">
        <f t="shared" si="34"/>
        <v>263.50418595307343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14.972547838332797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3.0792972247007018E-4</v>
      </c>
      <c r="AC67" s="22">
        <f t="shared" si="3"/>
        <v>14.972855768055268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4.5474735088646412E-13</v>
      </c>
      <c r="O68" s="13">
        <f>N68*VLOOKUP('Données projet'!$B$9,Paramètres!$A$1:$I$89,3,0)*VLOOKUP('Données projet'!$B$9,Paramètres!$A$1:$I$89,5,0)</f>
        <v>2.7193891583010558E-13</v>
      </c>
      <c r="P68" s="13">
        <f t="shared" si="33"/>
        <v>3.6362267729089988E-12</v>
      </c>
      <c r="Q68" s="20">
        <f t="shared" si="54"/>
        <v>6.8067219078872727E-12</v>
      </c>
      <c r="R68" s="59">
        <f t="shared" si="55"/>
        <v>293.33333333334014</v>
      </c>
      <c r="S68" s="59">
        <f ca="1">AVERAGE(OFFSET($R$3,0,0,'Données projet'!$E$9+1,1))-AVERAGE(OFFSET($H$3,0,0,'Données projet'!$E$9+1,1))</f>
        <v>252.28378247570731</v>
      </c>
      <c r="T68" s="59">
        <f t="shared" si="34"/>
        <v>263.50418595307343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14.678945307575528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2.1773919488747822E-4</v>
      </c>
      <c r="AC68" s="22">
        <f t="shared" ref="AC68:AC131" si="57">SUM(Z68:AB68)</f>
        <v>14.679163046770416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4.5474735088646412E-13</v>
      </c>
      <c r="O69" s="13">
        <f>N69*VLOOKUP('Données projet'!$B$9,Paramètres!$A$1:$I$89,3,0)*VLOOKUP('Données projet'!$B$9,Paramètres!$A$1:$I$89,5,0)</f>
        <v>2.7193891583010558E-13</v>
      </c>
      <c r="P69" s="13">
        <f t="shared" ref="P69:P132" si="87">EXP(-1.0587+0.8836*LN(O69)+0.284)</f>
        <v>3.6362267729089988E-12</v>
      </c>
      <c r="Q69" s="20">
        <f t="shared" si="54"/>
        <v>6.8067219078872727E-12</v>
      </c>
      <c r="R69" s="59">
        <f t="shared" si="55"/>
        <v>293.33333333334014</v>
      </c>
      <c r="S69" s="59">
        <f ca="1">AVERAGE(OFFSET($R$3,0,0,'Données projet'!$E$9+1,1))-AVERAGE(OFFSET($H$3,0,0,'Données projet'!$E$9+1,1))</f>
        <v>252.28378247570731</v>
      </c>
      <c r="T69" s="59">
        <f t="shared" ref="T69:T132" si="88">$T$3</f>
        <v>263.50418595307343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14.391100143366547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1.5396486123503509E-4</v>
      </c>
      <c r="AC69" s="22">
        <f t="shared" si="57"/>
        <v>14.391254108227782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4.5474735088646412E-13</v>
      </c>
      <c r="O70" s="13">
        <f>N70*VLOOKUP('Données projet'!$B$9,Paramètres!$A$1:$I$89,3,0)*VLOOKUP('Données projet'!$B$9,Paramètres!$A$1:$I$89,5,0)</f>
        <v>2.7193891583010558E-13</v>
      </c>
      <c r="P70" s="13">
        <f t="shared" si="87"/>
        <v>3.6362267729089988E-12</v>
      </c>
      <c r="Q70" s="20">
        <f t="shared" si="54"/>
        <v>6.8067219078872727E-12</v>
      </c>
      <c r="R70" s="59">
        <f t="shared" si="55"/>
        <v>293.33333333334014</v>
      </c>
      <c r="S70" s="59">
        <f ca="1">AVERAGE(OFFSET($R$3,0,0,'Données projet'!$E$9+1,1))-AVERAGE(OFFSET($H$3,0,0,'Données projet'!$E$9+1,1))</f>
        <v>252.28378247570731</v>
      </c>
      <c r="T70" s="59">
        <f t="shared" si="88"/>
        <v>263.50418595307343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14.108899447259491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1.0886959744373911E-4</v>
      </c>
      <c r="AC70" s="22">
        <f t="shared" si="57"/>
        <v>14.109008316856935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4.5474735088646412E-13</v>
      </c>
      <c r="O71" s="13">
        <f>N71*VLOOKUP('Données projet'!$B$9,Paramètres!$A$1:$I$89,3,0)*VLOOKUP('Données projet'!$B$9,Paramètres!$A$1:$I$89,5,0)</f>
        <v>2.7193891583010558E-13</v>
      </c>
      <c r="P71" s="13">
        <f t="shared" si="87"/>
        <v>3.6362267729089988E-12</v>
      </c>
      <c r="Q71" s="20">
        <f t="shared" si="54"/>
        <v>6.8067219078872727E-12</v>
      </c>
      <c r="R71" s="59">
        <f t="shared" si="55"/>
        <v>293.33333333334014</v>
      </c>
      <c r="S71" s="59">
        <f ca="1">AVERAGE(OFFSET($R$3,0,0,'Données projet'!$E$9+1,1))-AVERAGE(OFFSET($H$3,0,0,'Données projet'!$E$9+1,1))</f>
        <v>252.28378247570731</v>
      </c>
      <c r="T71" s="59">
        <f t="shared" si="88"/>
        <v>263.50418595307343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13.832232534677665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7.6982430617517544E-5</v>
      </c>
      <c r="AC71" s="22">
        <f t="shared" si="57"/>
        <v>13.832309517108282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4.5474735088646412E-13</v>
      </c>
      <c r="O72" s="13">
        <f>N72*VLOOKUP('Données projet'!$B$9,Paramètres!$A$1:$I$89,3,0)*VLOOKUP('Données projet'!$B$9,Paramètres!$A$1:$I$89,5,0)</f>
        <v>2.7193891583010558E-13</v>
      </c>
      <c r="P72" s="13">
        <f t="shared" si="87"/>
        <v>3.6362267729089988E-12</v>
      </c>
      <c r="Q72" s="20">
        <f t="shared" si="54"/>
        <v>6.8067219078872727E-12</v>
      </c>
      <c r="R72" s="59">
        <f t="shared" si="55"/>
        <v>293.33333333334014</v>
      </c>
      <c r="S72" s="59">
        <f ca="1">AVERAGE(OFFSET($R$3,0,0,'Données projet'!$E$9+1,1))-AVERAGE(OFFSET($H$3,0,0,'Données projet'!$E$9+1,1))</f>
        <v>252.28378247570731</v>
      </c>
      <c r="T72" s="59">
        <f t="shared" si="88"/>
        <v>263.50418595307343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13.560990891501415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5.4434798721869556E-5</v>
      </c>
      <c r="AC72" s="22">
        <f t="shared" si="57"/>
        <v>13.561045326300137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4.5474735088646412E-13</v>
      </c>
      <c r="O73" s="13">
        <f>N73*VLOOKUP('Données projet'!$B$9,Paramètres!$A$1:$I$89,3,0)*VLOOKUP('Données projet'!$B$9,Paramètres!$A$1:$I$89,5,0)</f>
        <v>2.7193891583010558E-13</v>
      </c>
      <c r="P73" s="13">
        <f t="shared" si="87"/>
        <v>3.6362267729089988E-12</v>
      </c>
      <c r="Q73" s="20">
        <f t="shared" si="54"/>
        <v>6.8067219078872727E-12</v>
      </c>
      <c r="R73" s="59">
        <f t="shared" si="55"/>
        <v>293.33333333334014</v>
      </c>
      <c r="S73" s="59">
        <f ca="1">AVERAGE(OFFSET($R$3,0,0,'Données projet'!$E$9+1,1))-AVERAGE(OFFSET($H$3,0,0,'Données projet'!$E$9+1,1))</f>
        <v>252.28378247570731</v>
      </c>
      <c r="T73" s="59">
        <f t="shared" si="88"/>
        <v>263.50418595307343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13.295068131506785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3.8491215308758772E-5</v>
      </c>
      <c r="AC73" s="22">
        <f t="shared" si="57"/>
        <v>13.295106622722093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4.5474735088646412E-13</v>
      </c>
      <c r="O74" s="13">
        <f>N74*VLOOKUP('Données projet'!$B$9,Paramètres!$A$1:$I$89,3,0)*VLOOKUP('Données projet'!$B$9,Paramètres!$A$1:$I$89,5,0)</f>
        <v>2.7193891583010558E-13</v>
      </c>
      <c r="P74" s="13">
        <f t="shared" si="87"/>
        <v>3.6362267729089988E-12</v>
      </c>
      <c r="Q74" s="20">
        <f t="shared" si="54"/>
        <v>6.8067219078872727E-12</v>
      </c>
      <c r="R74" s="59">
        <f t="shared" si="55"/>
        <v>293.33333333334014</v>
      </c>
      <c r="S74" s="59">
        <f ca="1">AVERAGE(OFFSET($R$3,0,0,'Données projet'!$E$9+1,1))-AVERAGE(OFFSET($H$3,0,0,'Données projet'!$E$9+1,1))</f>
        <v>252.28378247570731</v>
      </c>
      <c r="T74" s="59">
        <f t="shared" si="88"/>
        <v>263.50418595307343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13.034359954638781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2.7217399360934778E-5</v>
      </c>
      <c r="AC74" s="22">
        <f t="shared" si="57"/>
        <v>13.034387172038141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4.5474735088646412E-13</v>
      </c>
      <c r="O75" s="13">
        <f>N75*VLOOKUP('Données projet'!$B$9,Paramètres!$A$1:$I$89,3,0)*VLOOKUP('Données projet'!$B$9,Paramètres!$A$1:$I$89,5,0)</f>
        <v>2.7193891583010558E-13</v>
      </c>
      <c r="P75" s="13">
        <f t="shared" si="87"/>
        <v>3.6362267729089988E-12</v>
      </c>
      <c r="Q75" s="20">
        <f t="shared" si="54"/>
        <v>6.8067219078872727E-12</v>
      </c>
      <c r="R75" s="59">
        <f t="shared" si="55"/>
        <v>293.33333333334014</v>
      </c>
      <c r="S75" s="59">
        <f ca="1">AVERAGE(OFFSET($R$3,0,0,'Données projet'!$E$9+1,1))-AVERAGE(OFFSET($H$3,0,0,'Données projet'!$E$9+1,1))</f>
        <v>252.28378247570731</v>
      </c>
      <c r="T75" s="59">
        <f t="shared" si="88"/>
        <v>263.50418595307343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12.778764106102871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1.9245607654379386E-5</v>
      </c>
      <c r="AC75" s="22">
        <f t="shared" si="57"/>
        <v>12.778783351710526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4.5474735088646412E-13</v>
      </c>
      <c r="O76" s="13">
        <f>N76*VLOOKUP('Données projet'!$B$9,Paramètres!$A$1:$I$89,3,0)*VLOOKUP('Données projet'!$B$9,Paramètres!$A$1:$I$89,5,0)</f>
        <v>2.7193891583010558E-13</v>
      </c>
      <c r="P76" s="13">
        <f t="shared" si="87"/>
        <v>3.6362267729089988E-12</v>
      </c>
      <c r="Q76" s="20">
        <f t="shared" si="54"/>
        <v>6.8067219078872727E-12</v>
      </c>
      <c r="R76" s="59">
        <f t="shared" si="55"/>
        <v>293.33333333334014</v>
      </c>
      <c r="S76" s="59">
        <f ca="1">AVERAGE(OFFSET($R$3,0,0,'Données projet'!$E$9+1,1))-AVERAGE(OFFSET($H$3,0,0,'Données projet'!$E$9+1,1))</f>
        <v>252.28378247570731</v>
      </c>
      <c r="T76" s="59">
        <f t="shared" si="88"/>
        <v>263.50418595307343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12.528180336258679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1.3608699680467389E-5</v>
      </c>
      <c r="AC76" s="22">
        <f t="shared" si="57"/>
        <v>12.528193944958359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4.5474735088646412E-13</v>
      </c>
      <c r="O77" s="13">
        <f>N77*VLOOKUP('Données projet'!$B$9,Paramètres!$A$1:$I$89,3,0)*VLOOKUP('Données projet'!$B$9,Paramètres!$A$1:$I$89,5,0)</f>
        <v>2.7193891583010558E-13</v>
      </c>
      <c r="P77" s="13">
        <f t="shared" si="87"/>
        <v>3.6362267729089988E-12</v>
      </c>
      <c r="Q77" s="20">
        <f t="shared" si="54"/>
        <v>6.8067219078872727E-12</v>
      </c>
      <c r="R77" s="59">
        <f t="shared" si="55"/>
        <v>293.33333333334014</v>
      </c>
      <c r="S77" s="59">
        <f ca="1">AVERAGE(OFFSET($R$3,0,0,'Données projet'!$E$9+1,1))-AVERAGE(OFFSET($H$3,0,0,'Données projet'!$E$9+1,1))</f>
        <v>252.28378247570731</v>
      </c>
      <c r="T77" s="59">
        <f t="shared" si="88"/>
        <v>263.50418595307343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12.282510361300123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9.622803827189693E-6</v>
      </c>
      <c r="AC77" s="22">
        <f t="shared" si="57"/>
        <v>12.282519984103949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4.5474735088646412E-13</v>
      </c>
      <c r="O78" s="13">
        <f>N78*VLOOKUP('Données projet'!$B$9,Paramètres!$A$1:$I$89,3,0)*VLOOKUP('Données projet'!$B$9,Paramètres!$A$1:$I$89,5,0)</f>
        <v>2.7193891583010558E-13</v>
      </c>
      <c r="P78" s="13">
        <f t="shared" si="87"/>
        <v>3.6362267729089988E-12</v>
      </c>
      <c r="Q78" s="20">
        <f t="shared" si="54"/>
        <v>6.8067219078872727E-12</v>
      </c>
      <c r="R78" s="59">
        <f t="shared" si="55"/>
        <v>293.33333333334014</v>
      </c>
      <c r="S78" s="59">
        <f ca="1">AVERAGE(OFFSET($R$3,0,0,'Données projet'!$E$9+1,1))-AVERAGE(OFFSET($H$3,0,0,'Données projet'!$E$9+1,1))</f>
        <v>252.28378247570731</v>
      </c>
      <c r="T78" s="59">
        <f t="shared" si="88"/>
        <v>263.50418595307343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12.041657824706615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6.8043498402336945E-6</v>
      </c>
      <c r="AC78" s="22">
        <f t="shared" si="57"/>
        <v>12.041664629056456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4.5474735088646412E-13</v>
      </c>
      <c r="O79" s="13">
        <f>N79*VLOOKUP('Données projet'!$B$9,Paramètres!$A$1:$I$89,3,0)*VLOOKUP('Données projet'!$B$9,Paramètres!$A$1:$I$89,5,0)</f>
        <v>2.7193891583010558E-13</v>
      </c>
      <c r="P79" s="13">
        <f t="shared" si="87"/>
        <v>3.6362267729089988E-12</v>
      </c>
      <c r="Q79" s="20">
        <f t="shared" si="54"/>
        <v>6.8067219078872727E-12</v>
      </c>
      <c r="R79" s="59">
        <f t="shared" si="55"/>
        <v>293.33333333334014</v>
      </c>
      <c r="S79" s="59">
        <f ca="1">AVERAGE(OFFSET($R$3,0,0,'Données projet'!$E$9+1,1))-AVERAGE(OFFSET($H$3,0,0,'Données projet'!$E$9+1,1))</f>
        <v>252.28378247570731</v>
      </c>
      <c r="T79" s="59">
        <f t="shared" si="88"/>
        <v>263.50418595307343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11.805528259450163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4.8114019135948465E-6</v>
      </c>
      <c r="AC79" s="22">
        <f t="shared" si="57"/>
        <v>11.805533070852077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4.5474735088646412E-13</v>
      </c>
      <c r="O80" s="13">
        <f>N80*VLOOKUP('Données projet'!$B$9,Paramètres!$A$1:$I$89,3,0)*VLOOKUP('Données projet'!$B$9,Paramètres!$A$1:$I$89,5,0)</f>
        <v>2.7193891583010558E-13</v>
      </c>
      <c r="P80" s="13">
        <f t="shared" si="87"/>
        <v>3.6362267729089988E-12</v>
      </c>
      <c r="Q80" s="20">
        <f t="shared" si="54"/>
        <v>6.8067219078872727E-12</v>
      </c>
      <c r="R80" s="59">
        <f t="shared" si="55"/>
        <v>293.33333333334014</v>
      </c>
      <c r="S80" s="59">
        <f ca="1">AVERAGE(OFFSET($R$3,0,0,'Données projet'!$E$9+1,1))-AVERAGE(OFFSET($H$3,0,0,'Données projet'!$E$9+1,1))</f>
        <v>252.28378247570731</v>
      </c>
      <c r="T80" s="59">
        <f t="shared" si="88"/>
        <v>263.50418595307343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11.574029050943578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3.4021749201168472E-6</v>
      </c>
      <c r="AC80" s="22">
        <f t="shared" si="57"/>
        <v>11.574032453118498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4.5474735088646412E-13</v>
      </c>
      <c r="O81" s="13">
        <f>N81*VLOOKUP('Données projet'!$B$9,Paramètres!$A$1:$I$89,3,0)*VLOOKUP('Données projet'!$B$9,Paramètres!$A$1:$I$89,5,0)</f>
        <v>2.7193891583010558E-13</v>
      </c>
      <c r="P81" s="13">
        <f t="shared" si="87"/>
        <v>3.6362267729089988E-12</v>
      </c>
      <c r="Q81" s="20">
        <f t="shared" si="54"/>
        <v>6.8067219078872727E-12</v>
      </c>
      <c r="R81" s="59">
        <f t="shared" si="55"/>
        <v>293.33333333334014</v>
      </c>
      <c r="S81" s="59">
        <f ca="1">AVERAGE(OFFSET($R$3,0,0,'Données projet'!$E$9+1,1))-AVERAGE(OFFSET($H$3,0,0,'Données projet'!$E$9+1,1))</f>
        <v>252.28378247570731</v>
      </c>
      <c r="T81" s="59">
        <f t="shared" si="88"/>
        <v>263.50418595307343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11.347069400715231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2.4057009567974233E-6</v>
      </c>
      <c r="AC81" s="22">
        <f t="shared" si="57"/>
        <v>11.347071806416189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4.5474735088646412E-13</v>
      </c>
      <c r="O82" s="13">
        <f>N82*VLOOKUP('Données projet'!$B$9,Paramètres!$A$1:$I$89,3,0)*VLOOKUP('Données projet'!$B$9,Paramètres!$A$1:$I$89,5,0)</f>
        <v>2.7193891583010558E-13</v>
      </c>
      <c r="P82" s="13">
        <f t="shared" si="87"/>
        <v>3.6362267729089988E-12</v>
      </c>
      <c r="Q82" s="20">
        <f t="shared" si="54"/>
        <v>6.8067219078872727E-12</v>
      </c>
      <c r="R82" s="59">
        <f t="shared" si="55"/>
        <v>293.33333333334014</v>
      </c>
      <c r="S82" s="59">
        <f ca="1">AVERAGE(OFFSET($R$3,0,0,'Données projet'!$E$9+1,1))-AVERAGE(OFFSET($H$3,0,0,'Données projet'!$E$9+1,1))</f>
        <v>252.28378247570731</v>
      </c>
      <c r="T82" s="59">
        <f t="shared" si="88"/>
        <v>263.50418595307343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11.124560290796145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1.7010874600584236E-6</v>
      </c>
      <c r="AC82" s="22">
        <f t="shared" si="57"/>
        <v>11.124561991883605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4.5474735088646412E-13</v>
      </c>
      <c r="O83" s="13">
        <f>N83*VLOOKUP('Données projet'!$B$9,Paramètres!$A$1:$I$89,3,0)*VLOOKUP('Données projet'!$B$9,Paramètres!$A$1:$I$89,5,0)</f>
        <v>2.7193891583010558E-13</v>
      </c>
      <c r="P83" s="13">
        <f t="shared" si="87"/>
        <v>3.6362267729089988E-12</v>
      </c>
      <c r="Q83" s="20">
        <f t="shared" si="54"/>
        <v>6.8067219078872727E-12</v>
      </c>
      <c r="R83" s="59">
        <f t="shared" si="55"/>
        <v>293.33333333334014</v>
      </c>
      <c r="S83" s="59">
        <f ca="1">AVERAGE(OFFSET($R$3,0,0,'Données projet'!$E$9+1,1))-AVERAGE(OFFSET($H$3,0,0,'Données projet'!$E$9+1,1))</f>
        <v>252.28378247570731</v>
      </c>
      <c r="T83" s="59">
        <f t="shared" si="88"/>
        <v>263.50418595307343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10.906414448805416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1.2028504783987116E-6</v>
      </c>
      <c r="AC83" s="22">
        <f t="shared" si="57"/>
        <v>10.906415651655895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4.5474735088646412E-13</v>
      </c>
      <c r="O84" s="13">
        <f>N84*VLOOKUP('Données projet'!$B$9,Paramètres!$A$1:$I$89,3,0)*VLOOKUP('Données projet'!$B$9,Paramètres!$A$1:$I$89,5,0)</f>
        <v>2.7193891583010558E-13</v>
      </c>
      <c r="P84" s="13">
        <f t="shared" si="87"/>
        <v>3.6362267729089988E-12</v>
      </c>
      <c r="Q84" s="20">
        <f t="shared" si="54"/>
        <v>6.8067219078872727E-12</v>
      </c>
      <c r="R84" s="59">
        <f t="shared" si="55"/>
        <v>293.33333333334014</v>
      </c>
      <c r="S84" s="59">
        <f ca="1">AVERAGE(OFFSET($R$3,0,0,'Données projet'!$E$9+1,1))-AVERAGE(OFFSET($H$3,0,0,'Données projet'!$E$9+1,1))</f>
        <v>252.28378247570731</v>
      </c>
      <c r="T84" s="59">
        <f t="shared" si="88"/>
        <v>263.50418595307343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10.6925463137203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8.5054373002921181E-7</v>
      </c>
      <c r="AC84" s="22">
        <f t="shared" si="57"/>
        <v>10.692547164264029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4.5474735088646412E-13</v>
      </c>
      <c r="O85" s="13">
        <f>N85*VLOOKUP('Données projet'!$B$9,Paramètres!$A$1:$I$89,3,0)*VLOOKUP('Données projet'!$B$9,Paramètres!$A$1:$I$89,5,0)</f>
        <v>2.7193891583010558E-13</v>
      </c>
      <c r="P85" s="13">
        <f t="shared" si="87"/>
        <v>3.6362267729089988E-12</v>
      </c>
      <c r="Q85" s="20">
        <f t="shared" si="54"/>
        <v>6.8067219078872727E-12</v>
      </c>
      <c r="R85" s="59">
        <f t="shared" si="55"/>
        <v>293.33333333334014</v>
      </c>
      <c r="S85" s="59">
        <f ca="1">AVERAGE(OFFSET($R$3,0,0,'Données projet'!$E$9+1,1))-AVERAGE(OFFSET($H$3,0,0,'Données projet'!$E$9+1,1))</f>
        <v>252.28378247570731</v>
      </c>
      <c r="T85" s="59">
        <f t="shared" si="88"/>
        <v>263.50418595307343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10.482872002317521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6.0142523919935582E-7</v>
      </c>
      <c r="AC85" s="22">
        <f t="shared" si="57"/>
        <v>10.482872603742759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4.5474735088646412E-13</v>
      </c>
      <c r="O86" s="13">
        <f>N86*VLOOKUP('Données projet'!$B$9,Paramètres!$A$1:$I$89,3,0)*VLOOKUP('Données projet'!$B$9,Paramètres!$A$1:$I$89,5,0)</f>
        <v>2.7193891583010558E-13</v>
      </c>
      <c r="P86" s="13">
        <f t="shared" si="87"/>
        <v>3.6362267729089988E-12</v>
      </c>
      <c r="Q86" s="20">
        <f t="shared" si="54"/>
        <v>6.8067219078872727E-12</v>
      </c>
      <c r="R86" s="59">
        <f t="shared" si="55"/>
        <v>293.33333333334014</v>
      </c>
      <c r="S86" s="59">
        <f ca="1">AVERAGE(OFFSET($R$3,0,0,'Données projet'!$E$9+1,1))-AVERAGE(OFFSET($H$3,0,0,'Données projet'!$E$9+1,1))</f>
        <v>252.28378247570731</v>
      </c>
      <c r="T86" s="59">
        <f t="shared" si="88"/>
        <v>263.50418595307343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10.277309276272648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4.252718650146059E-7</v>
      </c>
      <c r="AC86" s="22">
        <f t="shared" si="57"/>
        <v>10.277309701544514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4.5474735088646412E-13</v>
      </c>
      <c r="O87" s="13">
        <f>N87*VLOOKUP('Données projet'!$B$9,Paramètres!$A$1:$I$89,3,0)*VLOOKUP('Données projet'!$B$9,Paramètres!$A$1:$I$89,5,0)</f>
        <v>2.7193891583010558E-13</v>
      </c>
      <c r="P87" s="13">
        <f t="shared" si="87"/>
        <v>3.6362267729089988E-12</v>
      </c>
      <c r="Q87" s="20">
        <f t="shared" si="54"/>
        <v>6.8067219078872727E-12</v>
      </c>
      <c r="R87" s="59">
        <f t="shared" si="55"/>
        <v>293.33333333334014</v>
      </c>
      <c r="S87" s="59">
        <f ca="1">AVERAGE(OFFSET($R$3,0,0,'Données projet'!$E$9+1,1))-AVERAGE(OFFSET($H$3,0,0,'Données projet'!$E$9+1,1))</f>
        <v>252.28378247570731</v>
      </c>
      <c r="T87" s="59">
        <f t="shared" si="88"/>
        <v>263.50418595307343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10.075777509904633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3.0071261959967791E-7</v>
      </c>
      <c r="AC87" s="22">
        <f t="shared" si="57"/>
        <v>10.075777810617252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4.5474735088646412E-13</v>
      </c>
      <c r="O88" s="13">
        <f>N88*VLOOKUP('Données projet'!$B$9,Paramètres!$A$1:$I$89,3,0)*VLOOKUP('Données projet'!$B$9,Paramètres!$A$1:$I$89,5,0)</f>
        <v>2.7193891583010558E-13</v>
      </c>
      <c r="P88" s="13">
        <f t="shared" si="87"/>
        <v>3.6362267729089988E-12</v>
      </c>
      <c r="Q88" s="20">
        <f t="shared" si="54"/>
        <v>6.8067219078872727E-12</v>
      </c>
      <c r="R88" s="59">
        <f t="shared" si="55"/>
        <v>293.33333333334014</v>
      </c>
      <c r="S88" s="59">
        <f ca="1">AVERAGE(OFFSET($R$3,0,0,'Données projet'!$E$9+1,1))-AVERAGE(OFFSET($H$3,0,0,'Données projet'!$E$9+1,1))</f>
        <v>252.28378247570731</v>
      </c>
      <c r="T88" s="59">
        <f t="shared" si="88"/>
        <v>263.50418595307343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9.878197658552855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2.1263593250730295E-7</v>
      </c>
      <c r="AC88" s="22">
        <f t="shared" si="57"/>
        <v>9.878197871188787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4.5474735088646412E-13</v>
      </c>
      <c r="O89" s="13">
        <f>N89*VLOOKUP('Données projet'!$B$9,Paramètres!$A$1:$I$89,3,0)*VLOOKUP('Données projet'!$B$9,Paramètres!$A$1:$I$89,5,0)</f>
        <v>2.7193891583010558E-13</v>
      </c>
      <c r="P89" s="13">
        <f t="shared" si="87"/>
        <v>3.6362267729089988E-12</v>
      </c>
      <c r="Q89" s="20">
        <f t="shared" si="54"/>
        <v>6.8067219078872727E-12</v>
      </c>
      <c r="R89" s="59">
        <f t="shared" si="55"/>
        <v>293.33333333334014</v>
      </c>
      <c r="S89" s="59">
        <f ca="1">AVERAGE(OFFSET($R$3,0,0,'Données projet'!$E$9+1,1))-AVERAGE(OFFSET($H$3,0,0,'Données projet'!$E$9+1,1))</f>
        <v>252.28378247570731</v>
      </c>
      <c r="T89" s="59">
        <f t="shared" si="88"/>
        <v>263.50418595307343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9.6844922275742746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1.5035630979983895E-7</v>
      </c>
      <c r="AC89" s="22">
        <f t="shared" si="57"/>
        <v>9.6844923779305851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4.5474735088646412E-13</v>
      </c>
      <c r="O90" s="13">
        <f>N90*VLOOKUP('Données projet'!$B$9,Paramètres!$A$1:$I$89,3,0)*VLOOKUP('Données projet'!$B$9,Paramètres!$A$1:$I$89,5,0)</f>
        <v>2.7193891583010558E-13</v>
      </c>
      <c r="P90" s="13">
        <f t="shared" si="87"/>
        <v>3.6362267729089988E-12</v>
      </c>
      <c r="Q90" s="20">
        <f t="shared" si="54"/>
        <v>6.8067219078872727E-12</v>
      </c>
      <c r="R90" s="59">
        <f t="shared" si="55"/>
        <v>293.33333333334014</v>
      </c>
      <c r="S90" s="59">
        <f ca="1">AVERAGE(OFFSET($R$3,0,0,'Données projet'!$E$9+1,1))-AVERAGE(OFFSET($H$3,0,0,'Données projet'!$E$9+1,1))</f>
        <v>252.28378247570731</v>
      </c>
      <c r="T90" s="59">
        <f t="shared" si="88"/>
        <v>263.50418595307343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9.4945852419485384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1.0631796625365148E-7</v>
      </c>
      <c r="AC90" s="22">
        <f t="shared" si="57"/>
        <v>9.4945853482665044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4.5474735088646412E-13</v>
      </c>
      <c r="O91" s="13">
        <f>N91*VLOOKUP('Données projet'!$B$9,Paramètres!$A$1:$I$89,3,0)*VLOOKUP('Données projet'!$B$9,Paramètres!$A$1:$I$89,5,0)</f>
        <v>2.7193891583010558E-13</v>
      </c>
      <c r="P91" s="13">
        <f t="shared" si="87"/>
        <v>3.6362267729089988E-12</v>
      </c>
      <c r="Q91" s="20">
        <f t="shared" si="54"/>
        <v>6.8067219078872727E-12</v>
      </c>
      <c r="R91" s="59">
        <f t="shared" si="55"/>
        <v>293.33333333334014</v>
      </c>
      <c r="S91" s="59">
        <f ca="1">AVERAGE(OFFSET($R$3,0,0,'Données projet'!$E$9+1,1))-AVERAGE(OFFSET($H$3,0,0,'Données projet'!$E$9+1,1))</f>
        <v>252.28378247570731</v>
      </c>
      <c r="T91" s="59">
        <f t="shared" si="88"/>
        <v>263.50418595307343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9.3084022164790987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7.5178154899919477E-8</v>
      </c>
      <c r="AC91" s="22">
        <f t="shared" si="57"/>
        <v>9.308402291657254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4.5474735088646412E-13</v>
      </c>
      <c r="O92" s="13">
        <f>N92*VLOOKUP('Données projet'!$B$9,Paramètres!$A$1:$I$89,3,0)*VLOOKUP('Données projet'!$B$9,Paramètres!$A$1:$I$89,5,0)</f>
        <v>2.7193891583010558E-13</v>
      </c>
      <c r="P92" s="13">
        <f t="shared" si="87"/>
        <v>3.6362267729089988E-12</v>
      </c>
      <c r="Q92" s="20">
        <f t="shared" si="54"/>
        <v>6.8067219078872727E-12</v>
      </c>
      <c r="R92" s="59">
        <f t="shared" si="55"/>
        <v>293.33333333334014</v>
      </c>
      <c r="S92" s="59">
        <f ca="1">AVERAGE(OFFSET($R$3,0,0,'Données projet'!$E$9+1,1))-AVERAGE(OFFSET($H$3,0,0,'Données projet'!$E$9+1,1))</f>
        <v>252.28378247570731</v>
      </c>
      <c r="T92" s="59">
        <f t="shared" si="88"/>
        <v>263.50418595307343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9.1258701265786826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5.3158983126825738E-8</v>
      </c>
      <c r="AC92" s="22">
        <f t="shared" si="57"/>
        <v>9.1258701797376656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4.5474735088646412E-13</v>
      </c>
      <c r="O93" s="13">
        <f>N93*VLOOKUP('Données projet'!$B$9,Paramètres!$A$1:$I$89,3,0)*VLOOKUP('Données projet'!$B$9,Paramètres!$A$1:$I$89,5,0)</f>
        <v>2.7193891583010558E-13</v>
      </c>
      <c r="P93" s="13">
        <f t="shared" si="87"/>
        <v>3.6362267729089988E-12</v>
      </c>
      <c r="Q93" s="20">
        <f t="shared" si="54"/>
        <v>6.8067219078872727E-12</v>
      </c>
      <c r="R93" s="59">
        <f t="shared" si="55"/>
        <v>293.33333333334014</v>
      </c>
      <c r="S93" s="59">
        <f ca="1">AVERAGE(OFFSET($R$3,0,0,'Données projet'!$E$9+1,1))-AVERAGE(OFFSET($H$3,0,0,'Données projet'!$E$9+1,1))</f>
        <v>252.28378247570731</v>
      </c>
      <c r="T93" s="59">
        <f t="shared" si="88"/>
        <v>263.50418595307343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8.9469173796276316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3.7589077449959738E-8</v>
      </c>
      <c r="AC93" s="22">
        <f t="shared" si="57"/>
        <v>8.9469174172167083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4.5474735088646412E-13</v>
      </c>
      <c r="O94" s="13">
        <f>N94*VLOOKUP('Données projet'!$B$9,Paramètres!$A$1:$I$89,3,0)*VLOOKUP('Données projet'!$B$9,Paramètres!$A$1:$I$89,5,0)</f>
        <v>2.7193891583010558E-13</v>
      </c>
      <c r="P94" s="13">
        <f t="shared" si="87"/>
        <v>3.6362267729089988E-12</v>
      </c>
      <c r="Q94" s="20">
        <f t="shared" si="54"/>
        <v>6.8067219078872727E-12</v>
      </c>
      <c r="R94" s="59">
        <f t="shared" si="55"/>
        <v>293.33333333334014</v>
      </c>
      <c r="S94" s="59">
        <f ca="1">AVERAGE(OFFSET($R$3,0,0,'Données projet'!$E$9+1,1))-AVERAGE(OFFSET($H$3,0,0,'Données projet'!$E$9+1,1))</f>
        <v>252.28378247570731</v>
      </c>
      <c r="T94" s="59">
        <f t="shared" si="88"/>
        <v>263.50418595307343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8.7714737868938926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2.6579491563412869E-8</v>
      </c>
      <c r="AC94" s="22">
        <f t="shared" si="57"/>
        <v>8.771473813473385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4.5474735088646412E-13</v>
      </c>
      <c r="O95" s="13">
        <f>N95*VLOOKUP('Données projet'!$B$9,Paramètres!$A$1:$I$89,3,0)*VLOOKUP('Données projet'!$B$9,Paramètres!$A$1:$I$89,5,0)</f>
        <v>2.7193891583010558E-13</v>
      </c>
      <c r="P95" s="13">
        <f t="shared" si="87"/>
        <v>3.6362267729089988E-12</v>
      </c>
      <c r="Q95" s="20">
        <f t="shared" si="54"/>
        <v>6.8067219078872727E-12</v>
      </c>
      <c r="R95" s="59">
        <f t="shared" si="55"/>
        <v>293.33333333334014</v>
      </c>
      <c r="S95" s="59">
        <f ca="1">AVERAGE(OFFSET($R$3,0,0,'Données projet'!$E$9+1,1))-AVERAGE(OFFSET($H$3,0,0,'Données projet'!$E$9+1,1))</f>
        <v>252.28378247570731</v>
      </c>
      <c r="T95" s="59">
        <f t="shared" si="88"/>
        <v>263.50418595307343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8.5994705360036381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1.8794538724979869E-8</v>
      </c>
      <c r="AC95" s="22">
        <f t="shared" si="57"/>
        <v>8.5994705547981773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4.5474735088646412E-13</v>
      </c>
      <c r="O96" s="13">
        <f>N96*VLOOKUP('Données projet'!$B$9,Paramètres!$A$1:$I$89,3,0)*VLOOKUP('Données projet'!$B$9,Paramètres!$A$1:$I$89,5,0)</f>
        <v>2.7193891583010558E-13</v>
      </c>
      <c r="P96" s="13">
        <f t="shared" si="87"/>
        <v>3.6362267729089988E-12</v>
      </c>
      <c r="Q96" s="20">
        <f t="shared" si="54"/>
        <v>6.8067219078872727E-12</v>
      </c>
      <c r="R96" s="59">
        <f t="shared" si="55"/>
        <v>293.33333333334014</v>
      </c>
      <c r="S96" s="59">
        <f ca="1">AVERAGE(OFFSET($R$3,0,0,'Données projet'!$E$9+1,1))-AVERAGE(OFFSET($H$3,0,0,'Données projet'!$E$9+1,1))</f>
        <v>252.28378247570731</v>
      </c>
      <c r="T96" s="59">
        <f t="shared" si="88"/>
        <v>263.50418595307343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8.4308401639517179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1.3289745781706434E-8</v>
      </c>
      <c r="AC96" s="22">
        <f t="shared" si="57"/>
        <v>8.4308401772414641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4.5474735088646412E-13</v>
      </c>
      <c r="O97" s="13">
        <f>N97*VLOOKUP('Données projet'!$B$9,Paramètres!$A$1:$I$89,3,0)*VLOOKUP('Données projet'!$B$9,Paramètres!$A$1:$I$89,5,0)</f>
        <v>2.7193891583010558E-13</v>
      </c>
      <c r="P97" s="13">
        <f t="shared" si="87"/>
        <v>3.6362267729089988E-12</v>
      </c>
      <c r="Q97" s="20">
        <f t="shared" si="54"/>
        <v>6.8067219078872727E-12</v>
      </c>
      <c r="R97" s="59">
        <f t="shared" si="55"/>
        <v>293.33333333334014</v>
      </c>
      <c r="S97" s="59">
        <f ca="1">AVERAGE(OFFSET($R$3,0,0,'Données projet'!$E$9+1,1))-AVERAGE(OFFSET($H$3,0,0,'Données projet'!$E$9+1,1))</f>
        <v>252.28378247570731</v>
      </c>
      <c r="T97" s="59">
        <f t="shared" si="88"/>
        <v>263.50418595307343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8.2655165306413636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9.3972693624899346E-9</v>
      </c>
      <c r="AC97" s="22">
        <f t="shared" si="57"/>
        <v>8.2655165400386323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4.5474735088646412E-13</v>
      </c>
      <c r="O98" s="13">
        <f>N98*VLOOKUP('Données projet'!$B$9,Paramètres!$A$1:$I$89,3,0)*VLOOKUP('Données projet'!$B$9,Paramètres!$A$1:$I$89,5,0)</f>
        <v>2.7193891583010558E-13</v>
      </c>
      <c r="P98" s="13">
        <f t="shared" si="87"/>
        <v>3.6362267729089988E-12</v>
      </c>
      <c r="Q98" s="20">
        <f t="shared" si="54"/>
        <v>6.8067219078872727E-12</v>
      </c>
      <c r="R98" s="59">
        <f t="shared" si="55"/>
        <v>293.33333333334014</v>
      </c>
      <c r="S98" s="59">
        <f ca="1">AVERAGE(OFFSET($R$3,0,0,'Données projet'!$E$9+1,1))-AVERAGE(OFFSET($H$3,0,0,'Données projet'!$E$9+1,1))</f>
        <v>252.28378247570731</v>
      </c>
      <c r="T98" s="59">
        <f t="shared" si="88"/>
        <v>263.50418595307343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8.1034347929427675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6.6448728908532172E-9</v>
      </c>
      <c r="AC98" s="22">
        <f t="shared" si="57"/>
        <v>8.1034347995876406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4.5474735088646412E-13</v>
      </c>
      <c r="O99" s="13">
        <f>N99*VLOOKUP('Données projet'!$B$9,Paramètres!$A$1:$I$89,3,0)*VLOOKUP('Données projet'!$B$9,Paramètres!$A$1:$I$89,5,0)</f>
        <v>2.7193891583010558E-13</v>
      </c>
      <c r="P99" s="13">
        <f t="shared" si="87"/>
        <v>3.6362267729089988E-12</v>
      </c>
      <c r="Q99" s="20">
        <f t="shared" ref="Q99:Q130" si="107">(O99+P99)*0.475*44/12</f>
        <v>6.8067219078872727E-12</v>
      </c>
      <c r="R99" s="59">
        <f t="shared" si="55"/>
        <v>293.33333333334014</v>
      </c>
      <c r="S99" s="59">
        <f ca="1">AVERAGE(OFFSET($R$3,0,0,'Données projet'!$E$9+1,1))-AVERAGE(OFFSET($H$3,0,0,'Données projet'!$E$9+1,1))</f>
        <v>252.28378247570731</v>
      </c>
      <c r="T99" s="59">
        <f t="shared" si="88"/>
        <v>263.50418595307343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7.9445313792603418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4.6986346812449673E-9</v>
      </c>
      <c r="AC99" s="22">
        <f t="shared" si="57"/>
        <v>7.9445313839589762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4.5474735088646412E-13</v>
      </c>
      <c r="O100" s="13">
        <f>N100*VLOOKUP('Données projet'!$B$9,Paramètres!$A$1:$I$89,3,0)*VLOOKUP('Données projet'!$B$9,Paramètres!$A$1:$I$89,5,0)</f>
        <v>2.7193891583010558E-13</v>
      </c>
      <c r="P100" s="13">
        <f t="shared" si="87"/>
        <v>3.6362267729089988E-12</v>
      </c>
      <c r="Q100" s="20">
        <f t="shared" si="107"/>
        <v>6.8067219078872727E-12</v>
      </c>
      <c r="R100" s="59">
        <f t="shared" si="55"/>
        <v>293.33333333334014</v>
      </c>
      <c r="S100" s="59">
        <f ca="1">AVERAGE(OFFSET($R$3,0,0,'Données projet'!$E$9+1,1))-AVERAGE(OFFSET($H$3,0,0,'Données projet'!$E$9+1,1))</f>
        <v>252.28378247570731</v>
      </c>
      <c r="T100" s="59">
        <f t="shared" si="88"/>
        <v>263.50418595307343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7.7887439645987158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3.3224364454266086E-9</v>
      </c>
      <c r="AC100" s="22">
        <f t="shared" si="57"/>
        <v>7.7887439679211523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4.5474735088646412E-13</v>
      </c>
      <c r="O101" s="13">
        <f>N101*VLOOKUP('Données projet'!$B$9,Paramètres!$A$1:$I$89,3,0)*VLOOKUP('Données projet'!$B$9,Paramètres!$A$1:$I$89,5,0)</f>
        <v>2.7193891583010558E-13</v>
      </c>
      <c r="P101" s="13">
        <f t="shared" si="87"/>
        <v>3.6362267729089988E-12</v>
      </c>
      <c r="Q101" s="20">
        <f t="shared" si="107"/>
        <v>6.8067219078872727E-12</v>
      </c>
      <c r="R101" s="59">
        <f t="shared" si="55"/>
        <v>293.33333333334014</v>
      </c>
      <c r="S101" s="59">
        <f ca="1">AVERAGE(OFFSET($R$3,0,0,'Données projet'!$E$9+1,1))-AVERAGE(OFFSET($H$3,0,0,'Données projet'!$E$9+1,1))</f>
        <v>252.28378247570731</v>
      </c>
      <c r="T101" s="59">
        <f t="shared" si="88"/>
        <v>263.50418595307343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7.6360114461176645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2.3493173406224837E-9</v>
      </c>
      <c r="AC101" s="22">
        <f t="shared" si="57"/>
        <v>7.6360114484669817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4.5474735088646412E-13</v>
      </c>
      <c r="O102" s="13">
        <f>N102*VLOOKUP('Données projet'!$B$9,Paramètres!$A$1:$I$89,3,0)*VLOOKUP('Données projet'!$B$9,Paramètres!$A$1:$I$89,5,0)</f>
        <v>2.7193891583010558E-13</v>
      </c>
      <c r="P102" s="13">
        <f t="shared" si="87"/>
        <v>3.6362267729089988E-12</v>
      </c>
      <c r="Q102" s="20">
        <f t="shared" si="107"/>
        <v>6.8067219078872727E-12</v>
      </c>
      <c r="R102" s="59">
        <f t="shared" si="55"/>
        <v>293.33333333334014</v>
      </c>
      <c r="S102" s="59">
        <f ca="1">AVERAGE(OFFSET($R$3,0,0,'Données projet'!$E$9+1,1))-AVERAGE(OFFSET($H$3,0,0,'Données projet'!$E$9+1,1))</f>
        <v>252.28378247570731</v>
      </c>
      <c r="T102" s="59">
        <f t="shared" si="88"/>
        <v>263.50418595307343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7.486273919166389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1.6612182227133043E-9</v>
      </c>
      <c r="AC102" s="22">
        <f t="shared" si="57"/>
        <v>7.4862739208276068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4.5474735088646412E-13</v>
      </c>
      <c r="O103" s="13">
        <f>N103*VLOOKUP('Données projet'!$B$9,Paramètres!$A$1:$I$89,3,0)*VLOOKUP('Données projet'!$B$9,Paramètres!$A$1:$I$89,5,0)</f>
        <v>2.7193891583010558E-13</v>
      </c>
      <c r="P103" s="13">
        <f t="shared" si="87"/>
        <v>3.6362267729089988E-12</v>
      </c>
      <c r="Q103" s="20">
        <f t="shared" si="107"/>
        <v>6.8067219078872727E-12</v>
      </c>
      <c r="R103" s="59">
        <f t="shared" si="55"/>
        <v>293.33333333334014</v>
      </c>
      <c r="S103" s="59">
        <f ca="1">AVERAGE(OFFSET($R$3,0,0,'Données projet'!$E$9+1,1))-AVERAGE(OFFSET($H$3,0,0,'Données projet'!$E$9+1,1))</f>
        <v>252.28378247570731</v>
      </c>
      <c r="T103" s="59">
        <f t="shared" si="88"/>
        <v>263.50418595307343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7.3394726537877544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1.1746586703112418E-9</v>
      </c>
      <c r="AC103" s="22">
        <f t="shared" si="57"/>
        <v>7.339472654962413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4.5474735088646412E-13</v>
      </c>
      <c r="O104" s="13">
        <f>N104*VLOOKUP('Données projet'!$B$9,Paramètres!$A$1:$I$89,3,0)*VLOOKUP('Données projet'!$B$9,Paramètres!$A$1:$I$89,5,0)</f>
        <v>2.7193891583010558E-13</v>
      </c>
      <c r="P104" s="13">
        <f t="shared" si="87"/>
        <v>3.6362267729089988E-12</v>
      </c>
      <c r="Q104" s="20">
        <f t="shared" si="107"/>
        <v>6.8067219078872727E-12</v>
      </c>
      <c r="R104" s="59">
        <f t="shared" si="55"/>
        <v>293.33333333334014</v>
      </c>
      <c r="S104" s="59">
        <f ca="1">AVERAGE(OFFSET($R$3,0,0,'Données projet'!$E$9+1,1))-AVERAGE(OFFSET($H$3,0,0,'Données projet'!$E$9+1,1))</f>
        <v>252.28378247570731</v>
      </c>
      <c r="T104" s="59">
        <f t="shared" si="88"/>
        <v>263.50418595307343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7.1955500716832645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8.3060911135665215E-10</v>
      </c>
      <c r="AC104" s="22">
        <f t="shared" si="57"/>
        <v>7.1955500725138739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4.5474735088646412E-13</v>
      </c>
      <c r="O105" s="13">
        <f>N105*VLOOKUP('Données projet'!$B$9,Paramètres!$A$1:$I$89,3,0)*VLOOKUP('Données projet'!$B$9,Paramètres!$A$1:$I$89,5,0)</f>
        <v>2.7193891583010558E-13</v>
      </c>
      <c r="P105" s="13">
        <f t="shared" si="87"/>
        <v>3.6362267729089988E-12</v>
      </c>
      <c r="Q105" s="20">
        <f t="shared" si="107"/>
        <v>6.8067219078872727E-12</v>
      </c>
      <c r="R105" s="59">
        <f t="shared" si="55"/>
        <v>293.33333333334014</v>
      </c>
      <c r="S105" s="59">
        <f ca="1">AVERAGE(OFFSET($R$3,0,0,'Données projet'!$E$9+1,1))-AVERAGE(OFFSET($H$3,0,0,'Données projet'!$E$9+1,1))</f>
        <v>252.28378247570731</v>
      </c>
      <c r="T105" s="59">
        <f t="shared" si="88"/>
        <v>263.50418595307343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7.0544497236297365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5.8732933515562091E-10</v>
      </c>
      <c r="AC105" s="22">
        <f t="shared" si="57"/>
        <v>7.0544497242170658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4.5474735088646412E-13</v>
      </c>
      <c r="O106" s="13">
        <f>N106*VLOOKUP('Données projet'!$B$9,Paramètres!$A$1:$I$89,3,0)*VLOOKUP('Données projet'!$B$9,Paramètres!$A$1:$I$89,5,0)</f>
        <v>2.7193891583010558E-13</v>
      </c>
      <c r="P106" s="13">
        <f t="shared" si="87"/>
        <v>3.6362267729089988E-12</v>
      </c>
      <c r="Q106" s="20">
        <f t="shared" si="107"/>
        <v>6.8067219078872727E-12</v>
      </c>
      <c r="R106" s="59">
        <f t="shared" si="55"/>
        <v>293.33333333334014</v>
      </c>
      <c r="S106" s="59">
        <f ca="1">AVERAGE(OFFSET($R$3,0,0,'Données projet'!$E$9+1,1))-AVERAGE(OFFSET($H$3,0,0,'Données projet'!$E$9+1,1))</f>
        <v>252.28378247570731</v>
      </c>
      <c r="T106" s="59">
        <f t="shared" si="88"/>
        <v>263.50418595307343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6.9161162673388237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4.1530455567832608E-10</v>
      </c>
      <c r="AC106" s="22">
        <f t="shared" si="57"/>
        <v>6.9161162677541279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4.5474735088646412E-13</v>
      </c>
      <c r="O107" s="13">
        <f>N107*VLOOKUP('Données projet'!$B$9,Paramètres!$A$1:$I$89,3,0)*VLOOKUP('Données projet'!$B$9,Paramètres!$A$1:$I$89,5,0)</f>
        <v>2.7193891583010558E-13</v>
      </c>
      <c r="P107" s="13">
        <f t="shared" si="87"/>
        <v>3.6362267729089988E-12</v>
      </c>
      <c r="Q107" s="20">
        <f t="shared" si="107"/>
        <v>6.8067219078872727E-12</v>
      </c>
      <c r="R107" s="59">
        <f t="shared" si="55"/>
        <v>293.33333333334014</v>
      </c>
      <c r="S107" s="59">
        <f ca="1">AVERAGE(OFFSET($R$3,0,0,'Données projet'!$E$9+1,1))-AVERAGE(OFFSET($H$3,0,0,'Données projet'!$E$9+1,1))</f>
        <v>252.28378247570731</v>
      </c>
      <c r="T107" s="59">
        <f t="shared" si="88"/>
        <v>263.50418595307343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6.7804954457506987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2.9366466757781046E-10</v>
      </c>
      <c r="AC107" s="22">
        <f t="shared" si="57"/>
        <v>6.7804954460443634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4.5474735088646412E-13</v>
      </c>
      <c r="O108" s="13">
        <f>N108*VLOOKUP('Données projet'!$B$9,Paramètres!$A$1:$I$89,3,0)*VLOOKUP('Données projet'!$B$9,Paramètres!$A$1:$I$89,5,0)</f>
        <v>2.7193891583010558E-13</v>
      </c>
      <c r="P108" s="13">
        <f t="shared" si="87"/>
        <v>3.6362267729089988E-12</v>
      </c>
      <c r="Q108" s="20">
        <f t="shared" si="107"/>
        <v>6.8067219078872727E-12</v>
      </c>
      <c r="R108" s="59">
        <f t="shared" si="55"/>
        <v>293.33333333334014</v>
      </c>
      <c r="S108" s="59">
        <f ca="1">AVERAGE(OFFSET($R$3,0,0,'Données projet'!$E$9+1,1))-AVERAGE(OFFSET($H$3,0,0,'Données projet'!$E$9+1,1))</f>
        <v>252.28378247570731</v>
      </c>
      <c r="T108" s="59">
        <f t="shared" si="88"/>
        <v>263.50418595307343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6.6475340657533835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2.0765227783916304E-10</v>
      </c>
      <c r="AC108" s="22">
        <f t="shared" si="57"/>
        <v>6.647534065961036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4.5474735088646412E-13</v>
      </c>
      <c r="O109" s="13">
        <f>N109*VLOOKUP('Données projet'!$B$9,Paramètres!$A$1:$I$89,3,0)*VLOOKUP('Données projet'!$B$9,Paramètres!$A$1:$I$89,5,0)</f>
        <v>2.7193891583010558E-13</v>
      </c>
      <c r="P109" s="13">
        <f t="shared" si="87"/>
        <v>3.6362267729089988E-12</v>
      </c>
      <c r="Q109" s="20">
        <f t="shared" si="107"/>
        <v>6.8067219078872727E-12</v>
      </c>
      <c r="R109" s="59">
        <f t="shared" si="55"/>
        <v>293.33333333334014</v>
      </c>
      <c r="S109" s="59">
        <f ca="1">AVERAGE(OFFSET($R$3,0,0,'Données projet'!$E$9+1,1))-AVERAGE(OFFSET($H$3,0,0,'Données projet'!$E$9+1,1))</f>
        <v>252.28378247570731</v>
      </c>
      <c r="T109" s="59">
        <f t="shared" si="88"/>
        <v>263.50418595307343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6.5171799773193815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1.4683233378890523E-10</v>
      </c>
      <c r="AC109" s="22">
        <f t="shared" si="57"/>
        <v>6.5171799774662142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4.5474735088646412E-13</v>
      </c>
      <c r="O110" s="13">
        <f>N110*VLOOKUP('Données projet'!$B$9,Paramètres!$A$1:$I$89,3,0)*VLOOKUP('Données projet'!$B$9,Paramètres!$A$1:$I$89,5,0)</f>
        <v>2.7193891583010558E-13</v>
      </c>
      <c r="P110" s="13">
        <f t="shared" si="87"/>
        <v>3.6362267729089988E-12</v>
      </c>
      <c r="Q110" s="20">
        <f t="shared" si="107"/>
        <v>6.8067219078872727E-12</v>
      </c>
      <c r="R110" s="59">
        <f t="shared" si="55"/>
        <v>293.33333333334014</v>
      </c>
      <c r="S110" s="59">
        <f ca="1">AVERAGE(OFFSET($R$3,0,0,'Données projet'!$E$9+1,1))-AVERAGE(OFFSET($H$3,0,0,'Données projet'!$E$9+1,1))</f>
        <v>252.28378247570731</v>
      </c>
      <c r="T110" s="59">
        <f t="shared" si="88"/>
        <v>263.50418595307343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6.3893820530514276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1.0382613891958152E-10</v>
      </c>
      <c r="AC110" s="22">
        <f t="shared" si="57"/>
        <v>6.3893820531552539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4.5474735088646412E-13</v>
      </c>
      <c r="O111" s="13">
        <f>N111*VLOOKUP('Données projet'!$B$9,Paramètres!$A$1:$I$89,3,0)*VLOOKUP('Données projet'!$B$9,Paramètres!$A$1:$I$89,5,0)</f>
        <v>2.7193891583010558E-13</v>
      </c>
      <c r="P111" s="13">
        <f t="shared" si="87"/>
        <v>3.6362267729089988E-12</v>
      </c>
      <c r="Q111" s="20">
        <f t="shared" si="107"/>
        <v>6.8067219078872727E-12</v>
      </c>
      <c r="R111" s="59">
        <f t="shared" si="55"/>
        <v>293.33333333334014</v>
      </c>
      <c r="S111" s="59">
        <f ca="1">AVERAGE(OFFSET($R$3,0,0,'Données projet'!$E$9+1,1))-AVERAGE(OFFSET($H$3,0,0,'Données projet'!$E$9+1,1))</f>
        <v>252.28378247570731</v>
      </c>
      <c r="T111" s="59">
        <f t="shared" si="88"/>
        <v>263.50418595307343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6.2640901681293313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7.3416166894452614E-11</v>
      </c>
      <c r="AC111" s="22">
        <f t="shared" si="57"/>
        <v>6.2640901682027472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4.5474735088646412E-13</v>
      </c>
      <c r="O112" s="13">
        <f>N112*VLOOKUP('Données projet'!$B$9,Paramètres!$A$1:$I$89,3,0)*VLOOKUP('Données projet'!$B$9,Paramètres!$A$1:$I$89,5,0)</f>
        <v>2.7193891583010558E-13</v>
      </c>
      <c r="P112" s="13">
        <f t="shared" si="87"/>
        <v>3.6362267729089988E-12</v>
      </c>
      <c r="Q112" s="20">
        <f t="shared" si="107"/>
        <v>6.8067219078872727E-12</v>
      </c>
      <c r="R112" s="59">
        <f t="shared" si="55"/>
        <v>293.33333333334014</v>
      </c>
      <c r="S112" s="59">
        <f ca="1">AVERAGE(OFFSET($R$3,0,0,'Données projet'!$E$9+1,1))-AVERAGE(OFFSET($H$3,0,0,'Données projet'!$E$9+1,1))</f>
        <v>252.28378247570731</v>
      </c>
      <c r="T112" s="59">
        <f t="shared" si="88"/>
        <v>263.50418595307343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6.1412551806500533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5.191306945979076E-11</v>
      </c>
      <c r="AC112" s="22">
        <f t="shared" si="57"/>
        <v>6.1412551807019664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4.5474735088646412E-13</v>
      </c>
      <c r="O113" s="13">
        <f>N113*VLOOKUP('Données projet'!$B$9,Paramètres!$A$1:$I$89,3,0)*VLOOKUP('Données projet'!$B$9,Paramètres!$A$1:$I$89,5,0)</f>
        <v>2.7193891583010558E-13</v>
      </c>
      <c r="P113" s="13">
        <f t="shared" si="87"/>
        <v>3.6362267729089988E-12</v>
      </c>
      <c r="Q113" s="20">
        <f t="shared" si="107"/>
        <v>6.8067219078872727E-12</v>
      </c>
      <c r="R113" s="59">
        <f t="shared" si="55"/>
        <v>293.33333333334014</v>
      </c>
      <c r="S113" s="59">
        <f ca="1">AVERAGE(OFFSET($R$3,0,0,'Données projet'!$E$9+1,1))-AVERAGE(OFFSET($H$3,0,0,'Données projet'!$E$9+1,1))</f>
        <v>252.28378247570731</v>
      </c>
      <c r="T113" s="59">
        <f t="shared" si="88"/>
        <v>263.50418595307343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6.0208289123532994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3.6708083447226307E-11</v>
      </c>
      <c r="AC113" s="22">
        <f t="shared" si="57"/>
        <v>6.0208289123900078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4.5474735088646412E-13</v>
      </c>
      <c r="O114" s="13">
        <f>N114*VLOOKUP('Données projet'!$B$9,Paramètres!$A$1:$I$89,3,0)*VLOOKUP('Données projet'!$B$9,Paramètres!$A$1:$I$89,5,0)</f>
        <v>2.7193891583010558E-13</v>
      </c>
      <c r="P114" s="13">
        <f t="shared" si="87"/>
        <v>3.6362267729089988E-12</v>
      </c>
      <c r="Q114" s="20">
        <f t="shared" si="107"/>
        <v>6.8067219078872727E-12</v>
      </c>
      <c r="R114" s="59">
        <f t="shared" si="55"/>
        <v>293.33333333334014</v>
      </c>
      <c r="S114" s="59">
        <f ca="1">AVERAGE(OFFSET($R$3,0,0,'Données projet'!$E$9+1,1))-AVERAGE(OFFSET($H$3,0,0,'Données projet'!$E$9+1,1))</f>
        <v>252.28378247570731</v>
      </c>
      <c r="T114" s="59">
        <f t="shared" si="88"/>
        <v>263.50418595307343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5.9027641297250737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2.595653472989538E-11</v>
      </c>
      <c r="AC114" s="22">
        <f t="shared" si="57"/>
        <v>5.9027641297510298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4.5474735088646412E-13</v>
      </c>
      <c r="O115" s="13">
        <f>N115*VLOOKUP('Données projet'!$B$9,Paramètres!$A$1:$I$89,3,0)*VLOOKUP('Données projet'!$B$9,Paramètres!$A$1:$I$89,5,0)</f>
        <v>2.7193891583010558E-13</v>
      </c>
      <c r="P115" s="13">
        <f t="shared" si="87"/>
        <v>3.6362267729089988E-12</v>
      </c>
      <c r="Q115" s="20">
        <f t="shared" si="107"/>
        <v>6.8067219078872727E-12</v>
      </c>
      <c r="R115" s="59">
        <f t="shared" si="55"/>
        <v>293.33333333334014</v>
      </c>
      <c r="S115" s="59">
        <f ca="1">AVERAGE(OFFSET($R$3,0,0,'Données projet'!$E$9+1,1))-AVERAGE(OFFSET($H$3,0,0,'Données projet'!$E$9+1,1))</f>
        <v>252.28378247570731</v>
      </c>
      <c r="T115" s="59">
        <f t="shared" si="88"/>
        <v>263.50418595307343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5.7870145254717809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1.8354041723613154E-11</v>
      </c>
      <c r="AC115" s="22">
        <f t="shared" si="57"/>
        <v>5.7870145254901351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4.5474735088646412E-13</v>
      </c>
      <c r="O116" s="13">
        <f>N116*VLOOKUP('Données projet'!$B$9,Paramètres!$A$1:$I$89,3,0)*VLOOKUP('Données projet'!$B$9,Paramètres!$A$1:$I$89,5,0)</f>
        <v>2.7193891583010558E-13</v>
      </c>
      <c r="P116" s="13">
        <f t="shared" si="87"/>
        <v>3.6362267729089988E-12</v>
      </c>
      <c r="Q116" s="20">
        <f t="shared" si="107"/>
        <v>6.8067219078872727E-12</v>
      </c>
      <c r="R116" s="59">
        <f t="shared" si="55"/>
        <v>293.33333333334014</v>
      </c>
      <c r="S116" s="59">
        <f ca="1">AVERAGE(OFFSET($R$3,0,0,'Données projet'!$E$9+1,1))-AVERAGE(OFFSET($H$3,0,0,'Données projet'!$E$9+1,1))</f>
        <v>252.28378247570731</v>
      </c>
      <c r="T116" s="59">
        <f t="shared" si="88"/>
        <v>263.50418595307343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5.6735347003576075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1.297826736494769E-11</v>
      </c>
      <c r="AC116" s="22">
        <f t="shared" si="57"/>
        <v>5.6735347003705856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4.5474735088646412E-13</v>
      </c>
      <c r="O117" s="13">
        <f>N117*VLOOKUP('Données projet'!$B$9,Paramètres!$A$1:$I$89,3,0)*VLOOKUP('Données projet'!$B$9,Paramètres!$A$1:$I$89,5,0)</f>
        <v>2.7193891583010558E-13</v>
      </c>
      <c r="P117" s="13">
        <f t="shared" si="87"/>
        <v>3.6362267729089988E-12</v>
      </c>
      <c r="Q117" s="20">
        <f t="shared" si="107"/>
        <v>6.8067219078872727E-12</v>
      </c>
      <c r="R117" s="59">
        <f t="shared" si="55"/>
        <v>293.33333333334014</v>
      </c>
      <c r="S117" s="59">
        <f ca="1">AVERAGE(OFFSET($R$3,0,0,'Données projet'!$E$9+1,1))-AVERAGE(OFFSET($H$3,0,0,'Données projet'!$E$9+1,1))</f>
        <v>252.28378247570731</v>
      </c>
      <c r="T117" s="59">
        <f t="shared" si="88"/>
        <v>263.50418595307343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5.5622801453980646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9.1770208618065768E-12</v>
      </c>
      <c r="AC117" s="22">
        <f t="shared" si="57"/>
        <v>5.5622801454072412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4.5474735088646412E-13</v>
      </c>
      <c r="O118" s="13">
        <f>N118*VLOOKUP('Données projet'!$B$9,Paramètres!$A$1:$I$89,3,0)*VLOOKUP('Données projet'!$B$9,Paramètres!$A$1:$I$89,5,0)</f>
        <v>2.7193891583010558E-13</v>
      </c>
      <c r="P118" s="13">
        <f t="shared" si="87"/>
        <v>3.6362267729089988E-12</v>
      </c>
      <c r="Q118" s="20">
        <f t="shared" si="107"/>
        <v>6.8067219078872727E-12</v>
      </c>
      <c r="R118" s="59">
        <f t="shared" si="55"/>
        <v>293.33333333334014</v>
      </c>
      <c r="S118" s="59">
        <f ca="1">AVERAGE(OFFSET($R$3,0,0,'Données projet'!$E$9+1,1))-AVERAGE(OFFSET($H$3,0,0,'Données projet'!$E$9+1,1))</f>
        <v>252.28378247570731</v>
      </c>
      <c r="T118" s="59">
        <f t="shared" si="88"/>
        <v>263.50418595307343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5.4532072244026999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6.489133682473845E-12</v>
      </c>
      <c r="AC118" s="22">
        <f t="shared" si="57"/>
        <v>5.4532072244091889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4.5474735088646412E-13</v>
      </c>
      <c r="O119" s="13">
        <f>N119*VLOOKUP('Données projet'!$B$9,Paramètres!$A$1:$I$89,3,0)*VLOOKUP('Données projet'!$B$9,Paramètres!$A$1:$I$89,5,0)</f>
        <v>2.7193891583010558E-13</v>
      </c>
      <c r="P119" s="13">
        <f t="shared" si="87"/>
        <v>3.6362267729089988E-12</v>
      </c>
      <c r="Q119" s="20">
        <f t="shared" si="107"/>
        <v>6.8067219078872727E-12</v>
      </c>
      <c r="R119" s="59">
        <f t="shared" si="55"/>
        <v>293.33333333334014</v>
      </c>
      <c r="S119" s="59">
        <f ca="1">AVERAGE(OFFSET($R$3,0,0,'Données projet'!$E$9+1,1))-AVERAGE(OFFSET($H$3,0,0,'Données projet'!$E$9+1,1))</f>
        <v>252.28378247570731</v>
      </c>
      <c r="T119" s="59">
        <f t="shared" si="88"/>
        <v>263.50418595307343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5.3462731568601418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4.5885104309032884E-12</v>
      </c>
      <c r="AC119" s="22">
        <f t="shared" si="57"/>
        <v>5.3462731568647301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4.5474735088646412E-13</v>
      </c>
      <c r="O120" s="13">
        <f>N120*VLOOKUP('Données projet'!$B$9,Paramètres!$A$1:$I$89,3,0)*VLOOKUP('Données projet'!$B$9,Paramètres!$A$1:$I$89,5,0)</f>
        <v>2.7193891583010558E-13</v>
      </c>
      <c r="P120" s="13">
        <f t="shared" si="87"/>
        <v>3.6362267729089988E-12</v>
      </c>
      <c r="Q120" s="20">
        <f t="shared" si="107"/>
        <v>6.8067219078872727E-12</v>
      </c>
      <c r="R120" s="59">
        <f t="shared" si="55"/>
        <v>293.33333333334014</v>
      </c>
      <c r="S120" s="59">
        <f ca="1">AVERAGE(OFFSET($R$3,0,0,'Données projet'!$E$9+1,1))-AVERAGE(OFFSET($H$3,0,0,'Données projet'!$E$9+1,1))</f>
        <v>252.28378247570731</v>
      </c>
      <c r="T120" s="59">
        <f t="shared" si="88"/>
        <v>263.50418595307343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5.2414360011587524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3.2445668412369225E-12</v>
      </c>
      <c r="AC120" s="22">
        <f t="shared" si="57"/>
        <v>5.2414360011619969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4.5474735088646412E-13</v>
      </c>
      <c r="O121" s="13">
        <f>N121*VLOOKUP('Données projet'!$B$9,Paramètres!$A$1:$I$89,3,0)*VLOOKUP('Données projet'!$B$9,Paramètres!$A$1:$I$89,5,0)</f>
        <v>2.7193891583010558E-13</v>
      </c>
      <c r="P121" s="13">
        <f t="shared" si="87"/>
        <v>3.6362267729089988E-12</v>
      </c>
      <c r="Q121" s="20">
        <f t="shared" si="107"/>
        <v>6.8067219078872727E-12</v>
      </c>
      <c r="R121" s="59">
        <f t="shared" si="55"/>
        <v>293.33333333334014</v>
      </c>
      <c r="S121" s="59">
        <f ca="1">AVERAGE(OFFSET($R$3,0,0,'Données projet'!$E$9+1,1))-AVERAGE(OFFSET($H$3,0,0,'Données projet'!$E$9+1,1))</f>
        <v>252.28378247570731</v>
      </c>
      <c r="T121" s="59">
        <f t="shared" si="88"/>
        <v>263.50418595307343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5.1386546381363161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2.2942552154516442E-12</v>
      </c>
      <c r="AC121" s="22">
        <f t="shared" si="57"/>
        <v>5.1386546381386102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4.5474735088646412E-13</v>
      </c>
      <c r="O122" s="13">
        <f>N122*VLOOKUP('Données projet'!$B$9,Paramètres!$A$1:$I$89,3,0)*VLOOKUP('Données projet'!$B$9,Paramètres!$A$1:$I$89,5,0)</f>
        <v>2.7193891583010558E-13</v>
      </c>
      <c r="P122" s="13">
        <f t="shared" si="87"/>
        <v>3.6362267729089988E-12</v>
      </c>
      <c r="Q122" s="20">
        <f t="shared" si="107"/>
        <v>6.8067219078872727E-12</v>
      </c>
      <c r="R122" s="59">
        <f t="shared" si="55"/>
        <v>293.33333333334014</v>
      </c>
      <c r="S122" s="59">
        <f ca="1">AVERAGE(OFFSET($R$3,0,0,'Données projet'!$E$9+1,1))-AVERAGE(OFFSET($H$3,0,0,'Données projet'!$E$9+1,1))</f>
        <v>252.28378247570731</v>
      </c>
      <c r="T122" s="59">
        <f t="shared" si="88"/>
        <v>263.50418595307343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5.0378887549523084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1.6222834206184612E-12</v>
      </c>
      <c r="AC122" s="22">
        <f t="shared" si="57"/>
        <v>5.0378887549539311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4.5474735088646412E-13</v>
      </c>
      <c r="O123" s="13">
        <f>N123*VLOOKUP('Données projet'!$B$9,Paramètres!$A$1:$I$89,3,0)*VLOOKUP('Données projet'!$B$9,Paramètres!$A$1:$I$89,5,0)</f>
        <v>2.7193891583010558E-13</v>
      </c>
      <c r="P123" s="13">
        <f t="shared" si="87"/>
        <v>3.6362267729089988E-12</v>
      </c>
      <c r="Q123" s="20">
        <f t="shared" si="107"/>
        <v>6.8067219078872727E-12</v>
      </c>
      <c r="R123" s="59">
        <f t="shared" si="55"/>
        <v>293.33333333334014</v>
      </c>
      <c r="S123" s="59">
        <f ca="1">AVERAGE(OFFSET($R$3,0,0,'Données projet'!$E$9+1,1))-AVERAGE(OFFSET($H$3,0,0,'Données projet'!$E$9+1,1))</f>
        <v>252.28378247570731</v>
      </c>
      <c r="T123" s="59">
        <f t="shared" si="88"/>
        <v>263.50418595307343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4.9390988292764195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1.1471276077258221E-12</v>
      </c>
      <c r="AC123" s="22">
        <f t="shared" si="57"/>
        <v>4.939098829277567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4.5474735088646412E-13</v>
      </c>
      <c r="O124" s="13">
        <f>N124*VLOOKUP('Données projet'!$B$9,Paramètres!$A$1:$I$89,3,0)*VLOOKUP('Données projet'!$B$9,Paramètres!$A$1:$I$89,5,0)</f>
        <v>2.7193891583010558E-13</v>
      </c>
      <c r="P124" s="13">
        <f t="shared" si="87"/>
        <v>3.6362267729089988E-12</v>
      </c>
      <c r="Q124" s="20">
        <f t="shared" si="107"/>
        <v>6.8067219078872727E-12</v>
      </c>
      <c r="R124" s="59">
        <f t="shared" si="55"/>
        <v>293.33333333334014</v>
      </c>
      <c r="S124" s="59">
        <f ca="1">AVERAGE(OFFSET($R$3,0,0,'Données projet'!$E$9+1,1))-AVERAGE(OFFSET($H$3,0,0,'Données projet'!$E$9+1,1))</f>
        <v>252.28378247570731</v>
      </c>
      <c r="T124" s="59">
        <f t="shared" si="88"/>
        <v>263.50418595307343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4.8422461137871302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8.1114171030923062E-13</v>
      </c>
      <c r="AC124" s="22">
        <f t="shared" si="57"/>
        <v>4.8422461137879411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4.5474735088646412E-13</v>
      </c>
      <c r="O125" s="13">
        <f>N125*VLOOKUP('Données projet'!$B$9,Paramètres!$A$1:$I$89,3,0)*VLOOKUP('Données projet'!$B$9,Paramètres!$A$1:$I$89,5,0)</f>
        <v>2.7193891583010558E-13</v>
      </c>
      <c r="P125" s="13">
        <f t="shared" si="87"/>
        <v>3.6362267729089988E-12</v>
      </c>
      <c r="Q125" s="20">
        <f t="shared" si="107"/>
        <v>6.8067219078872727E-12</v>
      </c>
      <c r="R125" s="59">
        <f t="shared" si="55"/>
        <v>293.33333333334014</v>
      </c>
      <c r="S125" s="59">
        <f ca="1">AVERAGE(OFFSET($R$3,0,0,'Données projet'!$E$9+1,1))-AVERAGE(OFFSET($H$3,0,0,'Données projet'!$E$9+1,1))</f>
        <v>252.28378247570731</v>
      </c>
      <c r="T125" s="59">
        <f t="shared" si="88"/>
        <v>263.50418595307343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4.7472926209742621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5.7356380386291105E-13</v>
      </c>
      <c r="AC125" s="22">
        <f t="shared" si="57"/>
        <v>4.7472926209748358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4.5474735088646412E-13</v>
      </c>
      <c r="O126" s="13">
        <f>N126*VLOOKUP('Données projet'!$B$9,Paramètres!$A$1:$I$89,3,0)*VLOOKUP('Données projet'!$B$9,Paramètres!$A$1:$I$89,5,0)</f>
        <v>2.7193891583010558E-13</v>
      </c>
      <c r="P126" s="13">
        <f t="shared" si="87"/>
        <v>3.6362267729089988E-12</v>
      </c>
      <c r="Q126" s="20">
        <f t="shared" si="107"/>
        <v>6.8067219078872727E-12</v>
      </c>
      <c r="R126" s="59">
        <f t="shared" si="55"/>
        <v>293.33333333334014</v>
      </c>
      <c r="S126" s="59">
        <f ca="1">AVERAGE(OFFSET($R$3,0,0,'Données projet'!$E$9+1,1))-AVERAGE(OFFSET($H$3,0,0,'Données projet'!$E$9+1,1))</f>
        <v>252.28378247570731</v>
      </c>
      <c r="T126" s="59">
        <f t="shared" si="88"/>
        <v>263.50418595307343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4.6542011082395423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4.0557085515461531E-13</v>
      </c>
      <c r="AC126" s="22">
        <f t="shared" si="57"/>
        <v>4.6542011082399481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4.5474735088646412E-13</v>
      </c>
      <c r="O127" s="13">
        <f>N127*VLOOKUP('Données projet'!$B$9,Paramètres!$A$1:$I$89,3,0)*VLOOKUP('Données projet'!$B$9,Paramètres!$A$1:$I$89,5,0)</f>
        <v>2.7193891583010558E-13</v>
      </c>
      <c r="P127" s="13">
        <f t="shared" si="87"/>
        <v>3.6362267729089988E-12</v>
      </c>
      <c r="Q127" s="20">
        <f t="shared" si="107"/>
        <v>6.8067219078872727E-12</v>
      </c>
      <c r="R127" s="59">
        <f t="shared" si="55"/>
        <v>293.33333333334014</v>
      </c>
      <c r="S127" s="59">
        <f ca="1">AVERAGE(OFFSET($R$3,0,0,'Données projet'!$E$9+1,1))-AVERAGE(OFFSET($H$3,0,0,'Données projet'!$E$9+1,1))</f>
        <v>252.28378247570731</v>
      </c>
      <c r="T127" s="59">
        <f t="shared" si="88"/>
        <v>263.50418595307343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4.5629350632893342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2.8678190193145552E-13</v>
      </c>
      <c r="AC127" s="22">
        <f t="shared" si="57"/>
        <v>4.5629350632896211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4.5474735088646412E-13</v>
      </c>
      <c r="O128" s="13">
        <f>N128*VLOOKUP('Données projet'!$B$9,Paramètres!$A$1:$I$89,3,0)*VLOOKUP('Données projet'!$B$9,Paramètres!$A$1:$I$89,5,0)</f>
        <v>2.7193891583010558E-13</v>
      </c>
      <c r="P128" s="13">
        <f t="shared" si="87"/>
        <v>3.6362267729089988E-12</v>
      </c>
      <c r="Q128" s="20">
        <f t="shared" si="107"/>
        <v>6.8067219078872727E-12</v>
      </c>
      <c r="R128" s="59">
        <f t="shared" si="55"/>
        <v>293.33333333334014</v>
      </c>
      <c r="S128" s="59">
        <f ca="1">AVERAGE(OFFSET($R$3,0,0,'Données projet'!$E$9+1,1))-AVERAGE(OFFSET($H$3,0,0,'Données projet'!$E$9+1,1))</f>
        <v>252.28378247570731</v>
      </c>
      <c r="T128" s="59">
        <f t="shared" si="88"/>
        <v>263.50418595307343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4.4734586898138087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2.0278542757730765E-13</v>
      </c>
      <c r="AC128" s="22">
        <f t="shared" si="57"/>
        <v>4.4734586898140112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4.5474735088646412E-13</v>
      </c>
      <c r="O129" s="13">
        <f>N129*VLOOKUP('Données projet'!$B$9,Paramètres!$A$1:$I$89,3,0)*VLOOKUP('Données projet'!$B$9,Paramètres!$A$1:$I$89,5,0)</f>
        <v>2.7193891583010558E-13</v>
      </c>
      <c r="P129" s="13">
        <f t="shared" si="87"/>
        <v>3.6362267729089988E-12</v>
      </c>
      <c r="Q129" s="20">
        <f t="shared" si="107"/>
        <v>6.8067219078872727E-12</v>
      </c>
      <c r="R129" s="59">
        <f t="shared" si="55"/>
        <v>293.33333333334014</v>
      </c>
      <c r="S129" s="59">
        <f ca="1">AVERAGE(OFFSET($R$3,0,0,'Données projet'!$E$9+1,1))-AVERAGE(OFFSET($H$3,0,0,'Données projet'!$E$9+1,1))</f>
        <v>252.28378247570731</v>
      </c>
      <c r="T129" s="59">
        <f t="shared" si="88"/>
        <v>263.50418595307343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4.3857368934469401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1.4339095096572776E-13</v>
      </c>
      <c r="AC129" s="22">
        <f t="shared" si="57"/>
        <v>4.3857368934470831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4.5474735088646412E-13</v>
      </c>
      <c r="O130" s="13">
        <f>N130*VLOOKUP('Données projet'!$B$9,Paramètres!$A$1:$I$89,3,0)*VLOOKUP('Données projet'!$B$9,Paramètres!$A$1:$I$89,5,0)</f>
        <v>2.7193891583010558E-13</v>
      </c>
      <c r="P130" s="13">
        <f t="shared" si="87"/>
        <v>3.6362267729089988E-12</v>
      </c>
      <c r="Q130" s="20">
        <f t="shared" si="107"/>
        <v>6.8067219078872727E-12</v>
      </c>
      <c r="R130" s="59">
        <f t="shared" si="55"/>
        <v>293.33333333334014</v>
      </c>
      <c r="S130" s="59">
        <f ca="1">AVERAGE(OFFSET($R$3,0,0,'Données projet'!$E$9+1,1))-AVERAGE(OFFSET($H$3,0,0,'Données projet'!$E$9+1,1))</f>
        <v>252.28378247570731</v>
      </c>
      <c r="T130" s="59">
        <f t="shared" si="88"/>
        <v>263.50418595307343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4.2997352680018128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1.0139271378865383E-13</v>
      </c>
      <c r="AC130" s="22">
        <f t="shared" si="57"/>
        <v>4.2997352680019141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4.5474735088646412E-13</v>
      </c>
      <c r="O131" s="13">
        <f>N131*VLOOKUP('Données projet'!$B$9,Paramètres!$A$1:$I$89,3,0)*VLOOKUP('Données projet'!$B$9,Paramètres!$A$1:$I$89,5,0)</f>
        <v>2.7193891583010558E-13</v>
      </c>
      <c r="P131" s="13">
        <f t="shared" si="87"/>
        <v>3.6362267729089988E-12</v>
      </c>
      <c r="Q131" s="20">
        <f t="shared" ref="Q131:Q153" si="108">(O131+P131)*0.475*44/12</f>
        <v>6.8067219078872727E-12</v>
      </c>
      <c r="R131" s="59">
        <f t="shared" ref="R131:R194" si="109">Q131+(I131+J131)*44/12</f>
        <v>293.33333333334014</v>
      </c>
      <c r="S131" s="59">
        <f ca="1">AVERAGE(OFFSET($R$3,0,0,'Données projet'!$E$9+1,1))-AVERAGE(OFFSET($H$3,0,0,'Données projet'!$E$9+1,1))</f>
        <v>252.28378247570731</v>
      </c>
      <c r="T131" s="59">
        <f t="shared" si="88"/>
        <v>263.50418595307343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4.2154200819758527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7.1695475482863881E-14</v>
      </c>
      <c r="AC131" s="22">
        <f t="shared" si="57"/>
        <v>4.2154200819759247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4.5474735088646412E-13</v>
      </c>
      <c r="O132" s="13">
        <f>N132*VLOOKUP('Données projet'!$B$9,Paramètres!$A$1:$I$89,3,0)*VLOOKUP('Données projet'!$B$9,Paramètres!$A$1:$I$89,5,0)</f>
        <v>2.7193891583010558E-13</v>
      </c>
      <c r="P132" s="13">
        <f t="shared" si="87"/>
        <v>3.6362267729089988E-12</v>
      </c>
      <c r="Q132" s="20">
        <f t="shared" si="108"/>
        <v>6.8067219078872727E-12</v>
      </c>
      <c r="R132" s="59">
        <f t="shared" si="109"/>
        <v>293.33333333334014</v>
      </c>
      <c r="S132" s="59">
        <f ca="1">AVERAGE(OFFSET($R$3,0,0,'Données projet'!$E$9+1,1))-AVERAGE(OFFSET($H$3,0,0,'Données projet'!$E$9+1,1))</f>
        <v>252.28378247570731</v>
      </c>
      <c r="T132" s="59">
        <f t="shared" si="88"/>
        <v>263.50418595307343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4.1327582653206765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5.0696356894326914E-14</v>
      </c>
      <c r="AC132" s="22">
        <f t="shared" ref="AC132:AC153" si="111">SUM(Z132:AB132)</f>
        <v>4.1327582653207271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4.5474735088646412E-13</v>
      </c>
      <c r="O133" s="13">
        <f>N133*VLOOKUP('Données projet'!$B$9,Paramètres!$A$1:$I$89,3,0)*VLOOKUP('Données projet'!$B$9,Paramètres!$A$1:$I$89,5,0)</f>
        <v>2.7193891583010558E-13</v>
      </c>
      <c r="P133" s="13">
        <f t="shared" ref="P133:P196" si="141">EXP(-1.0587+0.8836*LN(O133)+0.284)</f>
        <v>3.6362267729089988E-12</v>
      </c>
      <c r="Q133" s="20">
        <f t="shared" si="108"/>
        <v>6.8067219078872727E-12</v>
      </c>
      <c r="R133" s="59">
        <f t="shared" si="109"/>
        <v>293.33333333334014</v>
      </c>
      <c r="S133" s="59">
        <f ca="1">AVERAGE(OFFSET($R$3,0,0,'Données projet'!$E$9+1,1))-AVERAGE(OFFSET($H$3,0,0,'Données projet'!$E$9+1,1))</f>
        <v>252.28378247570731</v>
      </c>
      <c r="T133" s="59">
        <f t="shared" ref="T133:T196" si="142">$T$3</f>
        <v>263.50418595307343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4.0517173964713784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3.5847737741431941E-14</v>
      </c>
      <c r="AC133" s="22">
        <f t="shared" si="111"/>
        <v>4.0517173964714139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4.5474735088646412E-13</v>
      </c>
      <c r="O134" s="13">
        <f>N134*VLOOKUP('Données projet'!$B$9,Paramètres!$A$1:$I$89,3,0)*VLOOKUP('Données projet'!$B$9,Paramètres!$A$1:$I$89,5,0)</f>
        <v>2.7193891583010558E-13</v>
      </c>
      <c r="P134" s="13">
        <f t="shared" si="141"/>
        <v>3.6362267729089988E-12</v>
      </c>
      <c r="Q134" s="20">
        <f t="shared" si="108"/>
        <v>6.8067219078872727E-12</v>
      </c>
      <c r="R134" s="59">
        <f t="shared" si="109"/>
        <v>293.33333333334014</v>
      </c>
      <c r="S134" s="59">
        <f ca="1">AVERAGE(OFFSET($R$3,0,0,'Données projet'!$E$9+1,1))-AVERAGE(OFFSET($H$3,0,0,'Données projet'!$E$9+1,1))</f>
        <v>252.28378247570731</v>
      </c>
      <c r="T134" s="59">
        <f t="shared" si="142"/>
        <v>263.50418595307343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3.9722656896301656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2.5348178447163457E-14</v>
      </c>
      <c r="AC134" s="22">
        <f t="shared" si="111"/>
        <v>3.9722656896301909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4.5474735088646412E-13</v>
      </c>
      <c r="O135" s="13">
        <f>N135*VLOOKUP('Données projet'!$B$9,Paramètres!$A$1:$I$89,3,0)*VLOOKUP('Données projet'!$B$9,Paramètres!$A$1:$I$89,5,0)</f>
        <v>2.7193891583010558E-13</v>
      </c>
      <c r="P135" s="13">
        <f t="shared" si="141"/>
        <v>3.6362267729089988E-12</v>
      </c>
      <c r="Q135" s="20">
        <f t="shared" si="108"/>
        <v>6.8067219078872727E-12</v>
      </c>
      <c r="R135" s="59">
        <f t="shared" si="109"/>
        <v>293.33333333334014</v>
      </c>
      <c r="S135" s="59">
        <f ca="1">AVERAGE(OFFSET($R$3,0,0,'Données projet'!$E$9+1,1))-AVERAGE(OFFSET($H$3,0,0,'Données projet'!$E$9+1,1))</f>
        <v>252.28378247570731</v>
      </c>
      <c r="T135" s="59">
        <f t="shared" si="142"/>
        <v>263.50418595307343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3.894371982299353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1.792386887071597E-14</v>
      </c>
      <c r="AC135" s="22">
        <f t="shared" si="111"/>
        <v>3.8943719822993708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4.5474735088646412E-13</v>
      </c>
      <c r="O136" s="13">
        <f>N136*VLOOKUP('Données projet'!$B$9,Paramètres!$A$1:$I$89,3,0)*VLOOKUP('Données projet'!$B$9,Paramètres!$A$1:$I$89,5,0)</f>
        <v>2.7193891583010558E-13</v>
      </c>
      <c r="P136" s="13">
        <f t="shared" si="141"/>
        <v>3.6362267729089988E-12</v>
      </c>
      <c r="Q136" s="20">
        <f t="shared" si="108"/>
        <v>6.8067219078872727E-12</v>
      </c>
      <c r="R136" s="59">
        <f t="shared" si="109"/>
        <v>293.33333333334014</v>
      </c>
      <c r="S136" s="59">
        <f ca="1">AVERAGE(OFFSET($R$3,0,0,'Données projet'!$E$9+1,1))-AVERAGE(OFFSET($H$3,0,0,'Données projet'!$E$9+1,1))</f>
        <v>252.28378247570731</v>
      </c>
      <c r="T136" s="59">
        <f t="shared" si="142"/>
        <v>263.50418595307343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3.8180057230588273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1.2674089223581728E-14</v>
      </c>
      <c r="AC136" s="22">
        <f t="shared" si="111"/>
        <v>3.8180057230588402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4.5474735088646412E-13</v>
      </c>
      <c r="O137" s="13">
        <f>N137*VLOOKUP('Données projet'!$B$9,Paramètres!$A$1:$I$89,3,0)*VLOOKUP('Données projet'!$B$9,Paramètres!$A$1:$I$89,5,0)</f>
        <v>2.7193891583010558E-13</v>
      </c>
      <c r="P137" s="13">
        <f t="shared" si="141"/>
        <v>3.6362267729089988E-12</v>
      </c>
      <c r="Q137" s="20">
        <f t="shared" si="108"/>
        <v>6.8067219078872727E-12</v>
      </c>
      <c r="R137" s="59">
        <f t="shared" si="109"/>
        <v>293.33333333334014</v>
      </c>
      <c r="S137" s="59">
        <f ca="1">AVERAGE(OFFSET($R$3,0,0,'Données projet'!$E$9+1,1))-AVERAGE(OFFSET($H$3,0,0,'Données projet'!$E$9+1,1))</f>
        <v>252.28378247570731</v>
      </c>
      <c r="T137" s="59">
        <f t="shared" si="142"/>
        <v>263.50418595307343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3.7431369595831896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8.9619344353579851E-15</v>
      </c>
      <c r="AC137" s="22">
        <f t="shared" si="111"/>
        <v>3.7431369595831985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4.5474735088646412E-13</v>
      </c>
      <c r="O138" s="13">
        <f>N138*VLOOKUP('Données projet'!$B$9,Paramètres!$A$1:$I$89,3,0)*VLOOKUP('Données projet'!$B$9,Paramètres!$A$1:$I$89,5,0)</f>
        <v>2.7193891583010558E-13</v>
      </c>
      <c r="P138" s="13">
        <f t="shared" si="141"/>
        <v>3.6362267729089988E-12</v>
      </c>
      <c r="Q138" s="20">
        <f t="shared" si="108"/>
        <v>6.8067219078872727E-12</v>
      </c>
      <c r="R138" s="59">
        <f t="shared" si="109"/>
        <v>293.33333333334014</v>
      </c>
      <c r="S138" s="59">
        <f ca="1">AVERAGE(OFFSET($R$3,0,0,'Données projet'!$E$9+1,1))-AVERAGE(OFFSET($H$3,0,0,'Données projet'!$E$9+1,1))</f>
        <v>252.28378247570731</v>
      </c>
      <c r="T138" s="59">
        <f t="shared" si="142"/>
        <v>263.50418595307343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3.6697363268938723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6.3370446117908642E-15</v>
      </c>
      <c r="AC138" s="22">
        <f t="shared" si="111"/>
        <v>3.6697363268938785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4.5474735088646412E-13</v>
      </c>
      <c r="O139" s="13">
        <f>N139*VLOOKUP('Données projet'!$B$9,Paramètres!$A$1:$I$89,3,0)*VLOOKUP('Données projet'!$B$9,Paramètres!$A$1:$I$89,5,0)</f>
        <v>2.7193891583010558E-13</v>
      </c>
      <c r="P139" s="13">
        <f t="shared" si="141"/>
        <v>3.6362267729089988E-12</v>
      </c>
      <c r="Q139" s="20">
        <f t="shared" si="108"/>
        <v>6.8067219078872727E-12</v>
      </c>
      <c r="R139" s="59">
        <f t="shared" si="109"/>
        <v>293.33333333334014</v>
      </c>
      <c r="S139" s="59">
        <f ca="1">AVERAGE(OFFSET($R$3,0,0,'Données projet'!$E$9+1,1))-AVERAGE(OFFSET($H$3,0,0,'Données projet'!$E$9+1,1))</f>
        <v>252.28378247570731</v>
      </c>
      <c r="T139" s="59">
        <f t="shared" si="142"/>
        <v>263.50418595307343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3.5977750358416274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4.4809672176789926E-15</v>
      </c>
      <c r="AC139" s="22">
        <f t="shared" si="111"/>
        <v>3.5977750358416318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4.5474735088646412E-13</v>
      </c>
      <c r="O140" s="13">
        <f>N140*VLOOKUP('Données projet'!$B$9,Paramètres!$A$1:$I$89,3,0)*VLOOKUP('Données projet'!$B$9,Paramètres!$A$1:$I$89,5,0)</f>
        <v>2.7193891583010558E-13</v>
      </c>
      <c r="P140" s="13">
        <f t="shared" si="141"/>
        <v>3.6362267729089988E-12</v>
      </c>
      <c r="Q140" s="20">
        <f t="shared" si="108"/>
        <v>6.8067219078872727E-12</v>
      </c>
      <c r="R140" s="59">
        <f t="shared" si="109"/>
        <v>293.33333333334014</v>
      </c>
      <c r="S140" s="59">
        <f ca="1">AVERAGE(OFFSET($R$3,0,0,'Données projet'!$E$9+1,1))-AVERAGE(OFFSET($H$3,0,0,'Données projet'!$E$9+1,1))</f>
        <v>252.28378247570731</v>
      </c>
      <c r="T140" s="59">
        <f t="shared" si="142"/>
        <v>263.50418595307343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3.5272248618148634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3.1685223058954321E-15</v>
      </c>
      <c r="AC140" s="22">
        <f t="shared" si="111"/>
        <v>3.5272248618148665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4.5474735088646412E-13</v>
      </c>
      <c r="O141" s="13">
        <f>N141*VLOOKUP('Données projet'!$B$9,Paramètres!$A$1:$I$89,3,0)*VLOOKUP('Données projet'!$B$9,Paramètres!$A$1:$I$89,5,0)</f>
        <v>2.7193891583010558E-13</v>
      </c>
      <c r="P141" s="13">
        <f t="shared" si="141"/>
        <v>3.6362267729089988E-12</v>
      </c>
      <c r="Q141" s="20">
        <f t="shared" si="108"/>
        <v>6.8067219078872727E-12</v>
      </c>
      <c r="R141" s="59">
        <f t="shared" si="109"/>
        <v>293.33333333334014</v>
      </c>
      <c r="S141" s="59">
        <f ca="1">AVERAGE(OFFSET($R$3,0,0,'Données projet'!$E$9+1,1))-AVERAGE(OFFSET($H$3,0,0,'Données projet'!$E$9+1,1))</f>
        <v>252.28378247570731</v>
      </c>
      <c r="T141" s="59">
        <f t="shared" si="142"/>
        <v>263.50418595307343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3.458058133669407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2.2404836088394963E-15</v>
      </c>
      <c r="AC141" s="22">
        <f t="shared" si="111"/>
        <v>3.4580581336694092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4.5474735088646412E-13</v>
      </c>
      <c r="O142" s="13">
        <f>N142*VLOOKUP('Données projet'!$B$9,Paramètres!$A$1:$I$89,3,0)*VLOOKUP('Données projet'!$B$9,Paramètres!$A$1:$I$89,5,0)</f>
        <v>2.7193891583010558E-13</v>
      </c>
      <c r="P142" s="13">
        <f t="shared" si="141"/>
        <v>3.6362267729089988E-12</v>
      </c>
      <c r="Q142" s="20">
        <f t="shared" si="108"/>
        <v>6.8067219078872727E-12</v>
      </c>
      <c r="R142" s="59">
        <f t="shared" si="109"/>
        <v>293.33333333334014</v>
      </c>
      <c r="S142" s="59">
        <f ca="1">AVERAGE(OFFSET($R$3,0,0,'Données projet'!$E$9+1,1))-AVERAGE(OFFSET($H$3,0,0,'Données projet'!$E$9+1,1))</f>
        <v>252.28378247570731</v>
      </c>
      <c r="T142" s="59">
        <f t="shared" si="142"/>
        <v>263.50418595307343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3.3902477228753445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1.5842611529477161E-15</v>
      </c>
      <c r="AC142" s="22">
        <f t="shared" si="111"/>
        <v>3.3902477228753463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4.5474735088646412E-13</v>
      </c>
      <c r="O143" s="13">
        <f>N143*VLOOKUP('Données projet'!$B$9,Paramètres!$A$1:$I$89,3,0)*VLOOKUP('Données projet'!$B$9,Paramètres!$A$1:$I$89,5,0)</f>
        <v>2.7193891583010558E-13</v>
      </c>
      <c r="P143" s="13">
        <f t="shared" si="141"/>
        <v>3.6362267729089988E-12</v>
      </c>
      <c r="Q143" s="20">
        <f t="shared" si="108"/>
        <v>6.8067219078872727E-12</v>
      </c>
      <c r="R143" s="59">
        <f t="shared" si="109"/>
        <v>293.33333333334014</v>
      </c>
      <c r="S143" s="59">
        <f ca="1">AVERAGE(OFFSET($R$3,0,0,'Données projet'!$E$9+1,1))-AVERAGE(OFFSET($H$3,0,0,'Données projet'!$E$9+1,1))</f>
        <v>252.28378247570731</v>
      </c>
      <c r="T143" s="59">
        <f t="shared" si="142"/>
        <v>263.50418595307343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3.3237670328766868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1.1202418044197481E-15</v>
      </c>
      <c r="AC143" s="22">
        <f t="shared" si="111"/>
        <v>3.3237670328766882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4.5474735088646412E-13</v>
      </c>
      <c r="O144" s="13">
        <f>N144*VLOOKUP('Données projet'!$B$9,Paramètres!$A$1:$I$89,3,0)*VLOOKUP('Données projet'!$B$9,Paramètres!$A$1:$I$89,5,0)</f>
        <v>2.7193891583010558E-13</v>
      </c>
      <c r="P144" s="13">
        <f t="shared" si="141"/>
        <v>3.6362267729089988E-12</v>
      </c>
      <c r="Q144" s="20">
        <f t="shared" si="108"/>
        <v>6.8067219078872727E-12</v>
      </c>
      <c r="R144" s="59">
        <f t="shared" si="109"/>
        <v>293.33333333334014</v>
      </c>
      <c r="S144" s="59">
        <f ca="1">AVERAGE(OFFSET($R$3,0,0,'Données projet'!$E$9+1,1))-AVERAGE(OFFSET($H$3,0,0,'Données projet'!$E$9+1,1))</f>
        <v>252.28378247570731</v>
      </c>
      <c r="T144" s="59">
        <f t="shared" si="142"/>
        <v>263.50418595307343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3.2585899886596859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7.9213057647385803E-16</v>
      </c>
      <c r="AC144" s="22">
        <f t="shared" si="111"/>
        <v>3.2585899886596867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4.5474735088646412E-13</v>
      </c>
      <c r="O145" s="13">
        <f>N145*VLOOKUP('Données projet'!$B$9,Paramètres!$A$1:$I$89,3,0)*VLOOKUP('Données projet'!$B$9,Paramètres!$A$1:$I$89,5,0)</f>
        <v>2.7193891583010558E-13</v>
      </c>
      <c r="P145" s="13">
        <f t="shared" si="141"/>
        <v>3.6362267729089988E-12</v>
      </c>
      <c r="Q145" s="20">
        <f t="shared" si="108"/>
        <v>6.8067219078872727E-12</v>
      </c>
      <c r="R145" s="59">
        <f t="shared" si="109"/>
        <v>293.33333333334014</v>
      </c>
      <c r="S145" s="59">
        <f ca="1">AVERAGE(OFFSET($R$3,0,0,'Données projet'!$E$9+1,1))-AVERAGE(OFFSET($H$3,0,0,'Données projet'!$E$9+1,1))</f>
        <v>252.28378247570731</v>
      </c>
      <c r="T145" s="59">
        <f t="shared" si="142"/>
        <v>263.50418595307343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3.1946910265257089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5.6012090220987407E-16</v>
      </c>
      <c r="AC145" s="22">
        <f t="shared" si="111"/>
        <v>3.1946910265257094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4.5474735088646412E-13</v>
      </c>
      <c r="O146" s="13">
        <f>N146*VLOOKUP('Données projet'!$B$9,Paramètres!$A$1:$I$89,3,0)*VLOOKUP('Données projet'!$B$9,Paramètres!$A$1:$I$89,5,0)</f>
        <v>2.7193891583010558E-13</v>
      </c>
      <c r="P146" s="13">
        <f t="shared" si="141"/>
        <v>3.6362267729089988E-12</v>
      </c>
      <c r="Q146" s="20">
        <f t="shared" si="108"/>
        <v>6.8067219078872727E-12</v>
      </c>
      <c r="R146" s="59">
        <f t="shared" si="109"/>
        <v>293.33333333334014</v>
      </c>
      <c r="S146" s="59">
        <f ca="1">AVERAGE(OFFSET($R$3,0,0,'Données projet'!$E$9+1,1))-AVERAGE(OFFSET($H$3,0,0,'Données projet'!$E$9+1,1))</f>
        <v>252.28378247570731</v>
      </c>
      <c r="T146" s="59">
        <f t="shared" si="142"/>
        <v>263.50418595307343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3.1320450840646608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3.9606528823692901E-16</v>
      </c>
      <c r="AC146" s="22">
        <f t="shared" si="111"/>
        <v>3.1320450840646612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4.5474735088646412E-13</v>
      </c>
      <c r="O147" s="13">
        <f>N147*VLOOKUP('Données projet'!$B$9,Paramètres!$A$1:$I$89,3,0)*VLOOKUP('Données projet'!$B$9,Paramètres!$A$1:$I$89,5,0)</f>
        <v>2.7193891583010558E-13</v>
      </c>
      <c r="P147" s="13">
        <f t="shared" si="141"/>
        <v>3.6362267729089988E-12</v>
      </c>
      <c r="Q147" s="20">
        <f t="shared" si="108"/>
        <v>6.8067219078872727E-12</v>
      </c>
      <c r="R147" s="59">
        <f t="shared" si="109"/>
        <v>293.33333333334014</v>
      </c>
      <c r="S147" s="59">
        <f ca="1">AVERAGE(OFFSET($R$3,0,0,'Données projet'!$E$9+1,1))-AVERAGE(OFFSET($H$3,0,0,'Données projet'!$E$9+1,1))</f>
        <v>252.28378247570731</v>
      </c>
      <c r="T147" s="59">
        <f t="shared" si="142"/>
        <v>263.50418595307343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3.0706275903250217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2.8006045110493704E-16</v>
      </c>
      <c r="AC147" s="22">
        <f t="shared" si="111"/>
        <v>3.0706275903250222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4.5474735088646412E-13</v>
      </c>
      <c r="O148" s="13">
        <f>N148*VLOOKUP('Données projet'!$B$9,Paramètres!$A$1:$I$89,3,0)*VLOOKUP('Données projet'!$B$9,Paramètres!$A$1:$I$89,5,0)</f>
        <v>2.7193891583010558E-13</v>
      </c>
      <c r="P148" s="13">
        <f t="shared" si="141"/>
        <v>3.6362267729089988E-12</v>
      </c>
      <c r="Q148" s="20">
        <f t="shared" si="108"/>
        <v>6.8067219078872727E-12</v>
      </c>
      <c r="R148" s="59">
        <f t="shared" si="109"/>
        <v>293.33333333334014</v>
      </c>
      <c r="S148" s="59">
        <f ca="1">AVERAGE(OFFSET($R$3,0,0,'Données projet'!$E$9+1,1))-AVERAGE(OFFSET($H$3,0,0,'Données projet'!$E$9+1,1))</f>
        <v>252.28378247570731</v>
      </c>
      <c r="T148" s="59">
        <f t="shared" si="142"/>
        <v>263.50418595307343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3.0104144561766448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1.9803264411846451E-16</v>
      </c>
      <c r="AC148" s="22">
        <f t="shared" si="111"/>
        <v>3.0104144561766448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4.5474735088646412E-13</v>
      </c>
      <c r="O149" s="13">
        <f>N149*VLOOKUP('Données projet'!$B$9,Paramètres!$A$1:$I$89,3,0)*VLOOKUP('Données projet'!$B$9,Paramètres!$A$1:$I$89,5,0)</f>
        <v>2.7193891583010558E-13</v>
      </c>
      <c r="P149" s="13">
        <f t="shared" si="141"/>
        <v>3.6362267729089988E-12</v>
      </c>
      <c r="Q149" s="20">
        <f t="shared" si="108"/>
        <v>6.8067219078872727E-12</v>
      </c>
      <c r="R149" s="59">
        <f t="shared" si="109"/>
        <v>293.33333333334014</v>
      </c>
      <c r="S149" s="59">
        <f ca="1">AVERAGE(OFFSET($R$3,0,0,'Données projet'!$E$9+1,1))-AVERAGE(OFFSET($H$3,0,0,'Données projet'!$E$9+1,1))</f>
        <v>252.28378247570731</v>
      </c>
      <c r="T149" s="59">
        <f t="shared" si="142"/>
        <v>263.50418595307343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2.9513820648625324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1.4003022555246852E-16</v>
      </c>
      <c r="AC149" s="22">
        <f t="shared" si="111"/>
        <v>2.9513820648625324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4.5474735088646412E-13</v>
      </c>
      <c r="O150" s="13">
        <f>N150*VLOOKUP('Données projet'!$B$9,Paramètres!$A$1:$I$89,3,0)*VLOOKUP('Données projet'!$B$9,Paramètres!$A$1:$I$89,5,0)</f>
        <v>2.7193891583010558E-13</v>
      </c>
      <c r="P150" s="13">
        <f t="shared" si="141"/>
        <v>3.6362267729089988E-12</v>
      </c>
      <c r="Q150" s="20">
        <f t="shared" si="108"/>
        <v>6.8067219078872727E-12</v>
      </c>
      <c r="R150" s="59">
        <f t="shared" si="109"/>
        <v>293.33333333334014</v>
      </c>
      <c r="S150" s="59">
        <f ca="1">AVERAGE(OFFSET($R$3,0,0,'Données projet'!$E$9+1,1))-AVERAGE(OFFSET($H$3,0,0,'Données projet'!$E$9+1,1))</f>
        <v>252.28378247570731</v>
      </c>
      <c r="T150" s="59">
        <f t="shared" si="142"/>
        <v>263.50418595307343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2.893507262735886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9.9016322059232253E-17</v>
      </c>
      <c r="AC150" s="22">
        <f t="shared" si="111"/>
        <v>2.893507262735886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4.5474735088646412E-13</v>
      </c>
      <c r="O151" s="13">
        <f>N151*VLOOKUP('Données projet'!$B$9,Paramètres!$A$1:$I$89,3,0)*VLOOKUP('Données projet'!$B$9,Paramètres!$A$1:$I$89,5,0)</f>
        <v>2.7193891583010558E-13</v>
      </c>
      <c r="P151" s="13">
        <f t="shared" si="141"/>
        <v>3.6362267729089988E-12</v>
      </c>
      <c r="Q151" s="20">
        <f t="shared" si="108"/>
        <v>6.8067219078872727E-12</v>
      </c>
      <c r="R151" s="59">
        <f t="shared" si="109"/>
        <v>293.33333333334014</v>
      </c>
      <c r="S151" s="59">
        <f ca="1">AVERAGE(OFFSET($R$3,0,0,'Données projet'!$E$9+1,1))-AVERAGE(OFFSET($H$3,0,0,'Données projet'!$E$9+1,1))</f>
        <v>252.28378247570731</v>
      </c>
      <c r="T151" s="59">
        <f t="shared" si="142"/>
        <v>263.50418595307343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2.8367673501787998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7.0015112776234259E-17</v>
      </c>
      <c r="AC151" s="22">
        <f t="shared" si="111"/>
        <v>2.8367673501787998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4.5474735088646412E-13</v>
      </c>
      <c r="O152" s="13">
        <f>N152*VLOOKUP('Données projet'!$B$9,Paramètres!$A$1:$I$89,3,0)*VLOOKUP('Données projet'!$B$9,Paramètres!$A$1:$I$89,5,0)</f>
        <v>2.7193891583010558E-13</v>
      </c>
      <c r="P152" s="13">
        <f t="shared" si="141"/>
        <v>3.6362267729089988E-12</v>
      </c>
      <c r="Q152" s="20">
        <f t="shared" si="108"/>
        <v>6.8067219078872727E-12</v>
      </c>
      <c r="R152" s="59">
        <f t="shared" si="109"/>
        <v>293.33333333334014</v>
      </c>
      <c r="S152" s="59">
        <f ca="1">AVERAGE(OFFSET($R$3,0,0,'Données projet'!$E$9+1,1))-AVERAGE(OFFSET($H$3,0,0,'Données projet'!$E$9+1,1))</f>
        <v>252.28378247570731</v>
      </c>
      <c r="T152" s="59">
        <f t="shared" si="142"/>
        <v>263.50418595307343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2.7811400726990283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4.9508161029616127E-17</v>
      </c>
      <c r="AC152" s="22">
        <f t="shared" si="111"/>
        <v>2.7811400726990283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4.5474735088646412E-13</v>
      </c>
      <c r="O153" s="13">
        <f>N153*VLOOKUP('Données projet'!$B$9,Paramètres!$A$1:$I$89,3,0)*VLOOKUP('Données projet'!$B$9,Paramètres!$A$1:$I$89,5,0)</f>
        <v>2.7193891583010558E-13</v>
      </c>
      <c r="P153" s="13">
        <f t="shared" si="141"/>
        <v>3.6362267729089988E-12</v>
      </c>
      <c r="Q153" s="20">
        <f t="shared" si="108"/>
        <v>6.8067219078872727E-12</v>
      </c>
      <c r="R153" s="59">
        <f t="shared" si="109"/>
        <v>293.33333333334014</v>
      </c>
      <c r="S153" s="59">
        <f ca="1">AVERAGE(OFFSET($R$3,0,0,'Données projet'!$E$9+1,1))-AVERAGE(OFFSET($H$3,0,0,'Données projet'!$E$9+1,1))</f>
        <v>252.28378247570731</v>
      </c>
      <c r="T153" s="59">
        <f t="shared" si="142"/>
        <v>263.50418595307343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2.7266036122013464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3.5007556388117129E-17</v>
      </c>
      <c r="AC153" s="22">
        <f t="shared" si="111"/>
        <v>2.7266036122013464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4.5474735088646412E-13</v>
      </c>
      <c r="O154" s="13">
        <f>N154*VLOOKUP('Données projet'!$B$9,Paramètres!$A$1:$I$89,3,0)*VLOOKUP('Données projet'!$B$9,Paramètres!$A$1:$I$89,5,0)</f>
        <v>2.7193891583010558E-13</v>
      </c>
      <c r="P154" s="13">
        <f t="shared" si="141"/>
        <v>3.6362267729089988E-12</v>
      </c>
      <c r="Q154" s="20">
        <f t="shared" ref="Q154:Q203" si="162">(O154+P154)*0.475*44/12</f>
        <v>6.8067219078872727E-12</v>
      </c>
      <c r="R154" s="59">
        <f t="shared" si="109"/>
        <v>293.33333333334014</v>
      </c>
      <c r="S154" s="59">
        <f ca="1">AVERAGE(OFFSET($R$3,0,0,'Données projet'!$E$9+1,1))-AVERAGE(OFFSET($H$3,0,0,'Données projet'!$E$9+1,1))</f>
        <v>252.28378247570731</v>
      </c>
      <c r="T154" s="59">
        <f t="shared" si="142"/>
        <v>263.50418595307343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2.6731365784300674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2.4754080514808063E-17</v>
      </c>
      <c r="AC154" s="22">
        <f t="shared" ref="AC154:AC203" si="163">SUM(Z154:AB154)</f>
        <v>2.6731365784300674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4.5474735088646412E-13</v>
      </c>
      <c r="O155" s="13">
        <f>N155*VLOOKUP('Données projet'!$B$9,Paramètres!$A$1:$I$89,3,0)*VLOOKUP('Données projet'!$B$9,Paramètres!$A$1:$I$89,5,0)</f>
        <v>2.7193891583010558E-13</v>
      </c>
      <c r="P155" s="13">
        <f t="shared" si="141"/>
        <v>3.6362267729089988E-12</v>
      </c>
      <c r="Q155" s="20">
        <f t="shared" si="162"/>
        <v>6.8067219078872727E-12</v>
      </c>
      <c r="R155" s="59">
        <f t="shared" si="109"/>
        <v>293.33333333334014</v>
      </c>
      <c r="S155" s="59">
        <f ca="1">AVERAGE(OFFSET($R$3,0,0,'Données projet'!$E$9+1,1))-AVERAGE(OFFSET($H$3,0,0,'Données projet'!$E$9+1,1))</f>
        <v>252.28378247570731</v>
      </c>
      <c r="T155" s="59">
        <f t="shared" si="142"/>
        <v>263.50418595307343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2.6207180005793727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1.7503778194058565E-17</v>
      </c>
      <c r="AC155" s="22">
        <f t="shared" si="163"/>
        <v>2.6207180005793727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4.5474735088646412E-13</v>
      </c>
      <c r="O156" s="13">
        <f>N156*VLOOKUP('Données projet'!$B$9,Paramètres!$A$1:$I$89,3,0)*VLOOKUP('Données projet'!$B$9,Paramètres!$A$1:$I$89,5,0)</f>
        <v>2.7193891583010558E-13</v>
      </c>
      <c r="P156" s="13">
        <f t="shared" si="141"/>
        <v>3.6362267729089988E-12</v>
      </c>
      <c r="Q156" s="20">
        <f t="shared" si="162"/>
        <v>6.8067219078872727E-12</v>
      </c>
      <c r="R156" s="59">
        <f t="shared" si="109"/>
        <v>293.33333333334014</v>
      </c>
      <c r="S156" s="59">
        <f ca="1">AVERAGE(OFFSET($R$3,0,0,'Données projet'!$E$9+1,1))-AVERAGE(OFFSET($H$3,0,0,'Données projet'!$E$9+1,1))</f>
        <v>252.28378247570731</v>
      </c>
      <c r="T156" s="59">
        <f t="shared" si="142"/>
        <v>263.50418595307343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2.5693273190681549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1.2377040257404032E-17</v>
      </c>
      <c r="AC156" s="22">
        <f t="shared" si="163"/>
        <v>2.5693273190681549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4.5474735088646412E-13</v>
      </c>
      <c r="O157" s="13">
        <f>N157*VLOOKUP('Données projet'!$B$9,Paramètres!$A$1:$I$89,3,0)*VLOOKUP('Données projet'!$B$9,Paramètres!$A$1:$I$89,5,0)</f>
        <v>2.7193891583010558E-13</v>
      </c>
      <c r="P157" s="13">
        <f t="shared" si="141"/>
        <v>3.6362267729089988E-12</v>
      </c>
      <c r="Q157" s="20">
        <f t="shared" si="162"/>
        <v>6.8067219078872727E-12</v>
      </c>
      <c r="R157" s="59">
        <f t="shared" si="109"/>
        <v>293.33333333334014</v>
      </c>
      <c r="S157" s="59">
        <f ca="1">AVERAGE(OFFSET($R$3,0,0,'Données projet'!$E$9+1,1))-AVERAGE(OFFSET($H$3,0,0,'Données projet'!$E$9+1,1))</f>
        <v>252.28378247570731</v>
      </c>
      <c r="T157" s="59">
        <f t="shared" si="142"/>
        <v>263.50418595307343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2.5189443774761515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8.7518890970292824E-18</v>
      </c>
      <c r="AC157" s="22">
        <f t="shared" si="163"/>
        <v>2.5189443774761515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4.5474735088646412E-13</v>
      </c>
      <c r="O158" s="13">
        <f>N158*VLOOKUP('Données projet'!$B$9,Paramètres!$A$1:$I$89,3,0)*VLOOKUP('Données projet'!$B$9,Paramètres!$A$1:$I$89,5,0)</f>
        <v>2.7193891583010558E-13</v>
      </c>
      <c r="P158" s="13">
        <f t="shared" si="141"/>
        <v>3.6362267729089988E-12</v>
      </c>
      <c r="Q158" s="20">
        <f t="shared" si="162"/>
        <v>6.8067219078872727E-12</v>
      </c>
      <c r="R158" s="59">
        <f t="shared" si="109"/>
        <v>293.33333333334014</v>
      </c>
      <c r="S158" s="59">
        <f ca="1">AVERAGE(OFFSET($R$3,0,0,'Données projet'!$E$9+1,1))-AVERAGE(OFFSET($H$3,0,0,'Données projet'!$E$9+1,1))</f>
        <v>252.28378247570731</v>
      </c>
      <c r="T158" s="59">
        <f t="shared" si="142"/>
        <v>263.50418595307343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2.4695494146382071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6.1885201287020158E-18</v>
      </c>
      <c r="AC158" s="22">
        <f t="shared" si="163"/>
        <v>2.4695494146382071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4.5474735088646412E-13</v>
      </c>
      <c r="O159" s="13">
        <f>N159*VLOOKUP('Données projet'!$B$9,Paramètres!$A$1:$I$89,3,0)*VLOOKUP('Données projet'!$B$9,Paramètres!$A$1:$I$89,5,0)</f>
        <v>2.7193891583010558E-13</v>
      </c>
      <c r="P159" s="13">
        <f t="shared" si="141"/>
        <v>3.6362267729089988E-12</v>
      </c>
      <c r="Q159" s="20">
        <f t="shared" si="162"/>
        <v>6.8067219078872727E-12</v>
      </c>
      <c r="R159" s="59">
        <f t="shared" si="109"/>
        <v>293.33333333334014</v>
      </c>
      <c r="S159" s="59">
        <f ca="1">AVERAGE(OFFSET($R$3,0,0,'Données projet'!$E$9+1,1))-AVERAGE(OFFSET($H$3,0,0,'Données projet'!$E$9+1,1))</f>
        <v>252.28378247570731</v>
      </c>
      <c r="T159" s="59">
        <f t="shared" si="142"/>
        <v>263.50418595307343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2.4211230568935624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4.3759445485146412E-18</v>
      </c>
      <c r="AC159" s="22">
        <f t="shared" si="163"/>
        <v>2.4211230568935624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4.5474735088646412E-13</v>
      </c>
      <c r="O160" s="13">
        <f>N160*VLOOKUP('Données projet'!$B$9,Paramètres!$A$1:$I$89,3,0)*VLOOKUP('Données projet'!$B$9,Paramètres!$A$1:$I$89,5,0)</f>
        <v>2.7193891583010558E-13</v>
      </c>
      <c r="P160" s="13">
        <f t="shared" si="141"/>
        <v>3.6362267729089988E-12</v>
      </c>
      <c r="Q160" s="20">
        <f t="shared" si="162"/>
        <v>6.8067219078872727E-12</v>
      </c>
      <c r="R160" s="59">
        <f t="shared" si="109"/>
        <v>293.33333333334014</v>
      </c>
      <c r="S160" s="59">
        <f ca="1">AVERAGE(OFFSET($R$3,0,0,'Données projet'!$E$9+1,1))-AVERAGE(OFFSET($H$3,0,0,'Données projet'!$E$9+1,1))</f>
        <v>252.28378247570731</v>
      </c>
      <c r="T160" s="59">
        <f t="shared" si="142"/>
        <v>263.50418595307343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2.3736463104871284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3.0942600643510079E-18</v>
      </c>
      <c r="AC160" s="22">
        <f t="shared" si="163"/>
        <v>2.3736463104871284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4.5474735088646412E-13</v>
      </c>
      <c r="O161" s="13">
        <f>N161*VLOOKUP('Données projet'!$B$9,Paramètres!$A$1:$I$89,3,0)*VLOOKUP('Données projet'!$B$9,Paramètres!$A$1:$I$89,5,0)</f>
        <v>2.7193891583010558E-13</v>
      </c>
      <c r="P161" s="13">
        <f t="shared" si="141"/>
        <v>3.6362267729089988E-12</v>
      </c>
      <c r="Q161" s="20">
        <f t="shared" si="162"/>
        <v>6.8067219078872727E-12</v>
      </c>
      <c r="R161" s="59">
        <f t="shared" si="109"/>
        <v>293.33333333334014</v>
      </c>
      <c r="S161" s="59">
        <f ca="1">AVERAGE(OFFSET($R$3,0,0,'Données projet'!$E$9+1,1))-AVERAGE(OFFSET($H$3,0,0,'Données projet'!$E$9+1,1))</f>
        <v>252.28378247570731</v>
      </c>
      <c r="T161" s="59">
        <f t="shared" si="142"/>
        <v>263.50418595307343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2.3271005541197685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2.1879722742573206E-18</v>
      </c>
      <c r="AC161" s="22">
        <f t="shared" si="163"/>
        <v>2.3271005541197685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4.5474735088646412E-13</v>
      </c>
      <c r="O162" s="13">
        <f>N162*VLOOKUP('Données projet'!$B$9,Paramètres!$A$1:$I$89,3,0)*VLOOKUP('Données projet'!$B$9,Paramètres!$A$1:$I$89,5,0)</f>
        <v>2.7193891583010558E-13</v>
      </c>
      <c r="P162" s="13">
        <f t="shared" si="141"/>
        <v>3.6362267729089988E-12</v>
      </c>
      <c r="Q162" s="20">
        <f t="shared" si="162"/>
        <v>6.8067219078872727E-12</v>
      </c>
      <c r="R162" s="59">
        <f t="shared" si="109"/>
        <v>293.33333333334014</v>
      </c>
      <c r="S162" s="59">
        <f ca="1">AVERAGE(OFFSET($R$3,0,0,'Données projet'!$E$9+1,1))-AVERAGE(OFFSET($H$3,0,0,'Données projet'!$E$9+1,1))</f>
        <v>252.28378247570731</v>
      </c>
      <c r="T162" s="59">
        <f t="shared" si="142"/>
        <v>263.50418595307343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2.2814675316446644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1.547130032175504E-18</v>
      </c>
      <c r="AC162" s="22">
        <f t="shared" si="163"/>
        <v>2.2814675316446644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4.5474735088646412E-13</v>
      </c>
      <c r="O163" s="13">
        <f>N163*VLOOKUP('Données projet'!$B$9,Paramètres!$A$1:$I$89,3,0)*VLOOKUP('Données projet'!$B$9,Paramètres!$A$1:$I$89,5,0)</f>
        <v>2.7193891583010558E-13</v>
      </c>
      <c r="P163" s="13">
        <f t="shared" si="141"/>
        <v>3.6362267729089988E-12</v>
      </c>
      <c r="Q163" s="20">
        <f t="shared" si="162"/>
        <v>6.8067219078872727E-12</v>
      </c>
      <c r="R163" s="59">
        <f t="shared" si="109"/>
        <v>293.33333333334014</v>
      </c>
      <c r="S163" s="59">
        <f ca="1">AVERAGE(OFFSET($R$3,0,0,'Données projet'!$E$9+1,1))-AVERAGE(OFFSET($H$3,0,0,'Données projet'!$E$9+1,1))</f>
        <v>252.28378247570731</v>
      </c>
      <c r="T163" s="59">
        <f t="shared" si="142"/>
        <v>263.50418595307343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2.2367293449069021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1.0939861371286603E-18</v>
      </c>
      <c r="AC163" s="22">
        <f t="shared" si="163"/>
        <v>2.2367293449069021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4.5474735088646412E-13</v>
      </c>
      <c r="O164" s="13">
        <f>N164*VLOOKUP('Données projet'!$B$9,Paramètres!$A$1:$I$89,3,0)*VLOOKUP('Données projet'!$B$9,Paramètres!$A$1:$I$89,5,0)</f>
        <v>2.7193891583010558E-13</v>
      </c>
      <c r="P164" s="13">
        <f t="shared" si="141"/>
        <v>3.6362267729089988E-12</v>
      </c>
      <c r="Q164" s="20">
        <f t="shared" si="162"/>
        <v>6.8067219078872727E-12</v>
      </c>
      <c r="R164" s="59">
        <f t="shared" si="109"/>
        <v>293.33333333334014</v>
      </c>
      <c r="S164" s="59">
        <f ca="1">AVERAGE(OFFSET($R$3,0,0,'Données projet'!$E$9+1,1))-AVERAGE(OFFSET($H$3,0,0,'Données projet'!$E$9+1,1))</f>
        <v>252.28378247570731</v>
      </c>
      <c r="T164" s="59">
        <f t="shared" si="142"/>
        <v>263.50418595307343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2.1928684467234678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7.7356501608775198E-19</v>
      </c>
      <c r="AC164" s="22">
        <f t="shared" si="163"/>
        <v>2.1928684467234678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4.5474735088646412E-13</v>
      </c>
      <c r="O165" s="13">
        <f>N165*VLOOKUP('Données projet'!$B$9,Paramètres!$A$1:$I$89,3,0)*VLOOKUP('Données projet'!$B$9,Paramètres!$A$1:$I$89,5,0)</f>
        <v>2.7193891583010558E-13</v>
      </c>
      <c r="P165" s="13">
        <f t="shared" si="141"/>
        <v>3.6362267729089988E-12</v>
      </c>
      <c r="Q165" s="20">
        <f t="shared" si="162"/>
        <v>6.8067219078872727E-12</v>
      </c>
      <c r="R165" s="59">
        <f t="shared" si="109"/>
        <v>293.33333333334014</v>
      </c>
      <c r="S165" s="59">
        <f ca="1">AVERAGE(OFFSET($R$3,0,0,'Données projet'!$E$9+1,1))-AVERAGE(OFFSET($H$3,0,0,'Données projet'!$E$9+1,1))</f>
        <v>252.28378247570731</v>
      </c>
      <c r="T165" s="59">
        <f t="shared" si="142"/>
        <v>263.50418595307343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2.1498676340009042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5.4699306856433015E-19</v>
      </c>
      <c r="AC165" s="22">
        <f t="shared" si="163"/>
        <v>2.1498676340009042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4.5474735088646412E-13</v>
      </c>
      <c r="O166" s="13">
        <f>N166*VLOOKUP('Données projet'!$B$9,Paramètres!$A$1:$I$89,3,0)*VLOOKUP('Données projet'!$B$9,Paramètres!$A$1:$I$89,5,0)</f>
        <v>2.7193891583010558E-13</v>
      </c>
      <c r="P166" s="13">
        <f t="shared" si="141"/>
        <v>3.6362267729089988E-12</v>
      </c>
      <c r="Q166" s="20">
        <f t="shared" si="162"/>
        <v>6.8067219078872727E-12</v>
      </c>
      <c r="R166" s="59">
        <f t="shared" si="109"/>
        <v>293.33333333334014</v>
      </c>
      <c r="S166" s="59">
        <f ca="1">AVERAGE(OFFSET($R$3,0,0,'Données projet'!$E$9+1,1))-AVERAGE(OFFSET($H$3,0,0,'Données projet'!$E$9+1,1))</f>
        <v>252.28378247570731</v>
      </c>
      <c r="T166" s="59">
        <f t="shared" si="142"/>
        <v>263.50418595307343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2.1077100409879241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3.8678250804387599E-19</v>
      </c>
      <c r="AC166" s="22">
        <f t="shared" si="163"/>
        <v>2.1077100409879241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4.5474735088646412E-13</v>
      </c>
      <c r="O167" s="13">
        <f>N167*VLOOKUP('Données projet'!$B$9,Paramètres!$A$1:$I$89,3,0)*VLOOKUP('Données projet'!$B$9,Paramètres!$A$1:$I$89,5,0)</f>
        <v>2.7193891583010558E-13</v>
      </c>
      <c r="P167" s="13">
        <f t="shared" si="141"/>
        <v>3.6362267729089988E-12</v>
      </c>
      <c r="Q167" s="20">
        <f t="shared" si="162"/>
        <v>6.8067219078872727E-12</v>
      </c>
      <c r="R167" s="59">
        <f t="shared" si="109"/>
        <v>293.33333333334014</v>
      </c>
      <c r="S167" s="59">
        <f ca="1">AVERAGE(OFFSET($R$3,0,0,'Données projet'!$E$9+1,1))-AVERAGE(OFFSET($H$3,0,0,'Données projet'!$E$9+1,1))</f>
        <v>252.28378247570731</v>
      </c>
      <c r="T167" s="59">
        <f t="shared" si="142"/>
        <v>263.50418595307343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2.066379132660336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2.7349653428216507E-19</v>
      </c>
      <c r="AC167" s="22">
        <f t="shared" si="163"/>
        <v>2.066379132660336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4.5474735088646412E-13</v>
      </c>
      <c r="O168" s="13">
        <f>N168*VLOOKUP('Données projet'!$B$9,Paramètres!$A$1:$I$89,3,0)*VLOOKUP('Données projet'!$B$9,Paramètres!$A$1:$I$89,5,0)</f>
        <v>2.7193891583010558E-13</v>
      </c>
      <c r="P168" s="13">
        <f t="shared" si="141"/>
        <v>3.6362267729089988E-12</v>
      </c>
      <c r="Q168" s="20">
        <f t="shared" si="162"/>
        <v>6.8067219078872727E-12</v>
      </c>
      <c r="R168" s="59">
        <f t="shared" si="109"/>
        <v>293.33333333334014</v>
      </c>
      <c r="S168" s="59">
        <f ca="1">AVERAGE(OFFSET($R$3,0,0,'Données projet'!$E$9+1,1))-AVERAGE(OFFSET($H$3,0,0,'Données projet'!$E$9+1,1))</f>
        <v>252.28378247570731</v>
      </c>
      <c r="T168" s="59">
        <f t="shared" si="142"/>
        <v>263.50418595307343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2.025858698235687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1.9339125402193799E-19</v>
      </c>
      <c r="AC168" s="22">
        <f t="shared" si="163"/>
        <v>2.025858698235687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4.5474735088646412E-13</v>
      </c>
      <c r="O169" s="13">
        <f>N169*VLOOKUP('Données projet'!$B$9,Paramètres!$A$1:$I$89,3,0)*VLOOKUP('Données projet'!$B$9,Paramètres!$A$1:$I$89,5,0)</f>
        <v>2.7193891583010558E-13</v>
      </c>
      <c r="P169" s="13">
        <f t="shared" si="141"/>
        <v>3.6362267729089988E-12</v>
      </c>
      <c r="Q169" s="20">
        <f t="shared" si="162"/>
        <v>6.8067219078872727E-12</v>
      </c>
      <c r="R169" s="59">
        <f t="shared" si="109"/>
        <v>293.33333333334014</v>
      </c>
      <c r="S169" s="59">
        <f ca="1">AVERAGE(OFFSET($R$3,0,0,'Données projet'!$E$9+1,1))-AVERAGE(OFFSET($H$3,0,0,'Données projet'!$E$9+1,1))</f>
        <v>252.28378247570731</v>
      </c>
      <c r="T169" s="59">
        <f t="shared" si="142"/>
        <v>263.50418595307343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1.9861328448150806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1.3674826714108254E-19</v>
      </c>
      <c r="AC169" s="22">
        <f t="shared" si="163"/>
        <v>1.9861328448150806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4.5474735088646412E-13</v>
      </c>
      <c r="O170" s="13">
        <f>N170*VLOOKUP('Données projet'!$B$9,Paramètres!$A$1:$I$89,3,0)*VLOOKUP('Données projet'!$B$9,Paramètres!$A$1:$I$89,5,0)</f>
        <v>2.7193891583010558E-13</v>
      </c>
      <c r="P170" s="13">
        <f t="shared" si="141"/>
        <v>3.6362267729089988E-12</v>
      </c>
      <c r="Q170" s="20">
        <f t="shared" si="162"/>
        <v>6.8067219078872727E-12</v>
      </c>
      <c r="R170" s="59">
        <f t="shared" si="109"/>
        <v>293.33333333334014</v>
      </c>
      <c r="S170" s="59">
        <f ca="1">AVERAGE(OFFSET($R$3,0,0,'Données projet'!$E$9+1,1))-AVERAGE(OFFSET($H$3,0,0,'Données projet'!$E$9+1,1))</f>
        <v>252.28378247570731</v>
      </c>
      <c r="T170" s="59">
        <f t="shared" si="142"/>
        <v>263.50418595307343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1.9471859911496743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9.6695627010968997E-20</v>
      </c>
      <c r="AC170" s="22">
        <f t="shared" si="163"/>
        <v>1.9471859911496743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4.5474735088646412E-13</v>
      </c>
      <c r="O171" s="13">
        <f>N171*VLOOKUP('Données projet'!$B$9,Paramètres!$A$1:$I$89,3,0)*VLOOKUP('Données projet'!$B$9,Paramètres!$A$1:$I$89,5,0)</f>
        <v>2.7193891583010558E-13</v>
      </c>
      <c r="P171" s="13">
        <f t="shared" si="141"/>
        <v>3.6362267729089988E-12</v>
      </c>
      <c r="Q171" s="20">
        <f t="shared" si="162"/>
        <v>6.8067219078872727E-12</v>
      </c>
      <c r="R171" s="59">
        <f t="shared" si="109"/>
        <v>293.33333333334014</v>
      </c>
      <c r="S171" s="59">
        <f ca="1">AVERAGE(OFFSET($R$3,0,0,'Données projet'!$E$9+1,1))-AVERAGE(OFFSET($H$3,0,0,'Données projet'!$E$9+1,1))</f>
        <v>252.28378247570731</v>
      </c>
      <c r="T171" s="59">
        <f t="shared" si="142"/>
        <v>263.50418595307343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1.9090028615294115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6.8374133570541268E-20</v>
      </c>
      <c r="AC171" s="22">
        <f t="shared" si="163"/>
        <v>1.9090028615294115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4.5474735088646412E-13</v>
      </c>
      <c r="O172" s="13">
        <f>N172*VLOOKUP('Données projet'!$B$9,Paramètres!$A$1:$I$89,3,0)*VLOOKUP('Données projet'!$B$9,Paramètres!$A$1:$I$89,5,0)</f>
        <v>2.7193891583010558E-13</v>
      </c>
      <c r="P172" s="13">
        <f t="shared" si="141"/>
        <v>3.6362267729089988E-12</v>
      </c>
      <c r="Q172" s="20">
        <f t="shared" si="162"/>
        <v>6.8067219078872727E-12</v>
      </c>
      <c r="R172" s="59">
        <f t="shared" si="109"/>
        <v>293.33333333334014</v>
      </c>
      <c r="S172" s="59">
        <f ca="1">AVERAGE(OFFSET($R$3,0,0,'Données projet'!$E$9+1,1))-AVERAGE(OFFSET($H$3,0,0,'Données projet'!$E$9+1,1))</f>
        <v>252.28378247570731</v>
      </c>
      <c r="T172" s="59">
        <f t="shared" si="142"/>
        <v>263.50418595307343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1.8715684797915926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4.8347813505484499E-20</v>
      </c>
      <c r="AC172" s="22">
        <f t="shared" si="163"/>
        <v>1.8715684797915926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4.5474735088646412E-13</v>
      </c>
      <c r="O173" s="13">
        <f>N173*VLOOKUP('Données projet'!$B$9,Paramètres!$A$1:$I$89,3,0)*VLOOKUP('Données projet'!$B$9,Paramètres!$A$1:$I$89,5,0)</f>
        <v>2.7193891583010558E-13</v>
      </c>
      <c r="P173" s="13">
        <f t="shared" si="141"/>
        <v>3.6362267729089988E-12</v>
      </c>
      <c r="Q173" s="20">
        <f t="shared" si="162"/>
        <v>6.8067219078872727E-12</v>
      </c>
      <c r="R173" s="59">
        <f t="shared" si="109"/>
        <v>293.33333333334014</v>
      </c>
      <c r="S173" s="59">
        <f ca="1">AVERAGE(OFFSET($R$3,0,0,'Données projet'!$E$9+1,1))-AVERAGE(OFFSET($H$3,0,0,'Données projet'!$E$9+1,1))</f>
        <v>252.28378247570731</v>
      </c>
      <c r="T173" s="59">
        <f t="shared" si="142"/>
        <v>263.50418595307343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1.8348681634469339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3.4187066785270634E-20</v>
      </c>
      <c r="AC173" s="22">
        <f t="shared" si="163"/>
        <v>1.8348681634469339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4.5474735088646412E-13</v>
      </c>
      <c r="O174" s="13">
        <f>N174*VLOOKUP('Données projet'!$B$9,Paramètres!$A$1:$I$89,3,0)*VLOOKUP('Données projet'!$B$9,Paramètres!$A$1:$I$89,5,0)</f>
        <v>2.7193891583010558E-13</v>
      </c>
      <c r="P174" s="13">
        <f t="shared" si="141"/>
        <v>3.6362267729089988E-12</v>
      </c>
      <c r="Q174" s="20">
        <f t="shared" si="162"/>
        <v>6.8067219078872727E-12</v>
      </c>
      <c r="R174" s="59">
        <f t="shared" si="109"/>
        <v>293.33333333334014</v>
      </c>
      <c r="S174" s="59">
        <f ca="1">AVERAGE(OFFSET($R$3,0,0,'Données projet'!$E$9+1,1))-AVERAGE(OFFSET($H$3,0,0,'Données projet'!$E$9+1,1))</f>
        <v>252.28378247570731</v>
      </c>
      <c r="T174" s="59">
        <f t="shared" si="142"/>
        <v>263.50418595307343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1.7988875179208115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2.4173906752742249E-20</v>
      </c>
      <c r="AC174" s="22">
        <f t="shared" si="163"/>
        <v>1.7988875179208115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4.5474735088646412E-13</v>
      </c>
      <c r="O175" s="13">
        <f>N175*VLOOKUP('Données projet'!$B$9,Paramètres!$A$1:$I$89,3,0)*VLOOKUP('Données projet'!$B$9,Paramètres!$A$1:$I$89,5,0)</f>
        <v>2.7193891583010558E-13</v>
      </c>
      <c r="P175" s="13">
        <f t="shared" si="141"/>
        <v>3.6362267729089988E-12</v>
      </c>
      <c r="Q175" s="20">
        <f t="shared" si="162"/>
        <v>6.8067219078872727E-12</v>
      </c>
      <c r="R175" s="59">
        <f t="shared" si="109"/>
        <v>293.33333333334014</v>
      </c>
      <c r="S175" s="59">
        <f ca="1">AVERAGE(OFFSET($R$3,0,0,'Données projet'!$E$9+1,1))-AVERAGE(OFFSET($H$3,0,0,'Données projet'!$E$9+1,1))</f>
        <v>252.28378247570731</v>
      </c>
      <c r="T175" s="59">
        <f t="shared" si="142"/>
        <v>263.50418595307343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1.7636124309074295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1.7093533392635317E-20</v>
      </c>
      <c r="AC175" s="22">
        <f t="shared" si="163"/>
        <v>1.7636124309074295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4.5474735088646412E-13</v>
      </c>
      <c r="O176" s="13">
        <f>N176*VLOOKUP('Données projet'!$B$9,Paramètres!$A$1:$I$89,3,0)*VLOOKUP('Données projet'!$B$9,Paramètres!$A$1:$I$89,5,0)</f>
        <v>2.7193891583010558E-13</v>
      </c>
      <c r="P176" s="13">
        <f t="shared" si="141"/>
        <v>3.6362267729089988E-12</v>
      </c>
      <c r="Q176" s="20">
        <f t="shared" si="162"/>
        <v>6.8067219078872727E-12</v>
      </c>
      <c r="R176" s="59">
        <f t="shared" si="109"/>
        <v>293.33333333334014</v>
      </c>
      <c r="S176" s="59">
        <f ca="1">AVERAGE(OFFSET($R$3,0,0,'Données projet'!$E$9+1,1))-AVERAGE(OFFSET($H$3,0,0,'Données projet'!$E$9+1,1))</f>
        <v>252.28378247570731</v>
      </c>
      <c r="T176" s="59">
        <f t="shared" si="142"/>
        <v>263.50418595307343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1.7290290668347013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1.2086953376371125E-20</v>
      </c>
      <c r="AC176" s="22">
        <f t="shared" si="163"/>
        <v>1.7290290668347013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4.5474735088646412E-13</v>
      </c>
      <c r="O177" s="13">
        <f>N177*VLOOKUP('Données projet'!$B$9,Paramètres!$A$1:$I$89,3,0)*VLOOKUP('Données projet'!$B$9,Paramètres!$A$1:$I$89,5,0)</f>
        <v>2.7193891583010558E-13</v>
      </c>
      <c r="P177" s="13">
        <f t="shared" si="141"/>
        <v>3.6362267729089988E-12</v>
      </c>
      <c r="Q177" s="20">
        <f t="shared" si="162"/>
        <v>6.8067219078872727E-12</v>
      </c>
      <c r="R177" s="59">
        <f t="shared" si="109"/>
        <v>293.33333333334014</v>
      </c>
      <c r="S177" s="59">
        <f ca="1">AVERAGE(OFFSET($R$3,0,0,'Données projet'!$E$9+1,1))-AVERAGE(OFFSET($H$3,0,0,'Données projet'!$E$9+1,1))</f>
        <v>252.28378247570731</v>
      </c>
      <c r="T177" s="59">
        <f t="shared" si="142"/>
        <v>263.50418595307343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1.69512386143767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8.5467666963176586E-21</v>
      </c>
      <c r="AC177" s="22">
        <f t="shared" si="163"/>
        <v>1.69512386143767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4.5474735088646412E-13</v>
      </c>
      <c r="O178" s="13">
        <f>N178*VLOOKUP('Données projet'!$B$9,Paramètres!$A$1:$I$89,3,0)*VLOOKUP('Données projet'!$B$9,Paramètres!$A$1:$I$89,5,0)</f>
        <v>2.7193891583010558E-13</v>
      </c>
      <c r="P178" s="13">
        <f t="shared" si="141"/>
        <v>3.6362267729089988E-12</v>
      </c>
      <c r="Q178" s="20">
        <f t="shared" si="162"/>
        <v>6.8067219078872727E-12</v>
      </c>
      <c r="R178" s="59">
        <f t="shared" si="109"/>
        <v>293.33333333334014</v>
      </c>
      <c r="S178" s="59">
        <f ca="1">AVERAGE(OFFSET($R$3,0,0,'Données projet'!$E$9+1,1))-AVERAGE(OFFSET($H$3,0,0,'Données projet'!$E$9+1,1))</f>
        <v>252.28378247570731</v>
      </c>
      <c r="T178" s="59">
        <f t="shared" si="142"/>
        <v>263.50418595307343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1.6618835164383414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6.0434766881855623E-21</v>
      </c>
      <c r="AC178" s="22">
        <f t="shared" si="163"/>
        <v>1.6618835164383414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4.5474735088646412E-13</v>
      </c>
      <c r="O179" s="13">
        <f>N179*VLOOKUP('Données projet'!$B$9,Paramètres!$A$1:$I$89,3,0)*VLOOKUP('Données projet'!$B$9,Paramètres!$A$1:$I$89,5,0)</f>
        <v>2.7193891583010558E-13</v>
      </c>
      <c r="P179" s="13">
        <f t="shared" si="141"/>
        <v>3.6362267729089988E-12</v>
      </c>
      <c r="Q179" s="20">
        <f t="shared" si="162"/>
        <v>6.8067219078872727E-12</v>
      </c>
      <c r="R179" s="59">
        <f t="shared" si="109"/>
        <v>293.33333333334014</v>
      </c>
      <c r="S179" s="59">
        <f ca="1">AVERAGE(OFFSET($R$3,0,0,'Données projet'!$E$9+1,1))-AVERAGE(OFFSET($H$3,0,0,'Données projet'!$E$9+1,1))</f>
        <v>252.28378247570731</v>
      </c>
      <c r="T179" s="59">
        <f t="shared" si="142"/>
        <v>263.50418595307343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1.6292949943298412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4.2733833481588293E-21</v>
      </c>
      <c r="AC179" s="22">
        <f t="shared" si="163"/>
        <v>1.6292949943298412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4.5474735088646412E-13</v>
      </c>
      <c r="O180" s="13">
        <f>N180*VLOOKUP('Données projet'!$B$9,Paramètres!$A$1:$I$89,3,0)*VLOOKUP('Données projet'!$B$9,Paramètres!$A$1:$I$89,5,0)</f>
        <v>2.7193891583010558E-13</v>
      </c>
      <c r="P180" s="13">
        <f t="shared" si="141"/>
        <v>3.6362267729089988E-12</v>
      </c>
      <c r="Q180" s="20">
        <f t="shared" si="162"/>
        <v>6.8067219078872727E-12</v>
      </c>
      <c r="R180" s="59">
        <f t="shared" si="109"/>
        <v>293.33333333334014</v>
      </c>
      <c r="S180" s="59">
        <f ca="1">AVERAGE(OFFSET($R$3,0,0,'Données projet'!$E$9+1,1))-AVERAGE(OFFSET($H$3,0,0,'Données projet'!$E$9+1,1))</f>
        <v>252.28378247570731</v>
      </c>
      <c r="T180" s="59">
        <f t="shared" si="142"/>
        <v>263.50418595307343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1.5973455132628527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3.0217383440927812E-21</v>
      </c>
      <c r="AC180" s="22">
        <f t="shared" si="163"/>
        <v>1.5973455132628527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4.5474735088646412E-13</v>
      </c>
      <c r="O181" s="13">
        <f>N181*VLOOKUP('Données projet'!$B$9,Paramètres!$A$1:$I$89,3,0)*VLOOKUP('Données projet'!$B$9,Paramètres!$A$1:$I$89,5,0)</f>
        <v>2.7193891583010558E-13</v>
      </c>
      <c r="P181" s="13">
        <f t="shared" si="141"/>
        <v>3.6362267729089988E-12</v>
      </c>
      <c r="Q181" s="20">
        <f t="shared" si="162"/>
        <v>6.8067219078872727E-12</v>
      </c>
      <c r="R181" s="59">
        <f t="shared" si="109"/>
        <v>293.33333333334014</v>
      </c>
      <c r="S181" s="59">
        <f ca="1">AVERAGE(OFFSET($R$3,0,0,'Données projet'!$E$9+1,1))-AVERAGE(OFFSET($H$3,0,0,'Données projet'!$E$9+1,1))</f>
        <v>252.28378247570731</v>
      </c>
      <c r="T181" s="59">
        <f t="shared" si="142"/>
        <v>263.50418595307343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1.5660225420323286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2.1366916740794146E-21</v>
      </c>
      <c r="AC181" s="22">
        <f t="shared" si="163"/>
        <v>1.5660225420323286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4.5474735088646412E-13</v>
      </c>
      <c r="O182" s="13">
        <f>N182*VLOOKUP('Données projet'!$B$9,Paramètres!$A$1:$I$89,3,0)*VLOOKUP('Données projet'!$B$9,Paramètres!$A$1:$I$89,5,0)</f>
        <v>2.7193891583010558E-13</v>
      </c>
      <c r="P182" s="13">
        <f t="shared" si="141"/>
        <v>3.6362267729089988E-12</v>
      </c>
      <c r="Q182" s="20">
        <f t="shared" si="162"/>
        <v>6.8067219078872727E-12</v>
      </c>
      <c r="R182" s="59">
        <f t="shared" si="109"/>
        <v>293.33333333334014</v>
      </c>
      <c r="S182" s="59">
        <f ca="1">AVERAGE(OFFSET($R$3,0,0,'Données projet'!$E$9+1,1))-AVERAGE(OFFSET($H$3,0,0,'Données projet'!$E$9+1,1))</f>
        <v>252.28378247570731</v>
      </c>
      <c r="T182" s="59">
        <f t="shared" si="142"/>
        <v>263.50418595307343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1.5353137951625091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1.5108691720463906E-21</v>
      </c>
      <c r="AC182" s="22">
        <f t="shared" si="163"/>
        <v>1.5353137951625091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4.5474735088646412E-13</v>
      </c>
      <c r="O183" s="13">
        <f>N183*VLOOKUP('Données projet'!$B$9,Paramètres!$A$1:$I$89,3,0)*VLOOKUP('Données projet'!$B$9,Paramètres!$A$1:$I$89,5,0)</f>
        <v>2.7193891583010558E-13</v>
      </c>
      <c r="P183" s="13">
        <f t="shared" si="141"/>
        <v>3.6362267729089988E-12</v>
      </c>
      <c r="Q183" s="20">
        <f t="shared" si="162"/>
        <v>6.8067219078872727E-12</v>
      </c>
      <c r="R183" s="59">
        <f t="shared" si="109"/>
        <v>293.33333333334014</v>
      </c>
      <c r="S183" s="59">
        <f ca="1">AVERAGE(OFFSET($R$3,0,0,'Données projet'!$E$9+1,1))-AVERAGE(OFFSET($H$3,0,0,'Données projet'!$E$9+1,1))</f>
        <v>252.28378247570731</v>
      </c>
      <c r="T183" s="59">
        <f t="shared" si="142"/>
        <v>263.50418595307343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1.5052072280883206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1.0683458370397073E-21</v>
      </c>
      <c r="AC183" s="22">
        <f t="shared" si="163"/>
        <v>1.5052072280883206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4.5474735088646412E-13</v>
      </c>
      <c r="O184" s="13">
        <f>N184*VLOOKUP('Données projet'!$B$9,Paramètres!$A$1:$I$89,3,0)*VLOOKUP('Données projet'!$B$9,Paramètres!$A$1:$I$89,5,0)</f>
        <v>2.7193891583010558E-13</v>
      </c>
      <c r="P184" s="13">
        <f t="shared" si="141"/>
        <v>3.6362267729089988E-12</v>
      </c>
      <c r="Q184" s="20">
        <f t="shared" si="162"/>
        <v>6.8067219078872727E-12</v>
      </c>
      <c r="R184" s="59">
        <f t="shared" si="109"/>
        <v>293.33333333334014</v>
      </c>
      <c r="S184" s="59">
        <f ca="1">AVERAGE(OFFSET($R$3,0,0,'Données projet'!$E$9+1,1))-AVERAGE(OFFSET($H$3,0,0,'Données projet'!$E$9+1,1))</f>
        <v>252.28378247570731</v>
      </c>
      <c r="T184" s="59">
        <f t="shared" si="142"/>
        <v>263.50418595307343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1.4756910324312644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7.5543458602319529E-22</v>
      </c>
      <c r="AC184" s="22">
        <f t="shared" si="163"/>
        <v>1.4756910324312644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4.5474735088646412E-13</v>
      </c>
      <c r="O185" s="13">
        <f>N185*VLOOKUP('Données projet'!$B$9,Paramètres!$A$1:$I$89,3,0)*VLOOKUP('Données projet'!$B$9,Paramètres!$A$1:$I$89,5,0)</f>
        <v>2.7193891583010558E-13</v>
      </c>
      <c r="P185" s="13">
        <f t="shared" si="141"/>
        <v>3.6362267729089988E-12</v>
      </c>
      <c r="Q185" s="20">
        <f t="shared" si="162"/>
        <v>6.8067219078872727E-12</v>
      </c>
      <c r="R185" s="59">
        <f t="shared" si="109"/>
        <v>293.33333333334014</v>
      </c>
      <c r="S185" s="59">
        <f ca="1">AVERAGE(OFFSET($R$3,0,0,'Données projet'!$E$9+1,1))-AVERAGE(OFFSET($H$3,0,0,'Données projet'!$E$9+1,1))</f>
        <v>252.28378247570731</v>
      </c>
      <c r="T185" s="59">
        <f t="shared" si="142"/>
        <v>263.50418595307343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1.4467536313679414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5.3417291851985366E-22</v>
      </c>
      <c r="AC185" s="22">
        <f t="shared" si="163"/>
        <v>1.4467536313679414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4.5474735088646412E-13</v>
      </c>
      <c r="O186" s="13">
        <f>N186*VLOOKUP('Données projet'!$B$9,Paramètres!$A$1:$I$89,3,0)*VLOOKUP('Données projet'!$B$9,Paramètres!$A$1:$I$89,5,0)</f>
        <v>2.7193891583010558E-13</v>
      </c>
      <c r="P186" s="13">
        <f t="shared" si="141"/>
        <v>3.6362267729089988E-12</v>
      </c>
      <c r="Q186" s="20">
        <f t="shared" si="162"/>
        <v>6.8067219078872727E-12</v>
      </c>
      <c r="R186" s="59">
        <f t="shared" si="109"/>
        <v>293.33333333334014</v>
      </c>
      <c r="S186" s="59">
        <f ca="1">AVERAGE(OFFSET($R$3,0,0,'Données projet'!$E$9+1,1))-AVERAGE(OFFSET($H$3,0,0,'Données projet'!$E$9+1,1))</f>
        <v>252.28378247570731</v>
      </c>
      <c r="T186" s="59">
        <f t="shared" si="142"/>
        <v>263.50418595307343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1.4183836750893983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3.7771729301159765E-22</v>
      </c>
      <c r="AC186" s="22">
        <f t="shared" si="163"/>
        <v>1.4183836750893983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4.5474735088646412E-13</v>
      </c>
      <c r="O187" s="13">
        <f>N187*VLOOKUP('Données projet'!$B$9,Paramètres!$A$1:$I$89,3,0)*VLOOKUP('Données projet'!$B$9,Paramètres!$A$1:$I$89,5,0)</f>
        <v>2.7193891583010558E-13</v>
      </c>
      <c r="P187" s="13">
        <f t="shared" si="141"/>
        <v>3.6362267729089988E-12</v>
      </c>
      <c r="Q187" s="20">
        <f t="shared" si="162"/>
        <v>6.8067219078872727E-12</v>
      </c>
      <c r="R187" s="59">
        <f t="shared" si="109"/>
        <v>293.33333333334014</v>
      </c>
      <c r="S187" s="59">
        <f ca="1">AVERAGE(OFFSET($R$3,0,0,'Données projet'!$E$9+1,1))-AVERAGE(OFFSET($H$3,0,0,'Données projet'!$E$9+1,1))</f>
        <v>252.28378247570731</v>
      </c>
      <c r="T187" s="59">
        <f t="shared" si="142"/>
        <v>263.50418595307343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1.3905700363495126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2.6708645925992683E-22</v>
      </c>
      <c r="AC187" s="22">
        <f t="shared" si="163"/>
        <v>1.3905700363495126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4.5474735088646412E-13</v>
      </c>
      <c r="O188" s="13">
        <f>N188*VLOOKUP('Données projet'!$B$9,Paramètres!$A$1:$I$89,3,0)*VLOOKUP('Données projet'!$B$9,Paramètres!$A$1:$I$89,5,0)</f>
        <v>2.7193891583010558E-13</v>
      </c>
      <c r="P188" s="13">
        <f t="shared" si="141"/>
        <v>3.6362267729089988E-12</v>
      </c>
      <c r="Q188" s="20">
        <f t="shared" si="162"/>
        <v>6.8067219078872727E-12</v>
      </c>
      <c r="R188" s="59">
        <f t="shared" si="109"/>
        <v>293.33333333334014</v>
      </c>
      <c r="S188" s="59">
        <f ca="1">AVERAGE(OFFSET($R$3,0,0,'Données projet'!$E$9+1,1))-AVERAGE(OFFSET($H$3,0,0,'Données projet'!$E$9+1,1))</f>
        <v>252.28378247570731</v>
      </c>
      <c r="T188" s="59">
        <f t="shared" si="142"/>
        <v>263.50418595307343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1.3633018061006716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1.8885864650579882E-22</v>
      </c>
      <c r="AC188" s="22">
        <f t="shared" si="163"/>
        <v>1.3633018061006716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4.5474735088646412E-13</v>
      </c>
      <c r="O189" s="13">
        <f>N189*VLOOKUP('Données projet'!$B$9,Paramètres!$A$1:$I$89,3,0)*VLOOKUP('Données projet'!$B$9,Paramètres!$A$1:$I$89,5,0)</f>
        <v>2.7193891583010558E-13</v>
      </c>
      <c r="P189" s="13">
        <f t="shared" si="141"/>
        <v>3.6362267729089988E-12</v>
      </c>
      <c r="Q189" s="20">
        <f t="shared" si="162"/>
        <v>6.8067219078872727E-12</v>
      </c>
      <c r="R189" s="59">
        <f t="shared" si="109"/>
        <v>293.33333333334014</v>
      </c>
      <c r="S189" s="59">
        <f ca="1">AVERAGE(OFFSET($R$3,0,0,'Données projet'!$E$9+1,1))-AVERAGE(OFFSET($H$3,0,0,'Données projet'!$E$9+1,1))</f>
        <v>252.28378247570731</v>
      </c>
      <c r="T189" s="59">
        <f t="shared" si="142"/>
        <v>263.50418595307343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1.3365682892150321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1.3354322962996341E-22</v>
      </c>
      <c r="AC189" s="22">
        <f t="shared" si="163"/>
        <v>1.3365682892150321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4.5474735088646412E-13</v>
      </c>
      <c r="O190" s="13">
        <f>N190*VLOOKUP('Données projet'!$B$9,Paramètres!$A$1:$I$89,3,0)*VLOOKUP('Données projet'!$B$9,Paramètres!$A$1:$I$89,5,0)</f>
        <v>2.7193891583010558E-13</v>
      </c>
      <c r="P190" s="13">
        <f t="shared" si="141"/>
        <v>3.6362267729089988E-12</v>
      </c>
      <c r="Q190" s="20">
        <f t="shared" si="162"/>
        <v>6.8067219078872727E-12</v>
      </c>
      <c r="R190" s="59">
        <f t="shared" si="109"/>
        <v>293.33333333334014</v>
      </c>
      <c r="S190" s="59">
        <f ca="1">AVERAGE(OFFSET($R$3,0,0,'Données projet'!$E$9+1,1))-AVERAGE(OFFSET($H$3,0,0,'Données projet'!$E$9+1,1))</f>
        <v>252.28378247570731</v>
      </c>
      <c r="T190" s="59">
        <f t="shared" si="142"/>
        <v>263.50418595307343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1.3103590002896848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9.4429323252899412E-23</v>
      </c>
      <c r="AC190" s="22">
        <f t="shared" si="163"/>
        <v>1.3103590002896848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4.5474735088646412E-13</v>
      </c>
      <c r="O191" s="13">
        <f>N191*VLOOKUP('Données projet'!$B$9,Paramètres!$A$1:$I$89,3,0)*VLOOKUP('Données projet'!$B$9,Paramètres!$A$1:$I$89,5,0)</f>
        <v>2.7193891583010558E-13</v>
      </c>
      <c r="P191" s="13">
        <f t="shared" si="141"/>
        <v>3.6362267729089988E-12</v>
      </c>
      <c r="Q191" s="20">
        <f t="shared" si="162"/>
        <v>6.8067219078872727E-12</v>
      </c>
      <c r="R191" s="59">
        <f t="shared" si="109"/>
        <v>293.33333333334014</v>
      </c>
      <c r="S191" s="59">
        <f ca="1">AVERAGE(OFFSET($R$3,0,0,'Données projet'!$E$9+1,1))-AVERAGE(OFFSET($H$3,0,0,'Données projet'!$E$9+1,1))</f>
        <v>252.28378247570731</v>
      </c>
      <c r="T191" s="59">
        <f t="shared" si="142"/>
        <v>263.50418595307343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1.2846636595340759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6.6771614814981707E-23</v>
      </c>
      <c r="AC191" s="22">
        <f t="shared" si="163"/>
        <v>1.2846636595340759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4.5474735088646412E-13</v>
      </c>
      <c r="O192" s="13">
        <f>N192*VLOOKUP('Données projet'!$B$9,Paramètres!$A$1:$I$89,3,0)*VLOOKUP('Données projet'!$B$9,Paramètres!$A$1:$I$89,5,0)</f>
        <v>2.7193891583010558E-13</v>
      </c>
      <c r="P192" s="13">
        <f t="shared" si="141"/>
        <v>3.6362267729089988E-12</v>
      </c>
      <c r="Q192" s="20">
        <f t="shared" si="162"/>
        <v>6.8067219078872727E-12</v>
      </c>
      <c r="R192" s="59">
        <f t="shared" si="109"/>
        <v>293.33333333334014</v>
      </c>
      <c r="S192" s="59">
        <f ca="1">AVERAGE(OFFSET($R$3,0,0,'Données projet'!$E$9+1,1))-AVERAGE(OFFSET($H$3,0,0,'Données projet'!$E$9+1,1))</f>
        <v>252.28378247570731</v>
      </c>
      <c r="T192" s="59">
        <f t="shared" si="142"/>
        <v>263.50418595307343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1.2594721887380742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4.7214661626449706E-23</v>
      </c>
      <c r="AC192" s="22">
        <f t="shared" si="163"/>
        <v>1.2594721887380742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4.5474735088646412E-13</v>
      </c>
      <c r="O193" s="13">
        <f>N193*VLOOKUP('Données projet'!$B$9,Paramètres!$A$1:$I$89,3,0)*VLOOKUP('Données projet'!$B$9,Paramètres!$A$1:$I$89,5,0)</f>
        <v>2.7193891583010558E-13</v>
      </c>
      <c r="P193" s="13">
        <f t="shared" si="141"/>
        <v>3.6362267729089988E-12</v>
      </c>
      <c r="Q193" s="20">
        <f t="shared" si="162"/>
        <v>6.8067219078872727E-12</v>
      </c>
      <c r="R193" s="59">
        <f t="shared" si="109"/>
        <v>293.33333333334014</v>
      </c>
      <c r="S193" s="59">
        <f ca="1">AVERAGE(OFFSET($R$3,0,0,'Données projet'!$E$9+1,1))-AVERAGE(OFFSET($H$3,0,0,'Données projet'!$E$9+1,1))</f>
        <v>252.28378247570731</v>
      </c>
      <c r="T193" s="59">
        <f t="shared" si="142"/>
        <v>263.50418595307343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1.234774707319102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3.3385807407490854E-23</v>
      </c>
      <c r="AC193" s="22">
        <f t="shared" si="163"/>
        <v>1.234774707319102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4.5474735088646412E-13</v>
      </c>
      <c r="O194" s="13">
        <f>N194*VLOOKUP('Données projet'!$B$9,Paramètres!$A$1:$I$89,3,0)*VLOOKUP('Données projet'!$B$9,Paramètres!$A$1:$I$89,5,0)</f>
        <v>2.7193891583010558E-13</v>
      </c>
      <c r="P194" s="13">
        <f t="shared" si="141"/>
        <v>3.6362267729089988E-12</v>
      </c>
      <c r="Q194" s="20">
        <f t="shared" si="162"/>
        <v>6.8067219078872727E-12</v>
      </c>
      <c r="R194" s="59">
        <f t="shared" si="109"/>
        <v>293.33333333334014</v>
      </c>
      <c r="S194" s="59">
        <f ca="1">AVERAGE(OFFSET($R$3,0,0,'Données projet'!$E$9+1,1))-AVERAGE(OFFSET($H$3,0,0,'Données projet'!$E$9+1,1))</f>
        <v>252.28378247570731</v>
      </c>
      <c r="T194" s="59">
        <f t="shared" si="142"/>
        <v>263.50418595307343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1.2105615284467797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2.3607330813224853E-23</v>
      </c>
      <c r="AC194" s="22">
        <f t="shared" si="163"/>
        <v>1.2105615284467797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4.5474735088646412E-13</v>
      </c>
      <c r="O195" s="13">
        <f>N195*VLOOKUP('Données projet'!$B$9,Paramètres!$A$1:$I$89,3,0)*VLOOKUP('Données projet'!$B$9,Paramètres!$A$1:$I$89,5,0)</f>
        <v>2.7193891583010558E-13</v>
      </c>
      <c r="P195" s="13">
        <f t="shared" si="141"/>
        <v>3.6362267729089988E-12</v>
      </c>
      <c r="Q195" s="20">
        <f t="shared" si="162"/>
        <v>6.8067219078872727E-12</v>
      </c>
      <c r="R195" s="59">
        <f t="shared" ref="R195:R203" si="191">Q195+(I195+J195)*44/12</f>
        <v>293.33333333334014</v>
      </c>
      <c r="S195" s="59">
        <f ca="1">AVERAGE(OFFSET($R$3,0,0,'Données projet'!$E$9+1,1))-AVERAGE(OFFSET($H$3,0,0,'Données projet'!$E$9+1,1))</f>
        <v>252.28378247570731</v>
      </c>
      <c r="T195" s="59">
        <f t="shared" si="142"/>
        <v>263.50418595307343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1.1868231552435626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1.6692903703745427E-23</v>
      </c>
      <c r="AC195" s="22">
        <f t="shared" si="163"/>
        <v>1.1868231552435626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4.5474735088646412E-13</v>
      </c>
      <c r="O196" s="13">
        <f>N196*VLOOKUP('Données projet'!$B$9,Paramètres!$A$1:$I$89,3,0)*VLOOKUP('Données projet'!$B$9,Paramètres!$A$1:$I$89,5,0)</f>
        <v>2.7193891583010558E-13</v>
      </c>
      <c r="P196" s="13">
        <f t="shared" si="141"/>
        <v>3.6362267729089988E-12</v>
      </c>
      <c r="Q196" s="20">
        <f t="shared" si="162"/>
        <v>6.8067219078872727E-12</v>
      </c>
      <c r="R196" s="59">
        <f t="shared" si="191"/>
        <v>293.33333333334014</v>
      </c>
      <c r="S196" s="59">
        <f ca="1">AVERAGE(OFFSET($R$3,0,0,'Données projet'!$E$9+1,1))-AVERAGE(OFFSET($H$3,0,0,'Données projet'!$E$9+1,1))</f>
        <v>252.28378247570731</v>
      </c>
      <c r="T196" s="59">
        <f t="shared" si="142"/>
        <v>263.50418595307343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1.1635502770598829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1.1803665406612426E-23</v>
      </c>
      <c r="AC196" s="22">
        <f t="shared" si="163"/>
        <v>1.1635502770598829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4.5474735088646412E-13</v>
      </c>
      <c r="O197" s="13">
        <f>N197*VLOOKUP('Données projet'!$B$9,Paramètres!$A$1:$I$89,3,0)*VLOOKUP('Données projet'!$B$9,Paramètres!$A$1:$I$89,5,0)</f>
        <v>2.7193891583010558E-13</v>
      </c>
      <c r="P197" s="13">
        <f t="shared" ref="P197:P203" si="203">EXP(-1.0587+0.8836*LN(O197)+0.284)</f>
        <v>3.6362267729089988E-12</v>
      </c>
      <c r="Q197" s="20">
        <f t="shared" si="162"/>
        <v>6.8067219078872727E-12</v>
      </c>
      <c r="R197" s="59">
        <f t="shared" si="191"/>
        <v>293.33333333334014</v>
      </c>
      <c r="S197" s="59">
        <f ca="1">AVERAGE(OFFSET($R$3,0,0,'Données projet'!$E$9+1,1))-AVERAGE(OFFSET($H$3,0,0,'Données projet'!$E$9+1,1))</f>
        <v>252.28378247570731</v>
      </c>
      <c r="T197" s="59">
        <f t="shared" ref="T197:T203" si="204">$T$3</f>
        <v>263.50418595307343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1.1407337658223309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8.3464518518727134E-24</v>
      </c>
      <c r="AC197" s="22">
        <f t="shared" si="163"/>
        <v>1.1407337658223309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4.5474735088646412E-13</v>
      </c>
      <c r="O198" s="13">
        <f>N198*VLOOKUP('Données projet'!$B$9,Paramètres!$A$1:$I$89,3,0)*VLOOKUP('Données projet'!$B$9,Paramètres!$A$1:$I$89,5,0)</f>
        <v>2.7193891583010558E-13</v>
      </c>
      <c r="P198" s="13">
        <f t="shared" si="203"/>
        <v>3.6362267729089988E-12</v>
      </c>
      <c r="Q198" s="20">
        <f t="shared" si="162"/>
        <v>6.8067219078872727E-12</v>
      </c>
      <c r="R198" s="59">
        <f t="shared" si="191"/>
        <v>293.33333333334014</v>
      </c>
      <c r="S198" s="59">
        <f ca="1">AVERAGE(OFFSET($R$3,0,0,'Données projet'!$E$9+1,1))-AVERAGE(OFFSET($H$3,0,0,'Données projet'!$E$9+1,1))</f>
        <v>252.28378247570731</v>
      </c>
      <c r="T198" s="59">
        <f t="shared" si="204"/>
        <v>263.50418595307343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1.1183646724534497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5.9018327033062132E-24</v>
      </c>
      <c r="AC198" s="22">
        <f t="shared" si="163"/>
        <v>1.1183646724534497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4.5474735088646412E-13</v>
      </c>
      <c r="O199" s="13">
        <f>N199*VLOOKUP('Données projet'!$B$9,Paramètres!$A$1:$I$89,3,0)*VLOOKUP('Données projet'!$B$9,Paramètres!$A$1:$I$89,5,0)</f>
        <v>2.7193891583010558E-13</v>
      </c>
      <c r="P199" s="13">
        <f t="shared" si="203"/>
        <v>3.6362267729089988E-12</v>
      </c>
      <c r="Q199" s="20">
        <f t="shared" si="162"/>
        <v>6.8067219078872727E-12</v>
      </c>
      <c r="R199" s="59">
        <f t="shared" si="191"/>
        <v>293.33333333334014</v>
      </c>
      <c r="S199" s="59">
        <f ca="1">AVERAGE(OFFSET($R$3,0,0,'Données projet'!$E$9+1,1))-AVERAGE(OFFSET($H$3,0,0,'Données projet'!$E$9+1,1))</f>
        <v>252.28378247570731</v>
      </c>
      <c r="T199" s="59">
        <f t="shared" si="204"/>
        <v>263.50418595307343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1.0964342233617326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4.1732259259363567E-24</v>
      </c>
      <c r="AC199" s="22">
        <f t="shared" si="163"/>
        <v>1.0964342233617326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4.5474735088646412E-13</v>
      </c>
      <c r="O200" s="13">
        <f>N200*VLOOKUP('Données projet'!$B$9,Paramètres!$A$1:$I$89,3,0)*VLOOKUP('Données projet'!$B$9,Paramètres!$A$1:$I$89,5,0)</f>
        <v>2.7193891583010558E-13</v>
      </c>
      <c r="P200" s="13">
        <f t="shared" si="203"/>
        <v>3.6362267729089988E-12</v>
      </c>
      <c r="Q200" s="20">
        <f t="shared" si="162"/>
        <v>6.8067219078872727E-12</v>
      </c>
      <c r="R200" s="59">
        <f t="shared" si="191"/>
        <v>293.33333333334014</v>
      </c>
      <c r="S200" s="59">
        <f ca="1">AVERAGE(OFFSET($R$3,0,0,'Données projet'!$E$9+1,1))-AVERAGE(OFFSET($H$3,0,0,'Données projet'!$E$9+1,1))</f>
        <v>252.28378247570731</v>
      </c>
      <c r="T200" s="59">
        <f t="shared" si="204"/>
        <v>263.50418595307343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1.0749338170004508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2.9509163516531066E-24</v>
      </c>
      <c r="AC200" s="22">
        <f t="shared" si="163"/>
        <v>1.0749338170004508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4.5474735088646412E-13</v>
      </c>
      <c r="O201" s="13">
        <f>N201*VLOOKUP('Données projet'!$B$9,Paramètres!$A$1:$I$89,3,0)*VLOOKUP('Données projet'!$B$9,Paramètres!$A$1:$I$89,5,0)</f>
        <v>2.7193891583010558E-13</v>
      </c>
      <c r="P201" s="13">
        <f t="shared" si="203"/>
        <v>3.6362267729089988E-12</v>
      </c>
      <c r="Q201" s="20">
        <f t="shared" si="162"/>
        <v>6.8067219078872727E-12</v>
      </c>
      <c r="R201" s="59">
        <f t="shared" si="191"/>
        <v>293.33333333334014</v>
      </c>
      <c r="S201" s="59">
        <f ca="1">AVERAGE(OFFSET($R$3,0,0,'Données projet'!$E$9+1,1))-AVERAGE(OFFSET($H$3,0,0,'Données projet'!$E$9+1,1))</f>
        <v>252.28378247570731</v>
      </c>
      <c r="T201" s="59">
        <f t="shared" si="204"/>
        <v>263.50418595307343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1.0538550204939607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2.0866129629681784E-24</v>
      </c>
      <c r="AC201" s="22">
        <f t="shared" si="163"/>
        <v>1.0538550204939607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4.5474735088646412E-13</v>
      </c>
      <c r="O202" s="13">
        <f>N202*VLOOKUP('Données projet'!$B$9,Paramètres!$A$1:$I$89,3,0)*VLOOKUP('Données projet'!$B$9,Paramètres!$A$1:$I$89,5,0)</f>
        <v>2.7193891583010558E-13</v>
      </c>
      <c r="P202" s="13">
        <f t="shared" si="203"/>
        <v>3.6362267729089988E-12</v>
      </c>
      <c r="Q202" s="20">
        <f t="shared" si="162"/>
        <v>6.8067219078872727E-12</v>
      </c>
      <c r="R202" s="59">
        <f t="shared" si="191"/>
        <v>293.33333333334014</v>
      </c>
      <c r="S202" s="59">
        <f ca="1">AVERAGE(OFFSET($R$3,0,0,'Données projet'!$E$9+1,1))-AVERAGE(OFFSET($H$3,0,0,'Données projet'!$E$9+1,1))</f>
        <v>252.28378247570731</v>
      </c>
      <c r="T202" s="59">
        <f t="shared" si="204"/>
        <v>263.50418595307343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1.0331895663301667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1.4754581758265533E-24</v>
      </c>
      <c r="AC202" s="22">
        <f t="shared" si="163"/>
        <v>1.0331895663301667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4.5474735088646412E-13</v>
      </c>
      <c r="O203" s="13">
        <f>N203*VLOOKUP('Données projet'!$B$9,Paramètres!$A$1:$I$89,3,0)*VLOOKUP('Données projet'!$B$9,Paramètres!$A$1:$I$89,5,0)</f>
        <v>2.7193891583010558E-13</v>
      </c>
      <c r="P203" s="13">
        <f t="shared" si="203"/>
        <v>3.6362267729089988E-12</v>
      </c>
      <c r="Q203" s="20">
        <f t="shared" si="162"/>
        <v>6.8067219078872727E-12</v>
      </c>
      <c r="R203" s="59">
        <f t="shared" si="191"/>
        <v>293.33333333334014</v>
      </c>
      <c r="S203" s="59">
        <f ca="1">AVERAGE(OFFSET($R$3,0,0,'Données projet'!$E$9+1,1))-AVERAGE(OFFSET($H$3,0,0,'Données projet'!$E$9+1,1))</f>
        <v>252.28378247570731</v>
      </c>
      <c r="T203" s="59">
        <f t="shared" si="204"/>
        <v>263.50418595307343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1.0129293491178422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1.0433064814840892E-24</v>
      </c>
      <c r="AC203" s="22">
        <f t="shared" si="163"/>
        <v>1.0129293491178422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1.3763223570336161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tabSelected="1" zoomScale="70" zoomScaleNormal="70" workbookViewId="0">
      <selection activeCell="O16" sqref="O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40.298299999999998</v>
      </c>
      <c r="C6" s="147">
        <f ca="1">IF(OR('Données projet'!B9="",'Données projet'!C9="",'Données projet'!C9=0%),0,Calculateur!S3)</f>
        <v>252.28378247570731</v>
      </c>
      <c r="D6" s="147">
        <f>IF(OR('Données projet'!B9="",'Données projet'!C9="",'Données projet'!C9=0%),0,Calculateur!T3)</f>
        <v>263.50418595307343</v>
      </c>
      <c r="E6" s="147">
        <f ca="1">MIN(C6,D6)</f>
        <v>252.28378247570731</v>
      </c>
      <c r="F6" s="147">
        <f ca="1">E6*B6</f>
        <v>10166.607551340796</v>
      </c>
      <c r="G6" s="147">
        <f ca="1">F6*(100%-'Données projet'!$C$24)*(100%-'Données projet'!$C$25)*(100%-'Données projet'!$C$26)*(100%-'Données projet'!$C$27)</f>
        <v>6221.9638214205679</v>
      </c>
      <c r="H6" s="148">
        <f>IF(OR('Données projet'!B9="",'Données projet'!C9="",'Données projet'!C9=0%),0,AVERAGE(Calculateur!$AC$3:$AC$33)*B6)</f>
        <v>286.61046049388091</v>
      </c>
      <c r="I6" s="149">
        <f>H6*(100%-'Données projet'!$C$24)*(100%-'Données projet'!$C$25)*(100%-'Données projet'!$C$26)*(100%-'Données projet'!$C$27)</f>
        <v>175.40560182225511</v>
      </c>
      <c r="J6" s="150">
        <f>IF(OR('Données projet'!B9="",'Données projet'!C9="",'Données projet'!C9=0%),0,SUM(Calculateur!$V$3:$V$33)*VLOOKUP('Données projet'!$B$9,Paramètres!$A$1:$I$89,9,0)*B6)</f>
        <v>3399.9675709999992</v>
      </c>
      <c r="K6" s="151">
        <f>J6*(100%-'Données projet'!$C$24)*(100%-'Données projet'!$C$25)*(100%-'Données projet'!$C$26)*(100%-'Données projet'!$C$27)</f>
        <v>2080.7801534519999</v>
      </c>
      <c r="L6" s="152">
        <f ca="1">G6+I6+K6</f>
        <v>8478.1495766948228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10166.607551340796</v>
      </c>
      <c r="G16" s="166">
        <f t="shared" ca="1" si="3"/>
        <v>6221.9638214205679</v>
      </c>
      <c r="H16" s="167">
        <f t="shared" si="3"/>
        <v>286.61046049388091</v>
      </c>
      <c r="I16" s="167">
        <f t="shared" si="3"/>
        <v>175.40560182225511</v>
      </c>
      <c r="J16" s="168">
        <f t="shared" si="3"/>
        <v>3399.9675709999992</v>
      </c>
      <c r="K16" s="168">
        <f t="shared" si="3"/>
        <v>2080.7801534519999</v>
      </c>
      <c r="L16" s="169">
        <f t="shared" ca="1" si="3"/>
        <v>8478.1495766948228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2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26" sqref="G2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3" t="s">
        <v>315</v>
      </c>
      <c r="I4" s="263"/>
      <c r="K4" s="287" t="s">
        <v>253</v>
      </c>
      <c r="L4" s="28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7" t="s">
        <v>310</v>
      </c>
      <c r="S7" s="298"/>
      <c r="T7" s="298"/>
      <c r="U7" s="298"/>
      <c r="V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40.298299999999998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90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0"/>
      <c r="H16" s="190"/>
      <c r="I16" s="191"/>
      <c r="J16" s="202"/>
      <c r="K16" s="208"/>
      <c r="L16" s="287" t="s">
        <v>254</v>
      </c>
      <c r="M16" s="288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90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0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0"/>
      <c r="H19" s="212" t="s">
        <v>178</v>
      </c>
      <c r="I19" s="212" t="s">
        <v>287</v>
      </c>
      <c r="J19" s="93"/>
      <c r="K19" s="173"/>
      <c r="L19" s="287" t="s">
        <v>288</v>
      </c>
      <c r="M19" s="288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0"/>
      <c r="H20" s="190"/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289" t="s">
        <v>260</v>
      </c>
      <c r="M23" s="289"/>
      <c r="N23" s="289"/>
      <c r="O23" s="23"/>
      <c r="P23" s="23"/>
      <c r="Q23" s="234"/>
      <c r="R23" s="23"/>
      <c r="S23" s="36" t="s">
        <v>264</v>
      </c>
      <c r="T23" s="30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2"/>
      <c r="V23" s="30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16</v>
      </c>
      <c r="B24" s="181">
        <f>'Données projet'!D37</f>
        <v>25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3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3"/>
      <c r="V24" s="30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20</v>
      </c>
      <c r="B25" s="181">
        <f>'Données projet'!D38</f>
        <v>33.700000000000003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4">
        <f ca="1">T23-T24</f>
        <v>0</v>
      </c>
      <c r="U25" s="304"/>
      <c r="V25" s="30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24</v>
      </c>
      <c r="B26" s="181">
        <f>'Données projet'!D39</f>
        <v>42.9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1" t="s">
        <v>258</v>
      </c>
      <c r="M26" s="292"/>
      <c r="N26" s="292"/>
      <c r="O26" s="292"/>
      <c r="P26" s="293"/>
      <c r="Q26" s="234"/>
      <c r="R26" s="23"/>
      <c r="S26" s="186" t="s">
        <v>265</v>
      </c>
      <c r="T26" s="301" t="str">
        <f ca="1">IF(T25&lt;0,"Votre projet est additionnel","Votre projet n'est pas additionnel")</f>
        <v>Votre projet n'est pas additionnel</v>
      </c>
      <c r="U26" s="301"/>
      <c r="V26" s="30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28</v>
      </c>
      <c r="B27" s="181">
        <f>'Données projet'!D40</f>
        <v>41.4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4"/>
      <c r="M27" s="295"/>
      <c r="N27" s="295"/>
      <c r="O27" s="295"/>
      <c r="P27" s="296"/>
      <c r="Q27" s="234"/>
      <c r="R27" s="23"/>
      <c r="S27" s="300" t="s">
        <v>267</v>
      </c>
      <c r="T27" s="300"/>
      <c r="U27" s="300"/>
      <c r="V27" s="30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34</v>
      </c>
      <c r="B28" s="181">
        <f>'Données projet'!D41</f>
        <v>59.9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40</v>
      </c>
      <c r="B29" s="181">
        <f>'Données projet'!D42</f>
        <v>34.1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46</v>
      </c>
      <c r="B30" s="181">
        <f>'Données projet'!D43</f>
        <v>21.3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54</v>
      </c>
      <c r="B31" s="181">
        <f>'Données projet'!D44</f>
        <v>17.399999999999999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62</v>
      </c>
      <c r="B32" s="181">
        <f>'Données projet'!D45</f>
        <v>410.00000000000006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Morgane PICHELIN</cp:lastModifiedBy>
  <cp:lastPrinted>2024-04-25T14:44:28Z</cp:lastPrinted>
  <dcterms:created xsi:type="dcterms:W3CDTF">2021-02-01T08:22:39Z</dcterms:created>
  <dcterms:modified xsi:type="dcterms:W3CDTF">2024-04-25T14:46:35Z</dcterms:modified>
</cp:coreProperties>
</file>