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Reboisement ND_Viry (39)\Dossier d_instruction\"/>
    </mc:Choice>
  </mc:AlternateContent>
  <xr:revisionPtr revIDLastSave="0" documentId="13_ncr:1_{215992CD-7B61-4042-84DF-BCC6B41E4A6F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7" i="1" l="1"/>
  <c r="B126" i="1"/>
  <c r="B125" i="1"/>
  <c r="B124" i="1"/>
  <c r="B123" i="1"/>
  <c r="B122" i="1"/>
  <c r="B121" i="1"/>
  <c r="B120" i="1"/>
  <c r="B119" i="1"/>
  <c r="B118" i="1"/>
  <c r="B117" i="1"/>
  <c r="B116" i="1"/>
  <c r="B11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85" i="2" l="1" a="1"/>
  <c r="CS185" i="2" s="1"/>
  <c r="CS77" i="2" a="1"/>
  <c r="CS77" i="2" s="1"/>
  <c r="CS24" i="2" a="1"/>
  <c r="CS24" i="2" s="1"/>
  <c r="CS114" i="2" a="1"/>
  <c r="CS114" i="2" s="1"/>
  <c r="CS120" i="2" a="1"/>
  <c r="CS120" i="2" s="1"/>
  <c r="CS134" i="2" a="1"/>
  <c r="CS134" i="2" s="1"/>
  <c r="CS161" i="2" a="1"/>
  <c r="CS161" i="2" s="1"/>
  <c r="CS52" i="2" a="1"/>
  <c r="CS52" i="2" s="1"/>
  <c r="CS72" i="2" a="1"/>
  <c r="CS72" i="2" s="1"/>
  <c r="CS56" i="2" a="1"/>
  <c r="CS56" i="2" s="1"/>
  <c r="CS38" i="2" a="1"/>
  <c r="CS38" i="2" s="1"/>
  <c r="CS116" i="2" a="1"/>
  <c r="CS116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<sst xmlns="http://schemas.openxmlformats.org/spreadsheetml/2006/main" count="1179" uniqueCount="326">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</sst>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2.3434489087347408</c:v>
                </c:pt>
                <c:pt idx="2">
                  <c:v>3.4000497694030201</c:v>
                </c:pt>
                <c:pt idx="3">
                  <c:v>4.93516998481409</c:v>
                </c:pt>
                <c:pt idx="4">
                  <c:v>7.1664278733973825</c:v>
                </c:pt>
                <c:pt idx="5">
                  <c:v>10.410791617490402</c:v>
                </c:pt>
                <c:pt idx="6">
                  <c:v>15.130097046784146</c:v>
                </c:pt>
                <c:pt idx="7">
                  <c:v>21.997487446391844</c:v>
                </c:pt>
                <c:pt idx="8">
                  <c:v>31.994420451966377</c:v>
                </c:pt>
                <c:pt idx="9">
                  <c:v>46.552345301455006</c:v>
                </c:pt>
                <c:pt idx="10">
                  <c:v>67.759677543529421</c:v>
                </c:pt>
                <c:pt idx="11">
                  <c:v>98.664246863659471</c:v>
                </c:pt>
                <c:pt idx="12">
                  <c:v>143.71537226328297</c:v>
                </c:pt>
                <c:pt idx="13">
                  <c:v>150.5085198437738</c:v>
                </c:pt>
                <c:pt idx="14">
                  <c:v>181.66813736078151</c:v>
                </c:pt>
                <c:pt idx="15">
                  <c:v>212.70239804910193</c:v>
                </c:pt>
                <c:pt idx="16">
                  <c:v>243.63219153359822</c:v>
                </c:pt>
                <c:pt idx="17">
                  <c:v>274.47265011228387</c:v>
                </c:pt>
                <c:pt idx="18">
                  <c:v>305.23522033866374</c:v>
                </c:pt>
                <c:pt idx="19">
                  <c:v>217.97633317853592</c:v>
                </c:pt>
                <c:pt idx="20">
                  <c:v>243.81122169703403</c:v>
                </c:pt>
                <c:pt idx="21">
                  <c:v>269.58386372150011</c:v>
                </c:pt>
                <c:pt idx="22">
                  <c:v>295.30104458450194</c:v>
                </c:pt>
                <c:pt idx="23">
                  <c:v>320.9682705782111</c:v>
                </c:pt>
                <c:pt idx="24">
                  <c:v>346.59009528166484</c:v>
                </c:pt>
                <c:pt idx="25">
                  <c:v>270.34298331048649</c:v>
                </c:pt>
                <c:pt idx="26">
                  <c:v>292.58233627164475</c:v>
                </c:pt>
                <c:pt idx="27">
                  <c:v>314.78395443038511</c:v>
                </c:pt>
                <c:pt idx="28">
                  <c:v>336.95087205446197</c:v>
                </c:pt>
                <c:pt idx="29">
                  <c:v>359.08569164809904</c:v>
                </c:pt>
                <c:pt idx="30">
                  <c:v>381.19066877305704</c:v>
                </c:pt>
                <c:pt idx="31">
                  <c:v>317.25355162035788</c:v>
                </c:pt>
                <c:pt idx="32">
                  <c:v>336.72869926538851</c:v>
                </c:pt>
                <c:pt idx="33">
                  <c:v>356.17905353680152</c:v>
                </c:pt>
                <c:pt idx="34">
                  <c:v>375.60615822359978</c:v>
                </c:pt>
                <c:pt idx="35">
                  <c:v>395.01138443660466</c:v>
                </c:pt>
                <c:pt idx="36">
                  <c:v>414.39595763230847</c:v>
                </c:pt>
                <c:pt idx="37">
                  <c:v>355.24704452320003</c:v>
                </c:pt>
                <c:pt idx="38">
                  <c:v>373.74425409046029</c:v>
                </c:pt>
                <c:pt idx="39">
                  <c:v>392.22152076799495</c:v>
                </c:pt>
                <c:pt idx="40">
                  <c:v>410.6799158393672</c:v>
                </c:pt>
                <c:pt idx="41">
                  <c:v>429.12040646848072</c:v>
                </c:pt>
                <c:pt idx="42">
                  <c:v>447.54386995067097</c:v>
                </c:pt>
                <c:pt idx="43">
                  <c:v>392.26580767185396</c:v>
                </c:pt>
                <c:pt idx="44">
                  <c:v>409.44107422908195</c:v>
                </c:pt>
                <c:pt idx="45">
                  <c:v>426.60078727178939</c:v>
                </c:pt>
                <c:pt idx="46">
                  <c:v>443.74566024874019</c:v>
                </c:pt>
                <c:pt idx="47">
                  <c:v>460.87634700218206</c:v>
                </c:pt>
                <c:pt idx="48">
                  <c:v>477.99344882393416</c:v>
                </c:pt>
                <c:pt idx="49">
                  <c:v>429.42981141856944</c:v>
                </c:pt>
                <c:pt idx="50">
                  <c:v>444.71736133815199</c:v>
                </c:pt>
                <c:pt idx="51">
                  <c:v>459.99365893934191</c:v>
                </c:pt>
                <c:pt idx="52">
                  <c:v>475.25913042471711</c:v>
                </c:pt>
                <c:pt idx="53">
                  <c:v>490.51417239279317</c:v>
                </c:pt>
                <c:pt idx="54">
                  <c:v>505.75915477017446</c:v>
                </c:pt>
                <c:pt idx="55">
                  <c:v>460.01572658133705</c:v>
                </c:pt>
                <c:pt idx="56">
                  <c:v>476.31761585408549</c:v>
                </c:pt>
                <c:pt idx="57">
                  <c:v>492.60764062836614</c:v>
                </c:pt>
                <c:pt idx="58">
                  <c:v>508.88624832362757</c:v>
                </c:pt>
                <c:pt idx="59">
                  <c:v>525.15385541340027</c:v>
                </c:pt>
                <c:pt idx="60">
                  <c:v>541.41085047775289</c:v>
                </c:pt>
                <c:pt idx="61">
                  <c:v>541.41085047775289</c:v>
                </c:pt>
                <c:pt idx="62">
                  <c:v>541.41085047775289</c:v>
                </c:pt>
                <c:pt idx="63">
                  <c:v>541.41085047775289</c:v>
                </c:pt>
                <c:pt idx="64">
                  <c:v>541.41085047775289</c:v>
                </c:pt>
                <c:pt idx="65">
                  <c:v>541.41085047775289</c:v>
                </c:pt>
                <c:pt idx="66">
                  <c:v>541.41085047775289</c:v>
                </c:pt>
                <c:pt idx="67">
                  <c:v>541.41085047775289</c:v>
                </c:pt>
                <c:pt idx="68">
                  <c:v>541.41085047775289</c:v>
                </c:pt>
                <c:pt idx="69">
                  <c:v>541.41085047775289</c:v>
                </c:pt>
                <c:pt idx="70">
                  <c:v>541.41085047775289</c:v>
                </c:pt>
                <c:pt idx="71">
                  <c:v>541.41085047775289</c:v>
                </c:pt>
                <c:pt idx="72">
                  <c:v>541.41085047775289</c:v>
                </c:pt>
                <c:pt idx="73">
                  <c:v>541.41085047775289</c:v>
                </c:pt>
                <c:pt idx="74">
                  <c:v>541.41085047775289</c:v>
                </c:pt>
                <c:pt idx="75">
                  <c:v>541.41085047775289</c:v>
                </c:pt>
                <c:pt idx="76">
                  <c:v>541.41085047775289</c:v>
                </c:pt>
                <c:pt idx="77">
                  <c:v>541.41085047775289</c:v>
                </c:pt>
                <c:pt idx="78">
                  <c:v>541.41085047775289</c:v>
                </c:pt>
                <c:pt idx="79">
                  <c:v>541.41085047775289</c:v>
                </c:pt>
                <c:pt idx="80">
                  <c:v>541.41085047775289</c:v>
                </c:pt>
                <c:pt idx="81">
                  <c:v>541.41085047775289</c:v>
                </c:pt>
                <c:pt idx="82">
                  <c:v>541.41085047775289</c:v>
                </c:pt>
                <c:pt idx="83">
                  <c:v>541.41085047775289</c:v>
                </c:pt>
                <c:pt idx="84">
                  <c:v>541.41085047775289</c:v>
                </c:pt>
                <c:pt idx="85">
                  <c:v>541.41085047775289</c:v>
                </c:pt>
                <c:pt idx="86">
                  <c:v>541.41085047775289</c:v>
                </c:pt>
                <c:pt idx="87">
                  <c:v>541.41085047775289</c:v>
                </c:pt>
                <c:pt idx="88">
                  <c:v>541.41085047775289</c:v>
                </c:pt>
                <c:pt idx="89">
                  <c:v>541.41085047775289</c:v>
                </c:pt>
                <c:pt idx="90">
                  <c:v>541.41085047775289</c:v>
                </c:pt>
                <c:pt idx="91">
                  <c:v>541.41085047775289</c:v>
                </c:pt>
                <c:pt idx="92">
                  <c:v>541.41085047775289</c:v>
                </c:pt>
                <c:pt idx="93">
                  <c:v>541.41085047775289</c:v>
                </c:pt>
                <c:pt idx="94">
                  <c:v>541.41085047775289</c:v>
                </c:pt>
                <c:pt idx="95">
                  <c:v>541.41085047775289</c:v>
                </c:pt>
                <c:pt idx="96">
                  <c:v>541.41085047775289</c:v>
                </c:pt>
                <c:pt idx="97">
                  <c:v>541.41085047775289</c:v>
                </c:pt>
                <c:pt idx="98">
                  <c:v>541.41085047775289</c:v>
                </c:pt>
                <c:pt idx="99">
                  <c:v>541.41085047775289</c:v>
                </c:pt>
                <c:pt idx="100">
                  <c:v>541.41085047775289</c:v>
                </c:pt>
                <c:pt idx="101">
                  <c:v>541.41085047775289</c:v>
                </c:pt>
                <c:pt idx="102">
                  <c:v>541.41085047775289</c:v>
                </c:pt>
                <c:pt idx="103">
                  <c:v>541.41085047775289</c:v>
                </c:pt>
                <c:pt idx="104">
                  <c:v>541.41085047775289</c:v>
                </c:pt>
                <c:pt idx="105">
                  <c:v>541.41085047775289</c:v>
                </c:pt>
                <c:pt idx="106">
                  <c:v>541.41085047775289</c:v>
                </c:pt>
                <c:pt idx="107">
                  <c:v>541.41085047775289</c:v>
                </c:pt>
                <c:pt idx="108">
                  <c:v>541.41085047775289</c:v>
                </c:pt>
                <c:pt idx="109">
                  <c:v>541.41085047775289</c:v>
                </c:pt>
                <c:pt idx="110">
                  <c:v>541.41085047775289</c:v>
                </c:pt>
                <c:pt idx="111">
                  <c:v>541.41085047775289</c:v>
                </c:pt>
                <c:pt idx="112">
                  <c:v>541.41085047775289</c:v>
                </c:pt>
                <c:pt idx="113">
                  <c:v>541.41085047775289</c:v>
                </c:pt>
                <c:pt idx="114">
                  <c:v>541.41085047775289</c:v>
                </c:pt>
                <c:pt idx="115">
                  <c:v>541.41085047775289</c:v>
                </c:pt>
                <c:pt idx="116">
                  <c:v>541.41085047775289</c:v>
                </c:pt>
                <c:pt idx="117">
                  <c:v>541.41085047775289</c:v>
                </c:pt>
                <c:pt idx="118">
                  <c:v>541.41085047775289</c:v>
                </c:pt>
                <c:pt idx="119">
                  <c:v>541.41085047775289</c:v>
                </c:pt>
                <c:pt idx="120">
                  <c:v>541.41085047775289</c:v>
                </c:pt>
                <c:pt idx="121">
                  <c:v>541.41085047775289</c:v>
                </c:pt>
                <c:pt idx="122">
                  <c:v>541.41085047775289</c:v>
                </c:pt>
                <c:pt idx="123">
                  <c:v>541.41085047775289</c:v>
                </c:pt>
                <c:pt idx="124">
                  <c:v>541.41085047775289</c:v>
                </c:pt>
                <c:pt idx="125">
                  <c:v>541.41085047775289</c:v>
                </c:pt>
                <c:pt idx="126">
                  <c:v>541.41085047775289</c:v>
                </c:pt>
                <c:pt idx="127">
                  <c:v>541.41085047775289</c:v>
                </c:pt>
                <c:pt idx="128">
                  <c:v>541.41085047775289</c:v>
                </c:pt>
                <c:pt idx="129">
                  <c:v>541.41085047775289</c:v>
                </c:pt>
                <c:pt idx="130">
                  <c:v>541.41085047775289</c:v>
                </c:pt>
                <c:pt idx="131">
                  <c:v>541.41085047775289</c:v>
                </c:pt>
                <c:pt idx="132">
                  <c:v>541.41085047775289</c:v>
                </c:pt>
                <c:pt idx="133">
                  <c:v>541.41085047775289</c:v>
                </c:pt>
                <c:pt idx="134">
                  <c:v>541.41085047775289</c:v>
                </c:pt>
                <c:pt idx="135">
                  <c:v>541.41085047775289</c:v>
                </c:pt>
                <c:pt idx="136">
                  <c:v>541.41085047775289</c:v>
                </c:pt>
                <c:pt idx="137">
                  <c:v>541.41085047775289</c:v>
                </c:pt>
                <c:pt idx="138">
                  <c:v>541.41085047775289</c:v>
                </c:pt>
                <c:pt idx="139">
                  <c:v>541.41085047775289</c:v>
                </c:pt>
                <c:pt idx="140">
                  <c:v>541.41085047775289</c:v>
                </c:pt>
                <c:pt idx="141">
                  <c:v>541.41085047775289</c:v>
                </c:pt>
                <c:pt idx="142">
                  <c:v>541.41085047775289</c:v>
                </c:pt>
                <c:pt idx="143">
                  <c:v>541.41085047775289</c:v>
                </c:pt>
                <c:pt idx="144">
                  <c:v>541.41085047775289</c:v>
                </c:pt>
                <c:pt idx="145">
                  <c:v>541.41085047775289</c:v>
                </c:pt>
                <c:pt idx="146">
                  <c:v>541.41085047775289</c:v>
                </c:pt>
                <c:pt idx="147">
                  <c:v>541.41085047775289</c:v>
                </c:pt>
                <c:pt idx="148">
                  <c:v>541.41085047775289</c:v>
                </c:pt>
                <c:pt idx="149">
                  <c:v>541.41085047775289</c:v>
                </c:pt>
                <c:pt idx="150">
                  <c:v>541.41085047775289</c:v>
                </c:pt>
                <c:pt idx="151">
                  <c:v>541.41085047775289</c:v>
                </c:pt>
                <c:pt idx="152">
                  <c:v>541.41085047775289</c:v>
                </c:pt>
                <c:pt idx="153">
                  <c:v>541.41085047775289</c:v>
                </c:pt>
                <c:pt idx="154">
                  <c:v>541.41085047775289</c:v>
                </c:pt>
                <c:pt idx="155">
                  <c:v>541.41085047775289</c:v>
                </c:pt>
                <c:pt idx="156">
                  <c:v>541.41085047775289</c:v>
                </c:pt>
                <c:pt idx="157">
                  <c:v>541.41085047775289</c:v>
                </c:pt>
                <c:pt idx="158">
                  <c:v>541.41085047775289</c:v>
                </c:pt>
                <c:pt idx="159">
                  <c:v>541.41085047775289</c:v>
                </c:pt>
                <c:pt idx="160">
                  <c:v>541.41085047775289</c:v>
                </c:pt>
                <c:pt idx="161">
                  <c:v>541.41085047775289</c:v>
                </c:pt>
                <c:pt idx="162">
                  <c:v>541.41085047775289</c:v>
                </c:pt>
                <c:pt idx="163">
                  <c:v>541.41085047775289</c:v>
                </c:pt>
                <c:pt idx="164">
                  <c:v>541.41085047775289</c:v>
                </c:pt>
                <c:pt idx="165">
                  <c:v>541.41085047775289</c:v>
                </c:pt>
                <c:pt idx="166">
                  <c:v>541.41085047775289</c:v>
                </c:pt>
                <c:pt idx="167">
                  <c:v>541.41085047775289</c:v>
                </c:pt>
                <c:pt idx="168">
                  <c:v>541.41085047775289</c:v>
                </c:pt>
                <c:pt idx="169">
                  <c:v>541.41085047775289</c:v>
                </c:pt>
                <c:pt idx="170">
                  <c:v>541.41085047775289</c:v>
                </c:pt>
                <c:pt idx="171">
                  <c:v>541.41085047775289</c:v>
                </c:pt>
                <c:pt idx="172">
                  <c:v>541.41085047775289</c:v>
                </c:pt>
                <c:pt idx="173">
                  <c:v>541.41085047775289</c:v>
                </c:pt>
                <c:pt idx="174">
                  <c:v>541.41085047775289</c:v>
                </c:pt>
                <c:pt idx="175">
                  <c:v>541.41085047775289</c:v>
                </c:pt>
                <c:pt idx="176">
                  <c:v>541.41085047775289</c:v>
                </c:pt>
                <c:pt idx="177">
                  <c:v>541.41085047775289</c:v>
                </c:pt>
                <c:pt idx="178">
                  <c:v>541.41085047775289</c:v>
                </c:pt>
                <c:pt idx="179">
                  <c:v>541.41085047775289</c:v>
                </c:pt>
                <c:pt idx="180">
                  <c:v>541.41085047775289</c:v>
                </c:pt>
                <c:pt idx="181">
                  <c:v>541.41085047775289</c:v>
                </c:pt>
                <c:pt idx="182">
                  <c:v>541.41085047775289</c:v>
                </c:pt>
                <c:pt idx="183">
                  <c:v>541.41085047775289</c:v>
                </c:pt>
                <c:pt idx="184">
                  <c:v>541.41085047775289</c:v>
                </c:pt>
                <c:pt idx="185">
                  <c:v>541.41085047775289</c:v>
                </c:pt>
                <c:pt idx="186">
                  <c:v>541.41085047775289</c:v>
                </c:pt>
                <c:pt idx="187">
                  <c:v>541.41085047775289</c:v>
                </c:pt>
                <c:pt idx="188">
                  <c:v>541.41085047775289</c:v>
                </c:pt>
                <c:pt idx="189">
                  <c:v>541.41085047775289</c:v>
                </c:pt>
                <c:pt idx="190">
                  <c:v>541.41085047775289</c:v>
                </c:pt>
                <c:pt idx="191">
                  <c:v>541.41085047775289</c:v>
                </c:pt>
                <c:pt idx="192">
                  <c:v>541.41085047775289</c:v>
                </c:pt>
                <c:pt idx="193">
                  <c:v>541.41085047775289</c:v>
                </c:pt>
                <c:pt idx="194">
                  <c:v>541.41085047775289</c:v>
                </c:pt>
                <c:pt idx="195">
                  <c:v>541.41085047775289</c:v>
                </c:pt>
                <c:pt idx="196">
                  <c:v>541.41085047775289</c:v>
                </c:pt>
                <c:pt idx="197">
                  <c:v>541.41085047775289</c:v>
                </c:pt>
                <c:pt idx="198">
                  <c:v>541.41085047775289</c:v>
                </c:pt>
                <c:pt idx="199">
                  <c:v>541.41085047775289</c:v>
                </c:pt>
                <c:pt idx="200">
                  <c:v>541.41085047775289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1.5662654077622691</c:v>
                </c:pt>
                <c:pt idx="2">
                  <c:v>2.0022686974934745</c:v>
                </c:pt>
                <c:pt idx="3">
                  <c:v>2.5601358738617885</c:v>
                </c:pt>
                <c:pt idx="4">
                  <c:v>3.2740584706490359</c:v>
                </c:pt>
                <c:pt idx="5">
                  <c:v>4.1878554875977096</c:v>
                </c:pt>
                <c:pt idx="6">
                  <c:v>5.3576932319294466</c:v>
                </c:pt>
                <c:pt idx="7">
                  <c:v>6.8555758875977437</c:v>
                </c:pt>
                <c:pt idx="8">
                  <c:v>8.7738258268839733</c:v>
                </c:pt>
                <c:pt idx="9">
                  <c:v>11.230835074250992</c:v>
                </c:pt>
                <c:pt idx="10">
                  <c:v>14.378449544648545</c:v>
                </c:pt>
                <c:pt idx="11">
                  <c:v>18.411450805970173</c:v>
                </c:pt>
                <c:pt idx="12">
                  <c:v>23.579732717920521</c:v>
                </c:pt>
                <c:pt idx="13">
                  <c:v>30.203940818281627</c:v>
                </c:pt>
                <c:pt idx="14">
                  <c:v>38.695561625288114</c:v>
                </c:pt>
                <c:pt idx="15">
                  <c:v>49.582731081946861</c:v>
                </c:pt>
                <c:pt idx="16">
                  <c:v>67.934991888930114</c:v>
                </c:pt>
                <c:pt idx="17">
                  <c:v>86.158510470515978</c:v>
                </c:pt>
                <c:pt idx="18">
                  <c:v>104.28461245280988</c:v>
                </c:pt>
                <c:pt idx="19">
                  <c:v>122.33269980817094</c:v>
                </c:pt>
                <c:pt idx="20">
                  <c:v>140.31593562076515</c:v>
                </c:pt>
                <c:pt idx="21">
                  <c:v>158.44725261766806</c:v>
                </c:pt>
                <c:pt idx="22">
                  <c:v>181.60054396431894</c:v>
                </c:pt>
                <c:pt idx="23">
                  <c:v>204.68470429512661</c:v>
                </c:pt>
                <c:pt idx="24">
                  <c:v>227.70863017246904</c:v>
                </c:pt>
                <c:pt idx="25">
                  <c:v>250.67926877807736</c:v>
                </c:pt>
                <c:pt idx="26">
                  <c:v>212.97177773051013</c:v>
                </c:pt>
                <c:pt idx="27">
                  <c:v>238.79723773455598</c:v>
                </c:pt>
                <c:pt idx="28">
                  <c:v>264.55905752945108</c:v>
                </c:pt>
                <c:pt idx="29">
                  <c:v>290.26430348393382</c:v>
                </c:pt>
                <c:pt idx="30">
                  <c:v>315.91868734548376</c:v>
                </c:pt>
                <c:pt idx="31">
                  <c:v>279.0248271673409</c:v>
                </c:pt>
                <c:pt idx="32">
                  <c:v>305.30201751370748</c:v>
                </c:pt>
                <c:pt idx="33">
                  <c:v>331.52892903575224</c:v>
                </c:pt>
                <c:pt idx="34">
                  <c:v>357.71009532310586</c:v>
                </c:pt>
                <c:pt idx="35">
                  <c:v>383.84933229384143</c:v>
                </c:pt>
                <c:pt idx="36">
                  <c:v>346.32365295129557</c:v>
                </c:pt>
                <c:pt idx="37">
                  <c:v>371.68262431492644</c:v>
                </c:pt>
                <c:pt idx="38">
                  <c:v>397.00388252467866</c:v>
                </c:pt>
                <c:pt idx="39">
                  <c:v>422.29016891510395</c:v>
                </c:pt>
                <c:pt idx="40">
                  <c:v>447.54386995067085</c:v>
                </c:pt>
                <c:pt idx="41">
                  <c:v>408.95436431597773</c:v>
                </c:pt>
                <c:pt idx="42">
                  <c:v>433.03181736772245</c:v>
                </c:pt>
                <c:pt idx="43">
                  <c:v>457.08053131224602</c:v>
                </c:pt>
                <c:pt idx="44">
                  <c:v>481.10222941810252</c:v>
                </c:pt>
                <c:pt idx="45">
                  <c:v>505.09844897378457</c:v>
                </c:pt>
                <c:pt idx="46">
                  <c:v>465.22306071546291</c:v>
                </c:pt>
                <c:pt idx="47">
                  <c:v>487.84748036508421</c:v>
                </c:pt>
                <c:pt idx="48">
                  <c:v>510.44964264087201</c:v>
                </c:pt>
                <c:pt idx="49">
                  <c:v>533.03067078806453</c:v>
                </c:pt>
                <c:pt idx="50">
                  <c:v>555.59158520777839</c:v>
                </c:pt>
                <c:pt idx="51">
                  <c:v>514.61086214265538</c:v>
                </c:pt>
                <c:pt idx="52">
                  <c:v>536.00034040625997</c:v>
                </c:pt>
                <c:pt idx="53">
                  <c:v>557.37188141896695</c:v>
                </c:pt>
                <c:pt idx="54">
                  <c:v>578.72626910034842</c:v>
                </c:pt>
                <c:pt idx="55">
                  <c:v>600.06422485487667</c:v>
                </c:pt>
                <c:pt idx="56">
                  <c:v>560.53655870248667</c:v>
                </c:pt>
                <c:pt idx="57">
                  <c:v>580.30741343620048</c:v>
                </c:pt>
                <c:pt idx="58">
                  <c:v>600.06422485487667</c:v>
                </c:pt>
                <c:pt idx="59">
                  <c:v>619.80752000507778</c:v>
                </c:pt>
                <c:pt idx="60">
                  <c:v>639.53778964906974</c:v>
                </c:pt>
                <c:pt idx="61">
                  <c:v>605.59368819098427</c:v>
                </c:pt>
                <c:pt idx="62">
                  <c:v>623.95194130359994</c:v>
                </c:pt>
                <c:pt idx="63">
                  <c:v>642.29901441291406</c:v>
                </c:pt>
                <c:pt idx="64">
                  <c:v>660.63527156703685</c:v>
                </c:pt>
                <c:pt idx="65">
                  <c:v>678.96105497560313</c:v>
                </c:pt>
                <c:pt idx="66">
                  <c:v>648.60946697820702</c:v>
                </c:pt>
                <c:pt idx="67">
                  <c:v>665.5625730214748</c:v>
                </c:pt>
                <c:pt idx="68">
                  <c:v>682.50679856649663</c:v>
                </c:pt>
                <c:pt idx="69">
                  <c:v>699.44239495532054</c:v>
                </c:pt>
                <c:pt idx="70">
                  <c:v>716.36960037654364</c:v>
                </c:pt>
                <c:pt idx="71">
                  <c:v>687.62776149155127</c:v>
                </c:pt>
                <c:pt idx="72">
                  <c:v>703.18284041313893</c:v>
                </c:pt>
                <c:pt idx="73">
                  <c:v>718.73088187113206</c:v>
                </c:pt>
                <c:pt idx="74">
                  <c:v>734.27205943137631</c:v>
                </c:pt>
                <c:pt idx="75">
                  <c:v>749.80653871950153</c:v>
                </c:pt>
                <c:pt idx="76">
                  <c:v>721.87901096599273</c:v>
                </c:pt>
                <c:pt idx="77">
                  <c:v>736.2388161381981</c:v>
                </c:pt>
                <c:pt idx="78">
                  <c:v>750.59291937728619</c:v>
                </c:pt>
                <c:pt idx="79">
                  <c:v>764.94144500648144</c:v>
                </c:pt>
                <c:pt idx="80">
                  <c:v>779.28451230837447</c:v>
                </c:pt>
                <c:pt idx="81">
                  <c:v>738.9920958575475</c:v>
                </c:pt>
                <c:pt idx="82">
                  <c:v>738.9920958575475</c:v>
                </c:pt>
                <c:pt idx="83">
                  <c:v>738.9920958575475</c:v>
                </c:pt>
                <c:pt idx="84">
                  <c:v>738.9920958575475</c:v>
                </c:pt>
                <c:pt idx="85">
                  <c:v>738.9920958575475</c:v>
                </c:pt>
                <c:pt idx="86">
                  <c:v>738.9920958575475</c:v>
                </c:pt>
                <c:pt idx="87">
                  <c:v>738.9920958575475</c:v>
                </c:pt>
                <c:pt idx="88">
                  <c:v>738.9920958575475</c:v>
                </c:pt>
                <c:pt idx="89">
                  <c:v>738.9920958575475</c:v>
                </c:pt>
                <c:pt idx="90">
                  <c:v>738.9920958575475</c:v>
                </c:pt>
                <c:pt idx="91">
                  <c:v>738.9920958575475</c:v>
                </c:pt>
                <c:pt idx="92">
                  <c:v>738.9920958575475</c:v>
                </c:pt>
                <c:pt idx="93">
                  <c:v>738.9920958575475</c:v>
                </c:pt>
                <c:pt idx="94">
                  <c:v>738.9920958575475</c:v>
                </c:pt>
                <c:pt idx="95">
                  <c:v>738.9920958575475</c:v>
                </c:pt>
                <c:pt idx="96">
                  <c:v>738.9920958575475</c:v>
                </c:pt>
                <c:pt idx="97">
                  <c:v>738.9920958575475</c:v>
                </c:pt>
                <c:pt idx="98">
                  <c:v>738.9920958575475</c:v>
                </c:pt>
                <c:pt idx="99">
                  <c:v>738.9920958575475</c:v>
                </c:pt>
                <c:pt idx="100">
                  <c:v>738.9920958575475</c:v>
                </c:pt>
                <c:pt idx="101">
                  <c:v>738.9920958575475</c:v>
                </c:pt>
                <c:pt idx="102">
                  <c:v>738.9920958575475</c:v>
                </c:pt>
                <c:pt idx="103">
                  <c:v>738.9920958575475</c:v>
                </c:pt>
                <c:pt idx="104">
                  <c:v>738.9920958575475</c:v>
                </c:pt>
                <c:pt idx="105">
                  <c:v>738.9920958575475</c:v>
                </c:pt>
                <c:pt idx="106">
                  <c:v>738.9920958575475</c:v>
                </c:pt>
                <c:pt idx="107">
                  <c:v>738.9920958575475</c:v>
                </c:pt>
                <c:pt idx="108">
                  <c:v>738.9920958575475</c:v>
                </c:pt>
                <c:pt idx="109">
                  <c:v>738.9920958575475</c:v>
                </c:pt>
                <c:pt idx="110">
                  <c:v>738.9920958575475</c:v>
                </c:pt>
                <c:pt idx="111">
                  <c:v>738.9920958575475</c:v>
                </c:pt>
                <c:pt idx="112">
                  <c:v>738.9920958575475</c:v>
                </c:pt>
                <c:pt idx="113">
                  <c:v>738.9920958575475</c:v>
                </c:pt>
                <c:pt idx="114">
                  <c:v>738.9920958575475</c:v>
                </c:pt>
                <c:pt idx="115">
                  <c:v>738.9920958575475</c:v>
                </c:pt>
                <c:pt idx="116">
                  <c:v>738.9920958575475</c:v>
                </c:pt>
                <c:pt idx="117">
                  <c:v>738.9920958575475</c:v>
                </c:pt>
                <c:pt idx="118">
                  <c:v>738.9920958575475</c:v>
                </c:pt>
                <c:pt idx="119">
                  <c:v>738.9920958575475</c:v>
                </c:pt>
                <c:pt idx="120">
                  <c:v>738.9920958575475</c:v>
                </c:pt>
                <c:pt idx="121">
                  <c:v>738.9920958575475</c:v>
                </c:pt>
                <c:pt idx="122">
                  <c:v>738.9920958575475</c:v>
                </c:pt>
                <c:pt idx="123">
                  <c:v>738.9920958575475</c:v>
                </c:pt>
                <c:pt idx="124">
                  <c:v>738.9920958575475</c:v>
                </c:pt>
                <c:pt idx="125">
                  <c:v>738.9920958575475</c:v>
                </c:pt>
                <c:pt idx="126">
                  <c:v>738.9920958575475</c:v>
                </c:pt>
                <c:pt idx="127">
                  <c:v>738.9920958575475</c:v>
                </c:pt>
                <c:pt idx="128">
                  <c:v>738.9920958575475</c:v>
                </c:pt>
                <c:pt idx="129">
                  <c:v>738.9920958575475</c:v>
                </c:pt>
                <c:pt idx="130">
                  <c:v>738.9920958575475</c:v>
                </c:pt>
                <c:pt idx="131">
                  <c:v>738.9920958575475</c:v>
                </c:pt>
                <c:pt idx="132">
                  <c:v>738.9920958575475</c:v>
                </c:pt>
                <c:pt idx="133">
                  <c:v>738.9920958575475</c:v>
                </c:pt>
                <c:pt idx="134">
                  <c:v>738.9920958575475</c:v>
                </c:pt>
                <c:pt idx="135">
                  <c:v>738.9920958575475</c:v>
                </c:pt>
                <c:pt idx="136">
                  <c:v>738.9920958575475</c:v>
                </c:pt>
                <c:pt idx="137">
                  <c:v>738.9920958575475</c:v>
                </c:pt>
                <c:pt idx="138">
                  <c:v>738.9920958575475</c:v>
                </c:pt>
                <c:pt idx="139">
                  <c:v>738.9920958575475</c:v>
                </c:pt>
                <c:pt idx="140">
                  <c:v>738.9920958575475</c:v>
                </c:pt>
                <c:pt idx="141">
                  <c:v>738.9920958575475</c:v>
                </c:pt>
                <c:pt idx="142">
                  <c:v>738.9920958575475</c:v>
                </c:pt>
                <c:pt idx="143">
                  <c:v>738.9920958575475</c:v>
                </c:pt>
                <c:pt idx="144">
                  <c:v>738.9920958575475</c:v>
                </c:pt>
                <c:pt idx="145">
                  <c:v>738.9920958575475</c:v>
                </c:pt>
                <c:pt idx="146">
                  <c:v>738.9920958575475</c:v>
                </c:pt>
                <c:pt idx="147">
                  <c:v>738.9920958575475</c:v>
                </c:pt>
                <c:pt idx="148">
                  <c:v>738.9920958575475</c:v>
                </c:pt>
                <c:pt idx="149">
                  <c:v>738.9920958575475</c:v>
                </c:pt>
                <c:pt idx="150">
                  <c:v>738.9920958575475</c:v>
                </c:pt>
                <c:pt idx="151">
                  <c:v>738.9920958575475</c:v>
                </c:pt>
                <c:pt idx="152">
                  <c:v>738.9920958575475</c:v>
                </c:pt>
                <c:pt idx="153">
                  <c:v>738.9920958575475</c:v>
                </c:pt>
                <c:pt idx="154">
                  <c:v>738.9920958575475</c:v>
                </c:pt>
                <c:pt idx="155">
                  <c:v>738.9920958575475</c:v>
                </c:pt>
                <c:pt idx="156">
                  <c:v>738.9920958575475</c:v>
                </c:pt>
                <c:pt idx="157">
                  <c:v>738.9920958575475</c:v>
                </c:pt>
                <c:pt idx="158">
                  <c:v>738.9920958575475</c:v>
                </c:pt>
                <c:pt idx="159">
                  <c:v>738.9920958575475</c:v>
                </c:pt>
                <c:pt idx="160">
                  <c:v>738.9920958575475</c:v>
                </c:pt>
                <c:pt idx="161">
                  <c:v>738.9920958575475</c:v>
                </c:pt>
                <c:pt idx="162">
                  <c:v>738.9920958575475</c:v>
                </c:pt>
                <c:pt idx="163">
                  <c:v>738.9920958575475</c:v>
                </c:pt>
                <c:pt idx="164">
                  <c:v>738.9920958575475</c:v>
                </c:pt>
                <c:pt idx="165">
                  <c:v>738.9920958575475</c:v>
                </c:pt>
                <c:pt idx="166">
                  <c:v>738.9920958575475</c:v>
                </c:pt>
                <c:pt idx="167">
                  <c:v>738.9920958575475</c:v>
                </c:pt>
                <c:pt idx="168">
                  <c:v>738.9920958575475</c:v>
                </c:pt>
                <c:pt idx="169">
                  <c:v>738.9920958575475</c:v>
                </c:pt>
                <c:pt idx="170">
                  <c:v>738.9920958575475</c:v>
                </c:pt>
                <c:pt idx="171">
                  <c:v>738.9920958575475</c:v>
                </c:pt>
                <c:pt idx="172">
                  <c:v>738.9920958575475</c:v>
                </c:pt>
                <c:pt idx="173">
                  <c:v>738.9920958575475</c:v>
                </c:pt>
                <c:pt idx="174">
                  <c:v>738.9920958575475</c:v>
                </c:pt>
                <c:pt idx="175">
                  <c:v>738.9920958575475</c:v>
                </c:pt>
                <c:pt idx="176">
                  <c:v>738.9920958575475</c:v>
                </c:pt>
                <c:pt idx="177">
                  <c:v>738.9920958575475</c:v>
                </c:pt>
                <c:pt idx="178">
                  <c:v>738.9920958575475</c:v>
                </c:pt>
                <c:pt idx="179">
                  <c:v>738.9920958575475</c:v>
                </c:pt>
                <c:pt idx="180">
                  <c:v>738.9920958575475</c:v>
                </c:pt>
                <c:pt idx="181">
                  <c:v>738.9920958575475</c:v>
                </c:pt>
                <c:pt idx="182">
                  <c:v>738.9920958575475</c:v>
                </c:pt>
                <c:pt idx="183">
                  <c:v>738.9920958575475</c:v>
                </c:pt>
                <c:pt idx="184">
                  <c:v>738.9920958575475</c:v>
                </c:pt>
                <c:pt idx="185">
                  <c:v>738.9920958575475</c:v>
                </c:pt>
                <c:pt idx="186">
                  <c:v>738.9920958575475</c:v>
                </c:pt>
                <c:pt idx="187">
                  <c:v>738.9920958575475</c:v>
                </c:pt>
                <c:pt idx="188">
                  <c:v>738.9920958575475</c:v>
                </c:pt>
                <c:pt idx="189">
                  <c:v>738.9920958575475</c:v>
                </c:pt>
                <c:pt idx="190">
                  <c:v>738.9920958575475</c:v>
                </c:pt>
                <c:pt idx="191">
                  <c:v>738.9920958575475</c:v>
                </c:pt>
                <c:pt idx="192">
                  <c:v>738.9920958575475</c:v>
                </c:pt>
                <c:pt idx="193">
                  <c:v>738.9920958575475</c:v>
                </c:pt>
                <c:pt idx="194">
                  <c:v>738.9920958575475</c:v>
                </c:pt>
                <c:pt idx="195">
                  <c:v>738.9920958575475</c:v>
                </c:pt>
                <c:pt idx="196">
                  <c:v>738.9920958575475</c:v>
                </c:pt>
                <c:pt idx="197">
                  <c:v>738.9920958575475</c:v>
                </c:pt>
                <c:pt idx="198">
                  <c:v>738.9920958575475</c:v>
                </c:pt>
                <c:pt idx="199">
                  <c:v>738.9920958575475</c:v>
                </c:pt>
                <c:pt idx="200">
                  <c:v>738.9920958575475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1.5577071624658945</c:v>
                </c:pt>
                <c:pt idx="2">
                  <c:v>1.9288873855283348</c:v>
                </c:pt>
                <c:pt idx="3">
                  <c:v>2.3888638537271816</c:v>
                </c:pt>
                <c:pt idx="4">
                  <c:v>2.9589580434456426</c:v>
                </c:pt>
                <c:pt idx="5">
                  <c:v>3.6656289015262886</c:v>
                </c:pt>
                <c:pt idx="6">
                  <c:v>4.5417147381858864</c:v>
                </c:pt>
                <c:pt idx="7">
                  <c:v>5.6279762223228254</c:v>
                </c:pt>
                <c:pt idx="8">
                  <c:v>6.9750136829337457</c:v>
                </c:pt>
                <c:pt idx="9">
                  <c:v>8.6456497621007298</c:v>
                </c:pt>
                <c:pt idx="10">
                  <c:v>10.71789066515678</c:v>
                </c:pt>
                <c:pt idx="11">
                  <c:v>13.288606879048153</c:v>
                </c:pt>
                <c:pt idx="12">
                  <c:v>16.478108609082572</c:v>
                </c:pt>
                <c:pt idx="13">
                  <c:v>20.435833971579299</c:v>
                </c:pt>
                <c:pt idx="14">
                  <c:v>25.347421235796446</c:v>
                </c:pt>
                <c:pt idx="15">
                  <c:v>31.443502699042707</c:v>
                </c:pt>
                <c:pt idx="16">
                  <c:v>53.070542423821507</c:v>
                </c:pt>
                <c:pt idx="17">
                  <c:v>74.459476574772168</c:v>
                </c:pt>
                <c:pt idx="18">
                  <c:v>95.690018529651979</c:v>
                </c:pt>
                <c:pt idx="19">
                  <c:v>116.8026363404107</c:v>
                </c:pt>
                <c:pt idx="20">
                  <c:v>137.82176072987758</c:v>
                </c:pt>
                <c:pt idx="21">
                  <c:v>159.80899190897142</c:v>
                </c:pt>
                <c:pt idx="22">
                  <c:v>184.84999759778714</c:v>
                </c:pt>
                <c:pt idx="23">
                  <c:v>209.81168136517772</c:v>
                </c:pt>
                <c:pt idx="24">
                  <c:v>234.70481236991114</c:v>
                </c:pt>
                <c:pt idx="25">
                  <c:v>259.53768401264</c:v>
                </c:pt>
                <c:pt idx="26">
                  <c:v>220.60658837873268</c:v>
                </c:pt>
                <c:pt idx="27">
                  <c:v>246.92139570839652</c:v>
                </c:pt>
                <c:pt idx="28">
                  <c:v>273.17251486753031</c:v>
                </c:pt>
                <c:pt idx="29">
                  <c:v>299.36692413277325</c:v>
                </c:pt>
                <c:pt idx="30">
                  <c:v>325.51028017954701</c:v>
                </c:pt>
                <c:pt idx="31">
                  <c:v>286.99829469188228</c:v>
                </c:pt>
                <c:pt idx="32">
                  <c:v>313.37097388025114</c:v>
                </c:pt>
                <c:pt idx="33">
                  <c:v>339.69444079385897</c:v>
                </c:pt>
                <c:pt idx="34">
                  <c:v>365.97304198589865</c:v>
                </c:pt>
                <c:pt idx="35">
                  <c:v>392.21044902508112</c:v>
                </c:pt>
                <c:pt idx="36">
                  <c:v>353.24970174806907</c:v>
                </c:pt>
                <c:pt idx="37">
                  <c:v>378.8917075093982</c:v>
                </c:pt>
                <c:pt idx="38">
                  <c:v>404.49595962425639</c:v>
                </c:pt>
                <c:pt idx="39">
                  <c:v>430.065181562715</c:v>
                </c:pt>
                <c:pt idx="40">
                  <c:v>455.60174675120021</c:v>
                </c:pt>
                <c:pt idx="41">
                  <c:v>415.95515349696331</c:v>
                </c:pt>
                <c:pt idx="42">
                  <c:v>440.69223402870369</c:v>
                </c:pt>
                <c:pt idx="43">
                  <c:v>465.39955864921495</c:v>
                </c:pt>
                <c:pt idx="44">
                  <c:v>490.07892759575094</c:v>
                </c:pt>
                <c:pt idx="45">
                  <c:v>514.7319451649156</c:v>
                </c:pt>
                <c:pt idx="46">
                  <c:v>473.76503693403919</c:v>
                </c:pt>
                <c:pt idx="47">
                  <c:v>497.00881885194661</c:v>
                </c:pt>
                <c:pt idx="48">
                  <c:v>520.22958404364772</c:v>
                </c:pt>
                <c:pt idx="49">
                  <c:v>543.42850336833214</c:v>
                </c:pt>
                <c:pt idx="50">
                  <c:v>566.60663966082336</c:v>
                </c:pt>
                <c:pt idx="51">
                  <c:v>524.50467776006587</c:v>
                </c:pt>
                <c:pt idx="52">
                  <c:v>546.47942376933327</c:v>
                </c:pt>
                <c:pt idx="53">
                  <c:v>568.43563655834566</c:v>
                </c:pt>
                <c:pt idx="54">
                  <c:v>590.3741320104258</c:v>
                </c:pt>
                <c:pt idx="55">
                  <c:v>612.29566048724121</c:v>
                </c:pt>
                <c:pt idx="56">
                  <c:v>569.04527483531945</c:v>
                </c:pt>
                <c:pt idx="57">
                  <c:v>589.76496179794242</c:v>
                </c:pt>
                <c:pt idx="58">
                  <c:v>610.46949724025615</c:v>
                </c:pt>
                <c:pt idx="59">
                  <c:v>631.15946687120459</c:v>
                </c:pt>
                <c:pt idx="60">
                  <c:v>651.83541490640221</c:v>
                </c:pt>
                <c:pt idx="61">
                  <c:v>616.55626932489611</c:v>
                </c:pt>
                <c:pt idx="62">
                  <c:v>636.02563791945056</c:v>
                </c:pt>
                <c:pt idx="63">
                  <c:v>655.48269480622912</c:v>
                </c:pt>
                <c:pt idx="64">
                  <c:v>674.9278565461301</c:v>
                </c:pt>
                <c:pt idx="65">
                  <c:v>694.36151376369207</c:v>
                </c:pt>
                <c:pt idx="66">
                  <c:v>661.96571726881348</c:v>
                </c:pt>
                <c:pt idx="67">
                  <c:v>680.19225892067016</c:v>
                </c:pt>
                <c:pt idx="68">
                  <c:v>698.40877871061059</c:v>
                </c:pt>
                <c:pt idx="69">
                  <c:v>716.61557460507174</c:v>
                </c:pt>
                <c:pt idx="70">
                  <c:v>734.81292821003501</c:v>
                </c:pt>
                <c:pt idx="71">
                  <c:v>703.2648631558427</c:v>
                </c:pt>
                <c:pt idx="72">
                  <c:v>720.25579197078662</c:v>
                </c:pt>
                <c:pt idx="73">
                  <c:v>737.23854309381511</c:v>
                </c:pt>
                <c:pt idx="74">
                  <c:v>754.21333126486149</c:v>
                </c:pt>
                <c:pt idx="75">
                  <c:v>771.18036077877571</c:v>
                </c:pt>
                <c:pt idx="76">
                  <c:v>739.66399548575589</c:v>
                </c:pt>
                <c:pt idx="77">
                  <c:v>755.62754398259005</c:v>
                </c:pt>
                <c:pt idx="78">
                  <c:v>771.58424472637807</c:v>
                </c:pt>
                <c:pt idx="79">
                  <c:v>787.53425915409514</c:v>
                </c:pt>
                <c:pt idx="80">
                  <c:v>803.47774163645965</c:v>
                </c:pt>
                <c:pt idx="81">
                  <c:v>757.04170294141477</c:v>
                </c:pt>
                <c:pt idx="82">
                  <c:v>757.04170294141477</c:v>
                </c:pt>
                <c:pt idx="83">
                  <c:v>757.04170294141477</c:v>
                </c:pt>
                <c:pt idx="84">
                  <c:v>757.04170294141477</c:v>
                </c:pt>
                <c:pt idx="85">
                  <c:v>757.04170294141477</c:v>
                </c:pt>
                <c:pt idx="86">
                  <c:v>757.04170294141477</c:v>
                </c:pt>
                <c:pt idx="87">
                  <c:v>757.04170294141477</c:v>
                </c:pt>
                <c:pt idx="88">
                  <c:v>757.04170294141477</c:v>
                </c:pt>
                <c:pt idx="89">
                  <c:v>757.04170294141477</c:v>
                </c:pt>
                <c:pt idx="90">
                  <c:v>757.04170294141477</c:v>
                </c:pt>
                <c:pt idx="91">
                  <c:v>757.04170294141477</c:v>
                </c:pt>
                <c:pt idx="92">
                  <c:v>757.04170294141477</c:v>
                </c:pt>
                <c:pt idx="93">
                  <c:v>757.04170294141477</c:v>
                </c:pt>
                <c:pt idx="94">
                  <c:v>757.04170294141477</c:v>
                </c:pt>
                <c:pt idx="95">
                  <c:v>757.04170294141477</c:v>
                </c:pt>
                <c:pt idx="96">
                  <c:v>757.04170294141477</c:v>
                </c:pt>
                <c:pt idx="97">
                  <c:v>757.04170294141477</c:v>
                </c:pt>
                <c:pt idx="98">
                  <c:v>757.04170294141477</c:v>
                </c:pt>
                <c:pt idx="99">
                  <c:v>757.04170294141477</c:v>
                </c:pt>
                <c:pt idx="100">
                  <c:v>757.04170294141477</c:v>
                </c:pt>
                <c:pt idx="101">
                  <c:v>757.04170294141477</c:v>
                </c:pt>
                <c:pt idx="102">
                  <c:v>757.04170294141477</c:v>
                </c:pt>
                <c:pt idx="103">
                  <c:v>757.04170294141477</c:v>
                </c:pt>
                <c:pt idx="104">
                  <c:v>757.04170294141477</c:v>
                </c:pt>
                <c:pt idx="105">
                  <c:v>757.04170294141477</c:v>
                </c:pt>
                <c:pt idx="106">
                  <c:v>757.04170294141477</c:v>
                </c:pt>
                <c:pt idx="107">
                  <c:v>757.04170294141477</c:v>
                </c:pt>
                <c:pt idx="108">
                  <c:v>757.04170294141477</c:v>
                </c:pt>
                <c:pt idx="109">
                  <c:v>757.04170294141477</c:v>
                </c:pt>
                <c:pt idx="110">
                  <c:v>757.04170294141477</c:v>
                </c:pt>
                <c:pt idx="111">
                  <c:v>757.04170294141477</c:v>
                </c:pt>
                <c:pt idx="112">
                  <c:v>757.04170294141477</c:v>
                </c:pt>
                <c:pt idx="113">
                  <c:v>757.04170294141477</c:v>
                </c:pt>
                <c:pt idx="114">
                  <c:v>757.04170294141477</c:v>
                </c:pt>
                <c:pt idx="115">
                  <c:v>757.04170294141477</c:v>
                </c:pt>
                <c:pt idx="116">
                  <c:v>757.04170294141477</c:v>
                </c:pt>
                <c:pt idx="117">
                  <c:v>757.04170294141477</c:v>
                </c:pt>
                <c:pt idx="118">
                  <c:v>757.04170294141477</c:v>
                </c:pt>
                <c:pt idx="119">
                  <c:v>757.04170294141477</c:v>
                </c:pt>
                <c:pt idx="120">
                  <c:v>757.04170294141477</c:v>
                </c:pt>
                <c:pt idx="121">
                  <c:v>757.04170294141477</c:v>
                </c:pt>
                <c:pt idx="122">
                  <c:v>757.04170294141477</c:v>
                </c:pt>
                <c:pt idx="123">
                  <c:v>757.04170294141477</c:v>
                </c:pt>
                <c:pt idx="124">
                  <c:v>757.04170294141477</c:v>
                </c:pt>
                <c:pt idx="125">
                  <c:v>757.04170294141477</c:v>
                </c:pt>
                <c:pt idx="126">
                  <c:v>757.04170294141477</c:v>
                </c:pt>
                <c:pt idx="127">
                  <c:v>757.04170294141477</c:v>
                </c:pt>
                <c:pt idx="128">
                  <c:v>757.04170294141477</c:v>
                </c:pt>
                <c:pt idx="129">
                  <c:v>757.04170294141477</c:v>
                </c:pt>
                <c:pt idx="130">
                  <c:v>757.04170294141477</c:v>
                </c:pt>
                <c:pt idx="131">
                  <c:v>757.04170294141477</c:v>
                </c:pt>
                <c:pt idx="132">
                  <c:v>757.04170294141477</c:v>
                </c:pt>
                <c:pt idx="133">
                  <c:v>757.04170294141477</c:v>
                </c:pt>
                <c:pt idx="134">
                  <c:v>757.04170294141477</c:v>
                </c:pt>
                <c:pt idx="135">
                  <c:v>757.04170294141477</c:v>
                </c:pt>
                <c:pt idx="136">
                  <c:v>757.04170294141477</c:v>
                </c:pt>
                <c:pt idx="137">
                  <c:v>757.04170294141477</c:v>
                </c:pt>
                <c:pt idx="138">
                  <c:v>757.04170294141477</c:v>
                </c:pt>
                <c:pt idx="139">
                  <c:v>757.04170294141477</c:v>
                </c:pt>
                <c:pt idx="140">
                  <c:v>757.04170294141477</c:v>
                </c:pt>
                <c:pt idx="141">
                  <c:v>757.04170294141477</c:v>
                </c:pt>
                <c:pt idx="142">
                  <c:v>757.04170294141477</c:v>
                </c:pt>
                <c:pt idx="143">
                  <c:v>757.04170294141477</c:v>
                </c:pt>
                <c:pt idx="144">
                  <c:v>757.04170294141477</c:v>
                </c:pt>
                <c:pt idx="145">
                  <c:v>757.04170294141477</c:v>
                </c:pt>
                <c:pt idx="146">
                  <c:v>757.04170294141477</c:v>
                </c:pt>
                <c:pt idx="147">
                  <c:v>757.04170294141477</c:v>
                </c:pt>
                <c:pt idx="148">
                  <c:v>757.04170294141477</c:v>
                </c:pt>
                <c:pt idx="149">
                  <c:v>757.04170294141477</c:v>
                </c:pt>
                <c:pt idx="150">
                  <c:v>757.04170294141477</c:v>
                </c:pt>
                <c:pt idx="151">
                  <c:v>757.04170294141477</c:v>
                </c:pt>
                <c:pt idx="152">
                  <c:v>757.04170294141477</c:v>
                </c:pt>
                <c:pt idx="153">
                  <c:v>757.04170294141477</c:v>
                </c:pt>
                <c:pt idx="154">
                  <c:v>757.04170294141477</c:v>
                </c:pt>
                <c:pt idx="155">
                  <c:v>757.04170294141477</c:v>
                </c:pt>
                <c:pt idx="156">
                  <c:v>757.04170294141477</c:v>
                </c:pt>
                <c:pt idx="157">
                  <c:v>757.04170294141477</c:v>
                </c:pt>
                <c:pt idx="158">
                  <c:v>757.04170294141477</c:v>
                </c:pt>
                <c:pt idx="159">
                  <c:v>757.04170294141477</c:v>
                </c:pt>
                <c:pt idx="160">
                  <c:v>757.04170294141477</c:v>
                </c:pt>
                <c:pt idx="161">
                  <c:v>757.04170294141477</c:v>
                </c:pt>
                <c:pt idx="162">
                  <c:v>757.04170294141477</c:v>
                </c:pt>
                <c:pt idx="163">
                  <c:v>757.04170294141477</c:v>
                </c:pt>
                <c:pt idx="164">
                  <c:v>757.04170294141477</c:v>
                </c:pt>
                <c:pt idx="165">
                  <c:v>757.04170294141477</c:v>
                </c:pt>
                <c:pt idx="166">
                  <c:v>757.04170294141477</c:v>
                </c:pt>
                <c:pt idx="167">
                  <c:v>757.04170294141477</c:v>
                </c:pt>
                <c:pt idx="168">
                  <c:v>757.04170294141477</c:v>
                </c:pt>
                <c:pt idx="169">
                  <c:v>757.04170294141477</c:v>
                </c:pt>
                <c:pt idx="170">
                  <c:v>757.04170294141477</c:v>
                </c:pt>
                <c:pt idx="171">
                  <c:v>757.04170294141477</c:v>
                </c:pt>
                <c:pt idx="172">
                  <c:v>757.04170294141477</c:v>
                </c:pt>
                <c:pt idx="173">
                  <c:v>757.04170294141477</c:v>
                </c:pt>
                <c:pt idx="174">
                  <c:v>757.04170294141477</c:v>
                </c:pt>
                <c:pt idx="175">
                  <c:v>757.04170294141477</c:v>
                </c:pt>
                <c:pt idx="176">
                  <c:v>757.04170294141477</c:v>
                </c:pt>
                <c:pt idx="177">
                  <c:v>757.04170294141477</c:v>
                </c:pt>
                <c:pt idx="178">
                  <c:v>757.04170294141477</c:v>
                </c:pt>
                <c:pt idx="179">
                  <c:v>757.04170294141477</c:v>
                </c:pt>
                <c:pt idx="180">
                  <c:v>757.04170294141477</c:v>
                </c:pt>
                <c:pt idx="181">
                  <c:v>757.04170294141477</c:v>
                </c:pt>
                <c:pt idx="182">
                  <c:v>757.04170294141477</c:v>
                </c:pt>
                <c:pt idx="183">
                  <c:v>757.04170294141477</c:v>
                </c:pt>
                <c:pt idx="184">
                  <c:v>757.04170294141477</c:v>
                </c:pt>
                <c:pt idx="185">
                  <c:v>757.04170294141477</c:v>
                </c:pt>
                <c:pt idx="186">
                  <c:v>757.04170294141477</c:v>
                </c:pt>
                <c:pt idx="187">
                  <c:v>757.04170294141477</c:v>
                </c:pt>
                <c:pt idx="188">
                  <c:v>757.04170294141477</c:v>
                </c:pt>
                <c:pt idx="189">
                  <c:v>757.04170294141477</c:v>
                </c:pt>
                <c:pt idx="190">
                  <c:v>757.04170294141477</c:v>
                </c:pt>
                <c:pt idx="191">
                  <c:v>757.04170294141477</c:v>
                </c:pt>
                <c:pt idx="192">
                  <c:v>757.04170294141477</c:v>
                </c:pt>
                <c:pt idx="193">
                  <c:v>757.04170294141477</c:v>
                </c:pt>
                <c:pt idx="194">
                  <c:v>757.04170294141477</c:v>
                </c:pt>
                <c:pt idx="195">
                  <c:v>757.04170294141477</c:v>
                </c:pt>
                <c:pt idx="196">
                  <c:v>757.04170294141477</c:v>
                </c:pt>
                <c:pt idx="197">
                  <c:v>757.04170294141477</c:v>
                </c:pt>
                <c:pt idx="198">
                  <c:v>757.04170294141477</c:v>
                </c:pt>
                <c:pt idx="199">
                  <c:v>757.04170294141477</c:v>
                </c:pt>
                <c:pt idx="200">
                  <c:v>757.04170294141477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208.99762497430493</c:v>
                </c:pt>
                <c:pt idx="32">
                  <c:v>230.86843461387113</c:v>
                </c:pt>
                <c:pt idx="33">
                  <c:v>252.69188827494614</c:v>
                </c:pt>
                <c:pt idx="34">
                  <c:v>274.47265011228387</c:v>
                </c:pt>
                <c:pt idx="35">
                  <c:v>296.21458319381429</c:v>
                </c:pt>
                <c:pt idx="36">
                  <c:v>271.79410793232609</c:v>
                </c:pt>
                <c:pt idx="37">
                  <c:v>292.53776259751834</c:v>
                </c:pt>
                <c:pt idx="38">
                  <c:v>313.24858309709026</c:v>
                </c:pt>
                <c:pt idx="39">
                  <c:v>333.92904467751276</c:v>
                </c:pt>
                <c:pt idx="40">
                  <c:v>354.58129100924572</c:v>
                </c:pt>
                <c:pt idx="41">
                  <c:v>320.25654220272645</c:v>
                </c:pt>
                <c:pt idx="42">
                  <c:v>339.26127825812586</c:v>
                </c:pt>
                <c:pt idx="43">
                  <c:v>358.24259793484339</c:v>
                </c:pt>
                <c:pt idx="44">
                  <c:v>377.20191598007665</c:v>
                </c:pt>
                <c:pt idx="45">
                  <c:v>396.14049335867753</c:v>
                </c:pt>
                <c:pt idx="46">
                  <c:v>361.57034788194915</c:v>
                </c:pt>
                <c:pt idx="47">
                  <c:v>378.53160178526809</c:v>
                </c:pt>
                <c:pt idx="48">
                  <c:v>395.47632010043407</c:v>
                </c:pt>
                <c:pt idx="49">
                  <c:v>412.40531081802777</c:v>
                </c:pt>
                <c:pt idx="50">
                  <c:v>429.31931020102024</c:v>
                </c:pt>
                <c:pt idx="51">
                  <c:v>393.15152299039391</c:v>
                </c:pt>
                <c:pt idx="52">
                  <c:v>406.764014604328</c:v>
                </c:pt>
                <c:pt idx="53">
                  <c:v>420.36666487334452</c:v>
                </c:pt>
                <c:pt idx="54">
                  <c:v>433.95983709455049</c:v>
                </c:pt>
                <c:pt idx="55">
                  <c:v>447.5438699506708</c:v>
                </c:pt>
                <c:pt idx="56">
                  <c:v>410.08262729650642</c:v>
                </c:pt>
                <c:pt idx="57">
                  <c:v>422.35649327036077</c:v>
                </c:pt>
                <c:pt idx="58">
                  <c:v>434.62268223024995</c:v>
                </c:pt>
                <c:pt idx="59">
                  <c:v>446.88144138120293</c:v>
                </c:pt>
                <c:pt idx="60">
                  <c:v>459.1330032591132</c:v>
                </c:pt>
                <c:pt idx="61">
                  <c:v>425.00928400602908</c:v>
                </c:pt>
                <c:pt idx="62">
                  <c:v>435.61690924842759</c:v>
                </c:pt>
                <c:pt idx="63">
                  <c:v>446.21899178570357</c:v>
                </c:pt>
                <c:pt idx="64">
                  <c:v>456.81568190014019</c:v>
                </c:pt>
                <c:pt idx="65">
                  <c:v>467.40712233198559</c:v>
                </c:pt>
                <c:pt idx="66">
                  <c:v>434.29126237791075</c:v>
                </c:pt>
                <c:pt idx="67">
                  <c:v>444.23151648566937</c:v>
                </c:pt>
                <c:pt idx="68">
                  <c:v>454.16700698147952</c:v>
                </c:pt>
                <c:pt idx="69">
                  <c:v>464.09785279227236</c:v>
                </c:pt>
                <c:pt idx="70">
                  <c:v>474.02416733906375</c:v>
                </c:pt>
                <c:pt idx="71">
                  <c:v>449.53102985794334</c:v>
                </c:pt>
                <c:pt idx="72">
                  <c:v>458.13989619719513</c:v>
                </c:pt>
                <c:pt idx="73">
                  <c:v>466.74530850225307</c:v>
                </c:pt>
                <c:pt idx="74">
                  <c:v>475.34733945827821</c:v>
                </c:pt>
                <c:pt idx="75">
                  <c:v>483.94605890429199</c:v>
                </c:pt>
                <c:pt idx="76">
                  <c:v>483.94605890429199</c:v>
                </c:pt>
                <c:pt idx="77">
                  <c:v>483.94605890429199</c:v>
                </c:pt>
                <c:pt idx="78">
                  <c:v>483.94605890429199</c:v>
                </c:pt>
                <c:pt idx="79">
                  <c:v>483.94605890429199</c:v>
                </c:pt>
                <c:pt idx="80">
                  <c:v>483.94605890429199</c:v>
                </c:pt>
                <c:pt idx="81">
                  <c:v>483.94605890429199</c:v>
                </c:pt>
                <c:pt idx="82">
                  <c:v>483.94605890429199</c:v>
                </c:pt>
                <c:pt idx="83">
                  <c:v>483.94605890429199</c:v>
                </c:pt>
                <c:pt idx="84">
                  <c:v>483.94605890429199</c:v>
                </c:pt>
                <c:pt idx="85">
                  <c:v>483.94605890429199</c:v>
                </c:pt>
                <c:pt idx="86">
                  <c:v>483.94605890429199</c:v>
                </c:pt>
                <c:pt idx="87">
                  <c:v>483.94605890429199</c:v>
                </c:pt>
                <c:pt idx="88">
                  <c:v>483.94605890429199</c:v>
                </c:pt>
                <c:pt idx="89">
                  <c:v>483.94605890429199</c:v>
                </c:pt>
                <c:pt idx="90">
                  <c:v>483.94605890429199</c:v>
                </c:pt>
                <c:pt idx="91">
                  <c:v>483.94605890429199</c:v>
                </c:pt>
                <c:pt idx="92">
                  <c:v>483.94605890429199</c:v>
                </c:pt>
                <c:pt idx="93">
                  <c:v>483.94605890429199</c:v>
                </c:pt>
                <c:pt idx="94">
                  <c:v>483.94605890429199</c:v>
                </c:pt>
                <c:pt idx="95">
                  <c:v>483.94605890429199</c:v>
                </c:pt>
                <c:pt idx="96">
                  <c:v>483.94605890429199</c:v>
                </c:pt>
                <c:pt idx="97">
                  <c:v>483.94605890429199</c:v>
                </c:pt>
                <c:pt idx="98">
                  <c:v>483.94605890429199</c:v>
                </c:pt>
                <c:pt idx="99">
                  <c:v>483.94605890429199</c:v>
                </c:pt>
                <c:pt idx="100">
                  <c:v>483.94605890429199</c:v>
                </c:pt>
                <c:pt idx="101">
                  <c:v>483.94605890429199</c:v>
                </c:pt>
                <c:pt idx="102">
                  <c:v>483.94605890429199</c:v>
                </c:pt>
                <c:pt idx="103">
                  <c:v>483.94605890429199</c:v>
                </c:pt>
                <c:pt idx="104">
                  <c:v>483.94605890429199</c:v>
                </c:pt>
                <c:pt idx="105">
                  <c:v>483.94605890429199</c:v>
                </c:pt>
                <c:pt idx="106">
                  <c:v>483.94605890429199</c:v>
                </c:pt>
                <c:pt idx="107">
                  <c:v>483.94605890429199</c:v>
                </c:pt>
                <c:pt idx="108">
                  <c:v>483.94605890429199</c:v>
                </c:pt>
                <c:pt idx="109">
                  <c:v>483.94605890429199</c:v>
                </c:pt>
                <c:pt idx="110">
                  <c:v>483.94605890429199</c:v>
                </c:pt>
                <c:pt idx="111">
                  <c:v>483.94605890429199</c:v>
                </c:pt>
                <c:pt idx="112">
                  <c:v>483.94605890429199</c:v>
                </c:pt>
                <c:pt idx="113">
                  <c:v>483.94605890429199</c:v>
                </c:pt>
                <c:pt idx="114">
                  <c:v>483.94605890429199</c:v>
                </c:pt>
                <c:pt idx="115">
                  <c:v>483.94605890429199</c:v>
                </c:pt>
                <c:pt idx="116">
                  <c:v>483.94605890429199</c:v>
                </c:pt>
                <c:pt idx="117">
                  <c:v>483.94605890429199</c:v>
                </c:pt>
                <c:pt idx="118">
                  <c:v>483.94605890429199</c:v>
                </c:pt>
                <c:pt idx="119">
                  <c:v>483.94605890429199</c:v>
                </c:pt>
                <c:pt idx="120">
                  <c:v>483.94605890429199</c:v>
                </c:pt>
                <c:pt idx="121">
                  <c:v>483.94605890429199</c:v>
                </c:pt>
                <c:pt idx="122">
                  <c:v>483.94605890429199</c:v>
                </c:pt>
                <c:pt idx="123">
                  <c:v>483.94605890429199</c:v>
                </c:pt>
                <c:pt idx="124">
                  <c:v>483.94605890429199</c:v>
                </c:pt>
                <c:pt idx="125">
                  <c:v>483.94605890429199</c:v>
                </c:pt>
                <c:pt idx="126">
                  <c:v>483.94605890429199</c:v>
                </c:pt>
                <c:pt idx="127">
                  <c:v>483.94605890429199</c:v>
                </c:pt>
                <c:pt idx="128">
                  <c:v>483.94605890429199</c:v>
                </c:pt>
                <c:pt idx="129">
                  <c:v>483.94605890429199</c:v>
                </c:pt>
                <c:pt idx="130">
                  <c:v>483.94605890429199</c:v>
                </c:pt>
                <c:pt idx="131">
                  <c:v>483.94605890429199</c:v>
                </c:pt>
                <c:pt idx="132">
                  <c:v>483.94605890429199</c:v>
                </c:pt>
                <c:pt idx="133">
                  <c:v>483.94605890429199</c:v>
                </c:pt>
                <c:pt idx="134">
                  <c:v>483.94605890429199</c:v>
                </c:pt>
                <c:pt idx="135">
                  <c:v>483.94605890429199</c:v>
                </c:pt>
                <c:pt idx="136">
                  <c:v>483.94605890429199</c:v>
                </c:pt>
                <c:pt idx="137">
                  <c:v>483.94605890429199</c:v>
                </c:pt>
                <c:pt idx="138">
                  <c:v>483.94605890429199</c:v>
                </c:pt>
                <c:pt idx="139">
                  <c:v>483.94605890429199</c:v>
                </c:pt>
                <c:pt idx="140">
                  <c:v>483.94605890429199</c:v>
                </c:pt>
                <c:pt idx="141">
                  <c:v>483.94605890429199</c:v>
                </c:pt>
                <c:pt idx="142">
                  <c:v>483.94605890429199</c:v>
                </c:pt>
                <c:pt idx="143">
                  <c:v>483.94605890429199</c:v>
                </c:pt>
                <c:pt idx="144">
                  <c:v>483.94605890429199</c:v>
                </c:pt>
                <c:pt idx="145">
                  <c:v>483.94605890429199</c:v>
                </c:pt>
                <c:pt idx="146">
                  <c:v>483.94605890429199</c:v>
                </c:pt>
                <c:pt idx="147">
                  <c:v>483.94605890429199</c:v>
                </c:pt>
                <c:pt idx="148">
                  <c:v>483.94605890429199</c:v>
                </c:pt>
                <c:pt idx="149">
                  <c:v>483.94605890429199</c:v>
                </c:pt>
                <c:pt idx="150">
                  <c:v>483.94605890429199</c:v>
                </c:pt>
                <c:pt idx="151">
                  <c:v>483.94605890429199</c:v>
                </c:pt>
                <c:pt idx="152">
                  <c:v>483.94605890429199</c:v>
                </c:pt>
                <c:pt idx="153">
                  <c:v>483.94605890429199</c:v>
                </c:pt>
                <c:pt idx="154">
                  <c:v>483.94605890429199</c:v>
                </c:pt>
                <c:pt idx="155">
                  <c:v>483.94605890429199</c:v>
                </c:pt>
                <c:pt idx="156">
                  <c:v>483.94605890429199</c:v>
                </c:pt>
                <c:pt idx="157">
                  <c:v>483.94605890429199</c:v>
                </c:pt>
                <c:pt idx="158">
                  <c:v>483.94605890429199</c:v>
                </c:pt>
                <c:pt idx="159">
                  <c:v>483.94605890429199</c:v>
                </c:pt>
                <c:pt idx="160">
                  <c:v>483.94605890429199</c:v>
                </c:pt>
                <c:pt idx="161">
                  <c:v>483.94605890429199</c:v>
                </c:pt>
                <c:pt idx="162">
                  <c:v>483.94605890429199</c:v>
                </c:pt>
                <c:pt idx="163">
                  <c:v>483.94605890429199</c:v>
                </c:pt>
                <c:pt idx="164">
                  <c:v>483.94605890429199</c:v>
                </c:pt>
                <c:pt idx="165">
                  <c:v>483.94605890429199</c:v>
                </c:pt>
                <c:pt idx="166">
                  <c:v>483.94605890429199</c:v>
                </c:pt>
                <c:pt idx="167">
                  <c:v>483.94605890429199</c:v>
                </c:pt>
                <c:pt idx="168">
                  <c:v>483.94605890429199</c:v>
                </c:pt>
                <c:pt idx="169">
                  <c:v>483.94605890429199</c:v>
                </c:pt>
                <c:pt idx="170">
                  <c:v>483.94605890429199</c:v>
                </c:pt>
                <c:pt idx="171">
                  <c:v>483.94605890429199</c:v>
                </c:pt>
                <c:pt idx="172">
                  <c:v>483.94605890429199</c:v>
                </c:pt>
                <c:pt idx="173">
                  <c:v>483.94605890429199</c:v>
                </c:pt>
                <c:pt idx="174">
                  <c:v>483.94605890429199</c:v>
                </c:pt>
                <c:pt idx="175">
                  <c:v>483.94605890429199</c:v>
                </c:pt>
                <c:pt idx="176">
                  <c:v>483.94605890429199</c:v>
                </c:pt>
                <c:pt idx="177">
                  <c:v>483.94605890429199</c:v>
                </c:pt>
                <c:pt idx="178">
                  <c:v>483.94605890429199</c:v>
                </c:pt>
                <c:pt idx="179">
                  <c:v>483.94605890429199</c:v>
                </c:pt>
                <c:pt idx="180">
                  <c:v>483.94605890429199</c:v>
                </c:pt>
                <c:pt idx="181">
                  <c:v>483.94605890429199</c:v>
                </c:pt>
                <c:pt idx="182">
                  <c:v>483.94605890429199</c:v>
                </c:pt>
                <c:pt idx="183">
                  <c:v>483.94605890429199</c:v>
                </c:pt>
                <c:pt idx="184">
                  <c:v>483.94605890429199</c:v>
                </c:pt>
                <c:pt idx="185">
                  <c:v>483.94605890429199</c:v>
                </c:pt>
                <c:pt idx="186">
                  <c:v>483.94605890429199</c:v>
                </c:pt>
                <c:pt idx="187">
                  <c:v>483.94605890429199</c:v>
                </c:pt>
                <c:pt idx="188">
                  <c:v>483.94605890429199</c:v>
                </c:pt>
                <c:pt idx="189">
                  <c:v>483.94605890429199</c:v>
                </c:pt>
                <c:pt idx="190">
                  <c:v>483.94605890429199</c:v>
                </c:pt>
                <c:pt idx="191">
                  <c:v>483.94605890429199</c:v>
                </c:pt>
                <c:pt idx="192">
                  <c:v>483.94605890429199</c:v>
                </c:pt>
                <c:pt idx="193">
                  <c:v>483.94605890429199</c:v>
                </c:pt>
                <c:pt idx="194">
                  <c:v>483.94605890429199</c:v>
                </c:pt>
                <c:pt idx="195">
                  <c:v>483.94605890429199</c:v>
                </c:pt>
                <c:pt idx="196">
                  <c:v>483.94605890429199</c:v>
                </c:pt>
                <c:pt idx="197">
                  <c:v>483.94605890429199</c:v>
                </c:pt>
                <c:pt idx="198">
                  <c:v>483.94605890429199</c:v>
                </c:pt>
                <c:pt idx="199">
                  <c:v>483.94605890429199</c:v>
                </c:pt>
                <c:pt idx="200">
                  <c:v>483.94605890429199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J23" sqref="J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27</v>
      </c>
      <c r="C9" s="264">
        <v>0.5</v>
      </c>
      <c r="D9" s="33">
        <f t="shared" ref="D9:D18" si="0">C9*$C$5</f>
        <v>1</v>
      </c>
      <c r="E9" s="265">
        <v>60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164</v>
      </c>
      <c r="C10" s="264">
        <v>0.25</v>
      </c>
      <c r="D10" s="33">
        <f t="shared" si="0"/>
        <v>0.5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23</v>
      </c>
      <c r="C11" s="264">
        <v>0.1333333333</v>
      </c>
      <c r="D11" s="33">
        <f t="shared" si="0"/>
        <v>0.26666666659999999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45</v>
      </c>
      <c r="C12" s="264">
        <v>8.3333333300000006E-2</v>
      </c>
      <c r="D12" s="33">
        <f t="shared" si="0"/>
        <v>0.16666666660000001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29</v>
      </c>
      <c r="C13" s="32">
        <v>3.3333333299999997E-2</v>
      </c>
      <c r="D13" s="33">
        <f t="shared" si="0"/>
        <v>6.6666666599999994E-2</v>
      </c>
      <c r="E13" s="34">
        <v>75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0.99999999989999999</v>
      </c>
      <c r="D19" s="38">
        <f>SUM(D9:D18)</f>
        <v>1.9999999998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Mélèze d'Europe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12</v>
      </c>
      <c r="B36" s="259">
        <v>103</v>
      </c>
      <c r="C36" s="259">
        <v>1</v>
      </c>
      <c r="D36" s="259">
        <v>18</v>
      </c>
      <c r="E36" s="260"/>
      <c r="F36" s="260"/>
      <c r="G36" s="260">
        <v>1</v>
      </c>
      <c r="H36" s="260"/>
      <c r="I36" s="49">
        <f>IFERROR(B36/A36,"")</f>
        <v>8.5833333333333339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18</v>
      </c>
      <c r="B37" s="259">
        <v>223</v>
      </c>
      <c r="C37" s="259">
        <v>2</v>
      </c>
      <c r="D37" s="259">
        <v>84.3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24</v>
      </c>
      <c r="B38" s="259">
        <v>254</v>
      </c>
      <c r="C38" s="259">
        <v>3</v>
      </c>
      <c r="D38" s="259">
        <v>73.7</v>
      </c>
      <c r="E38" s="260"/>
      <c r="F38" s="260">
        <v>1</v>
      </c>
      <c r="G38" s="260"/>
      <c r="H38" s="260"/>
      <c r="I38" s="53">
        <f t="shared" si="1"/>
        <v>19.216666666666669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30</v>
      </c>
      <c r="B39" s="259">
        <v>280</v>
      </c>
      <c r="C39" s="259">
        <v>4</v>
      </c>
      <c r="D39" s="259">
        <v>62.6</v>
      </c>
      <c r="E39" s="260"/>
      <c r="F39" s="260">
        <v>1</v>
      </c>
      <c r="G39" s="260"/>
      <c r="H39" s="260"/>
      <c r="I39" s="49">
        <f t="shared" si="1"/>
        <v>16.616666666666664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36</v>
      </c>
      <c r="B40" s="259">
        <v>305</v>
      </c>
      <c r="C40" s="259">
        <v>5</v>
      </c>
      <c r="D40" s="259">
        <v>58.4</v>
      </c>
      <c r="E40" s="260">
        <v>1</v>
      </c>
      <c r="F40" s="260"/>
      <c r="G40" s="260"/>
      <c r="H40" s="260"/>
      <c r="I40" s="49">
        <f t="shared" si="1"/>
        <v>14.6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42</v>
      </c>
      <c r="B41" s="259">
        <v>330</v>
      </c>
      <c r="C41" s="259">
        <v>6</v>
      </c>
      <c r="D41" s="259">
        <v>54.6</v>
      </c>
      <c r="E41" s="260">
        <v>1</v>
      </c>
      <c r="F41" s="260"/>
      <c r="G41" s="260"/>
      <c r="H41" s="260"/>
      <c r="I41" s="53">
        <f t="shared" si="1"/>
        <v>13.9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48</v>
      </c>
      <c r="B42" s="259">
        <v>353</v>
      </c>
      <c r="C42" s="259">
        <v>7</v>
      </c>
      <c r="D42" s="259">
        <v>48.2</v>
      </c>
      <c r="E42" s="260">
        <v>1</v>
      </c>
      <c r="F42" s="260"/>
      <c r="G42" s="260"/>
      <c r="H42" s="260"/>
      <c r="I42" s="53">
        <f t="shared" si="1"/>
        <v>12.933333333333337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54</v>
      </c>
      <c r="B43" s="259">
        <v>374</v>
      </c>
      <c r="C43" s="259">
        <v>8</v>
      </c>
      <c r="D43" s="259">
        <v>46.9</v>
      </c>
      <c r="E43" s="260">
        <v>1</v>
      </c>
      <c r="F43" s="260"/>
      <c r="G43" s="260"/>
      <c r="H43" s="260"/>
      <c r="I43" s="49">
        <f t="shared" si="1"/>
        <v>11.533333333333331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401</v>
      </c>
      <c r="C44" s="259"/>
      <c r="D44" s="259">
        <v>0</v>
      </c>
      <c r="E44" s="260"/>
      <c r="F44" s="260"/>
      <c r="G44" s="260"/>
      <c r="H44" s="260"/>
      <c r="I44" s="49">
        <f t="shared" si="1"/>
        <v>12.316666666666663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15</v>
      </c>
      <c r="B62" s="261">
        <v>46</v>
      </c>
      <c r="C62" s="261"/>
      <c r="D62" s="261">
        <v>0</v>
      </c>
      <c r="E62" s="260"/>
      <c r="F62" s="260"/>
      <c r="G62" s="260"/>
      <c r="H62" s="260"/>
      <c r="I62" s="53">
        <f>IFERROR(B62/A62,"")</f>
        <v>3.0666666666666669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20</v>
      </c>
      <c r="B63" s="261">
        <v>134</v>
      </c>
      <c r="C63" s="261">
        <v>1</v>
      </c>
      <c r="D63" s="261">
        <v>5</v>
      </c>
      <c r="E63" s="260"/>
      <c r="F63" s="260"/>
      <c r="G63" s="260">
        <v>1</v>
      </c>
      <c r="H63" s="260"/>
      <c r="I63" s="49">
        <f>IF(A63&lt;&gt;0,(B63-(B62-D62))/(A63-A62),"")</f>
        <v>17.600000000000001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25</v>
      </c>
      <c r="B64" s="261">
        <v>243</v>
      </c>
      <c r="C64" s="261">
        <v>2</v>
      </c>
      <c r="D64" s="261">
        <v>63</v>
      </c>
      <c r="E64" s="260"/>
      <c r="F64" s="260">
        <v>1</v>
      </c>
      <c r="G64" s="260"/>
      <c r="H64" s="260"/>
      <c r="I64" s="49">
        <f>IF(A64&lt;&gt;0,(B64-(B63-D63))/(A64-A63),"")</f>
        <v>22.8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308</v>
      </c>
      <c r="C65" s="261">
        <v>3</v>
      </c>
      <c r="D65" s="261">
        <v>63</v>
      </c>
      <c r="E65" s="260"/>
      <c r="F65" s="260">
        <v>1</v>
      </c>
      <c r="G65" s="260"/>
      <c r="H65" s="260"/>
      <c r="I65" s="49">
        <f>IF(A65&lt;&gt;0,(B65-(B64-D64))/(A65-A64),"")</f>
        <v>25.6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35</v>
      </c>
      <c r="B66" s="261">
        <v>376</v>
      </c>
      <c r="C66" s="261">
        <v>4</v>
      </c>
      <c r="D66" s="261">
        <v>63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26.2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40</v>
      </c>
      <c r="B67" s="261">
        <v>440</v>
      </c>
      <c r="C67" s="261">
        <v>5</v>
      </c>
      <c r="D67" s="261">
        <v>63</v>
      </c>
      <c r="E67" s="260">
        <v>1</v>
      </c>
      <c r="F67" s="260"/>
      <c r="G67" s="260"/>
      <c r="H67" s="260"/>
      <c r="I67" s="49">
        <f t="shared" si="2"/>
        <v>25.4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45</v>
      </c>
      <c r="B68" s="261">
        <v>498</v>
      </c>
      <c r="C68" s="261">
        <v>6</v>
      </c>
      <c r="D68" s="261">
        <v>63</v>
      </c>
      <c r="E68" s="260">
        <v>1</v>
      </c>
      <c r="F68" s="260"/>
      <c r="G68" s="260"/>
      <c r="H68" s="260"/>
      <c r="I68" s="49">
        <f t="shared" si="2"/>
        <v>24.2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50</v>
      </c>
      <c r="B69" s="261">
        <v>549</v>
      </c>
      <c r="C69" s="261">
        <v>7</v>
      </c>
      <c r="D69" s="261">
        <v>63</v>
      </c>
      <c r="E69" s="260">
        <v>1</v>
      </c>
      <c r="F69" s="260"/>
      <c r="G69" s="260"/>
      <c r="H69" s="260"/>
      <c r="I69" s="49">
        <f t="shared" si="2"/>
        <v>22.8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55</v>
      </c>
      <c r="B70" s="261">
        <v>594</v>
      </c>
      <c r="C70" s="261">
        <v>8</v>
      </c>
      <c r="D70" s="261">
        <v>60</v>
      </c>
      <c r="E70" s="260">
        <v>1</v>
      </c>
      <c r="F70" s="260"/>
      <c r="G70" s="260"/>
      <c r="H70" s="260"/>
      <c r="I70" s="49">
        <f t="shared" si="2"/>
        <v>21.6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60</v>
      </c>
      <c r="B71" s="261">
        <v>634</v>
      </c>
      <c r="C71" s="261">
        <v>9</v>
      </c>
      <c r="D71" s="261">
        <v>53</v>
      </c>
      <c r="E71" s="260">
        <v>1</v>
      </c>
      <c r="F71" s="260"/>
      <c r="G71" s="260"/>
      <c r="H71" s="260"/>
      <c r="I71" s="49">
        <f t="shared" si="2"/>
        <v>20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65</v>
      </c>
      <c r="B72" s="261">
        <v>674</v>
      </c>
      <c r="C72" s="261">
        <v>10</v>
      </c>
      <c r="D72" s="261">
        <v>48</v>
      </c>
      <c r="E72" s="260">
        <v>1</v>
      </c>
      <c r="F72" s="260"/>
      <c r="G72" s="260"/>
      <c r="H72" s="260"/>
      <c r="I72" s="49">
        <f t="shared" si="2"/>
        <v>18.600000000000001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70</v>
      </c>
      <c r="B73" s="261">
        <v>712</v>
      </c>
      <c r="C73" s="261">
        <v>11</v>
      </c>
      <c r="D73" s="261">
        <v>45</v>
      </c>
      <c r="E73" s="260">
        <v>1</v>
      </c>
      <c r="F73" s="260"/>
      <c r="G73" s="260"/>
      <c r="H73" s="260"/>
      <c r="I73" s="49">
        <f t="shared" si="2"/>
        <v>17.2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75</v>
      </c>
      <c r="B74" s="261">
        <v>746</v>
      </c>
      <c r="C74" s="261">
        <v>12</v>
      </c>
      <c r="D74" s="261">
        <v>43</v>
      </c>
      <c r="E74" s="260">
        <v>1</v>
      </c>
      <c r="F74" s="260"/>
      <c r="G74" s="260"/>
      <c r="H74" s="260"/>
      <c r="I74" s="49">
        <f t="shared" si="2"/>
        <v>15.8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80</v>
      </c>
      <c r="B75" s="261">
        <v>776</v>
      </c>
      <c r="C75" s="261">
        <v>13</v>
      </c>
      <c r="D75" s="261">
        <v>41</v>
      </c>
      <c r="E75" s="260">
        <v>1</v>
      </c>
      <c r="F75" s="260"/>
      <c r="G75" s="260"/>
      <c r="H75" s="260"/>
      <c r="I75" s="49">
        <f t="shared" si="2"/>
        <v>14.6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59">
        <v>10</v>
      </c>
      <c r="B88" s="259">
        <v>11</v>
      </c>
      <c r="C88" s="259"/>
      <c r="D88" s="259"/>
      <c r="E88" s="260"/>
      <c r="F88" s="260"/>
      <c r="G88" s="260"/>
      <c r="H88" s="260">
        <v>1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59">
        <v>15</v>
      </c>
      <c r="B89" s="259">
        <v>65</v>
      </c>
      <c r="C89" s="259">
        <v>1</v>
      </c>
      <c r="D89" s="259">
        <v>32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59">
        <v>20</v>
      </c>
      <c r="B90" s="259">
        <v>102</v>
      </c>
      <c r="C90" s="259">
        <v>2</v>
      </c>
      <c r="D90" s="259">
        <v>35</v>
      </c>
      <c r="E90" s="260"/>
      <c r="F90" s="260"/>
      <c r="G90" s="260"/>
      <c r="H90" s="260">
        <v>1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59">
        <v>25</v>
      </c>
      <c r="B91" s="259">
        <v>141</v>
      </c>
      <c r="C91" s="259">
        <v>3</v>
      </c>
      <c r="D91" s="259">
        <v>35</v>
      </c>
      <c r="E91" s="260"/>
      <c r="F91" s="260"/>
      <c r="G91" s="260"/>
      <c r="H91" s="260">
        <v>1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59">
        <v>30</v>
      </c>
      <c r="B92" s="259">
        <v>177</v>
      </c>
      <c r="C92" s="259">
        <v>4</v>
      </c>
      <c r="D92" s="259">
        <v>35</v>
      </c>
      <c r="E92" s="260"/>
      <c r="F92" s="260"/>
      <c r="G92" s="260"/>
      <c r="H92" s="260">
        <v>1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59">
        <v>35</v>
      </c>
      <c r="B93" s="259">
        <v>206</v>
      </c>
      <c r="C93" s="259">
        <v>5</v>
      </c>
      <c r="D93" s="259">
        <v>35</v>
      </c>
      <c r="E93" s="260">
        <v>1</v>
      </c>
      <c r="F93" s="260"/>
      <c r="G93" s="260"/>
      <c r="H93" s="260"/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59">
        <v>40</v>
      </c>
      <c r="B94" s="259">
        <v>228</v>
      </c>
      <c r="C94" s="259">
        <v>6</v>
      </c>
      <c r="D94" s="259">
        <v>35</v>
      </c>
      <c r="E94" s="260">
        <v>1</v>
      </c>
      <c r="F94" s="260"/>
      <c r="G94" s="260"/>
      <c r="H94" s="260"/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59">
        <v>45</v>
      </c>
      <c r="B95" s="259">
        <v>242</v>
      </c>
      <c r="C95" s="259">
        <v>7</v>
      </c>
      <c r="D95" s="259">
        <v>24</v>
      </c>
      <c r="E95" s="260">
        <v>1</v>
      </c>
      <c r="F95" s="260"/>
      <c r="G95" s="260"/>
      <c r="H95" s="260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59">
        <v>50</v>
      </c>
      <c r="B96" s="259">
        <v>261</v>
      </c>
      <c r="C96" s="259">
        <v>8</v>
      </c>
      <c r="D96" s="259">
        <v>19</v>
      </c>
      <c r="E96" s="260">
        <v>1</v>
      </c>
      <c r="F96" s="260"/>
      <c r="G96" s="260"/>
      <c r="H96" s="260"/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59">
        <v>55</v>
      </c>
      <c r="B97" s="261">
        <v>279</v>
      </c>
      <c r="C97" s="259">
        <v>9</v>
      </c>
      <c r="D97" s="261">
        <v>16</v>
      </c>
      <c r="E97" s="260">
        <v>1</v>
      </c>
      <c r="F97" s="260"/>
      <c r="G97" s="260"/>
      <c r="H97" s="260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59">
        <v>60</v>
      </c>
      <c r="B98" s="262">
        <v>294</v>
      </c>
      <c r="C98" s="259">
        <v>10</v>
      </c>
      <c r="D98" s="262">
        <v>14</v>
      </c>
      <c r="E98" s="260">
        <v>1</v>
      </c>
      <c r="F98" s="260"/>
      <c r="G98" s="260"/>
      <c r="H98" s="260"/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59">
        <v>65</v>
      </c>
      <c r="B99" s="261">
        <v>306</v>
      </c>
      <c r="C99" s="259">
        <v>11</v>
      </c>
      <c r="D99" s="261">
        <v>13</v>
      </c>
      <c r="E99" s="260">
        <v>1</v>
      </c>
      <c r="F99" s="260"/>
      <c r="G99" s="260"/>
      <c r="H99" s="260"/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59">
        <v>70</v>
      </c>
      <c r="B100" s="261">
        <v>316</v>
      </c>
      <c r="C100" s="259">
        <v>12</v>
      </c>
      <c r="D100" s="261">
        <v>13</v>
      </c>
      <c r="E100" s="260">
        <v>1</v>
      </c>
      <c r="F100" s="260"/>
      <c r="G100" s="260"/>
      <c r="H100" s="260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59">
        <v>75</v>
      </c>
      <c r="B101" s="261">
        <v>324</v>
      </c>
      <c r="C101" s="259">
        <v>13</v>
      </c>
      <c r="D101" s="261">
        <v>12</v>
      </c>
      <c r="E101" s="260">
        <v>1</v>
      </c>
      <c r="F101" s="260"/>
      <c r="G101" s="260"/>
      <c r="H101" s="260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80</v>
      </c>
      <c r="B102" s="261">
        <v>330</v>
      </c>
      <c r="C102" s="261">
        <v>14</v>
      </c>
      <c r="D102" s="261">
        <v>11</v>
      </c>
      <c r="E102" s="260">
        <v>1</v>
      </c>
      <c r="F102" s="260"/>
      <c r="G102" s="260"/>
      <c r="H102" s="260"/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Sapin de Nordmann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15</v>
      </c>
      <c r="B114" s="261">
        <v>28</v>
      </c>
      <c r="C114" s="261"/>
      <c r="D114" s="261"/>
      <c r="E114" s="260"/>
      <c r="F114" s="260"/>
      <c r="G114" s="260"/>
      <c r="H114" s="260"/>
      <c r="I114" s="53">
        <f>IFERROR(B114/A114,"")</f>
        <v>1.8666666666666667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20</v>
      </c>
      <c r="B115" s="261">
        <f>125+3</f>
        <v>128</v>
      </c>
      <c r="C115" s="261">
        <v>1</v>
      </c>
      <c r="D115" s="261">
        <v>3</v>
      </c>
      <c r="E115" s="260"/>
      <c r="F115" s="260"/>
      <c r="G115" s="260">
        <v>1</v>
      </c>
      <c r="H115" s="260"/>
      <c r="I115" s="53">
        <f t="shared" ref="I115:I133" si="4">IF(A115&lt;&gt;0,(B115-(B114-D114))/(A115-A114),"")</f>
        <v>20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25</v>
      </c>
      <c r="B116" s="261">
        <f>182+63</f>
        <v>245</v>
      </c>
      <c r="C116" s="261">
        <v>2</v>
      </c>
      <c r="D116" s="261">
        <v>63</v>
      </c>
      <c r="E116" s="260"/>
      <c r="F116" s="260">
        <v>1</v>
      </c>
      <c r="G116" s="260"/>
      <c r="H116" s="260"/>
      <c r="I116" s="53">
        <f t="shared" si="4"/>
        <v>24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30</v>
      </c>
      <c r="B117" s="261">
        <f>246+63</f>
        <v>309</v>
      </c>
      <c r="C117" s="261">
        <v>3</v>
      </c>
      <c r="D117" s="261">
        <v>63</v>
      </c>
      <c r="E117" s="260"/>
      <c r="F117" s="260">
        <v>1</v>
      </c>
      <c r="G117" s="260"/>
      <c r="H117" s="260"/>
      <c r="I117" s="53">
        <f t="shared" si="4"/>
        <v>25.4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35</v>
      </c>
      <c r="B118" s="261">
        <f>311+63</f>
        <v>374</v>
      </c>
      <c r="C118" s="261">
        <v>4</v>
      </c>
      <c r="D118" s="261">
        <v>63</v>
      </c>
      <c r="E118" s="260">
        <v>1</v>
      </c>
      <c r="F118" s="260"/>
      <c r="G118" s="260"/>
      <c r="H118" s="260"/>
      <c r="I118" s="53">
        <f t="shared" si="4"/>
        <v>25.6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40</v>
      </c>
      <c r="B119" s="261">
        <f>373+63</f>
        <v>436</v>
      </c>
      <c r="C119" s="261">
        <v>5</v>
      </c>
      <c r="D119" s="261">
        <v>63</v>
      </c>
      <c r="E119" s="260">
        <v>1</v>
      </c>
      <c r="F119" s="260"/>
      <c r="G119" s="260"/>
      <c r="H119" s="260"/>
      <c r="I119" s="53">
        <f t="shared" si="4"/>
        <v>25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45</v>
      </c>
      <c r="B120" s="261">
        <f>431+63</f>
        <v>494</v>
      </c>
      <c r="C120" s="261">
        <v>6</v>
      </c>
      <c r="D120" s="261">
        <v>63</v>
      </c>
      <c r="E120" s="260">
        <v>1</v>
      </c>
      <c r="F120" s="260"/>
      <c r="G120" s="260"/>
      <c r="H120" s="260"/>
      <c r="I120" s="53">
        <f t="shared" si="4"/>
        <v>24.2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50</v>
      </c>
      <c r="B121" s="261">
        <f>482+63</f>
        <v>545</v>
      </c>
      <c r="C121" s="261">
        <v>7</v>
      </c>
      <c r="D121" s="261">
        <v>63</v>
      </c>
      <c r="E121" s="260">
        <v>1</v>
      </c>
      <c r="F121" s="260"/>
      <c r="G121" s="260"/>
      <c r="H121" s="260"/>
      <c r="I121" s="53">
        <f t="shared" si="4"/>
        <v>22.8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55</v>
      </c>
      <c r="B122" s="261">
        <f>527+63</f>
        <v>590</v>
      </c>
      <c r="C122" s="261">
        <v>8</v>
      </c>
      <c r="D122" s="261">
        <v>63</v>
      </c>
      <c r="E122" s="260">
        <v>1</v>
      </c>
      <c r="F122" s="260"/>
      <c r="G122" s="260"/>
      <c r="H122" s="260"/>
      <c r="I122" s="53">
        <f t="shared" si="4"/>
        <v>21.6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60</v>
      </c>
      <c r="B123" s="261">
        <f>575+54</f>
        <v>629</v>
      </c>
      <c r="C123" s="261">
        <v>9</v>
      </c>
      <c r="D123" s="261">
        <v>54</v>
      </c>
      <c r="E123" s="260">
        <v>1</v>
      </c>
      <c r="F123" s="260"/>
      <c r="G123" s="260"/>
      <c r="H123" s="260"/>
      <c r="I123" s="53">
        <f t="shared" si="4"/>
        <v>20.399999999999999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65</v>
      </c>
      <c r="B124" s="261">
        <f>621+50</f>
        <v>671</v>
      </c>
      <c r="C124" s="261">
        <v>10</v>
      </c>
      <c r="D124" s="261">
        <v>50</v>
      </c>
      <c r="E124" s="260">
        <v>1</v>
      </c>
      <c r="F124" s="260"/>
      <c r="G124" s="260"/>
      <c r="H124" s="260"/>
      <c r="I124" s="53">
        <f t="shared" si="4"/>
        <v>19.2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70</v>
      </c>
      <c r="B125" s="261">
        <f>663+48</f>
        <v>711</v>
      </c>
      <c r="C125" s="261">
        <v>11</v>
      </c>
      <c r="D125" s="261">
        <v>48</v>
      </c>
      <c r="E125" s="260">
        <v>1</v>
      </c>
      <c r="F125" s="260"/>
      <c r="G125" s="260"/>
      <c r="H125" s="260"/>
      <c r="I125" s="53">
        <f t="shared" si="4"/>
        <v>18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75</v>
      </c>
      <c r="B126" s="261">
        <f>700+47</f>
        <v>747</v>
      </c>
      <c r="C126" s="261">
        <v>12</v>
      </c>
      <c r="D126" s="261">
        <v>47</v>
      </c>
      <c r="E126" s="260">
        <v>1</v>
      </c>
      <c r="F126" s="260"/>
      <c r="G126" s="260"/>
      <c r="H126" s="260"/>
      <c r="I126" s="53">
        <f t="shared" si="4"/>
        <v>16.8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80</v>
      </c>
      <c r="B127" s="261">
        <f>733+46</f>
        <v>779</v>
      </c>
      <c r="C127" s="261">
        <v>13</v>
      </c>
      <c r="D127" s="261">
        <v>46</v>
      </c>
      <c r="E127" s="260">
        <v>1</v>
      </c>
      <c r="F127" s="260"/>
      <c r="G127" s="260"/>
      <c r="H127" s="260"/>
      <c r="I127" s="53">
        <f t="shared" si="4"/>
        <v>15.8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Merisier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314">
        <v>25</v>
      </c>
      <c r="B140" s="314">
        <v>89</v>
      </c>
      <c r="C140" s="314">
        <v>1</v>
      </c>
      <c r="D140" s="314">
        <v>28</v>
      </c>
      <c r="E140" s="313"/>
      <c r="F140" s="313"/>
      <c r="G140" s="313"/>
      <c r="H140" s="313">
        <v>1</v>
      </c>
      <c r="I140" s="57">
        <f>IFERROR(B140/A140,"")</f>
        <v>3.56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314">
        <v>30</v>
      </c>
      <c r="B141" s="314">
        <v>132</v>
      </c>
      <c r="C141" s="314">
        <v>2</v>
      </c>
      <c r="D141" s="314">
        <v>24</v>
      </c>
      <c r="E141" s="313"/>
      <c r="F141" s="313"/>
      <c r="G141" s="313"/>
      <c r="H141" s="313">
        <v>1</v>
      </c>
      <c r="I141" s="57">
        <f t="shared" ref="I141:I159" si="5">IF(A141&lt;&gt;0,(B141-(B140-D140))/(A141-A140),"")</f>
        <v>14.2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314">
        <v>35</v>
      </c>
      <c r="B142" s="314">
        <v>173</v>
      </c>
      <c r="C142" s="314">
        <v>3</v>
      </c>
      <c r="D142" s="314">
        <v>27</v>
      </c>
      <c r="E142" s="313">
        <v>1</v>
      </c>
      <c r="F142" s="313"/>
      <c r="G142" s="313"/>
      <c r="H142" s="313"/>
      <c r="I142" s="57">
        <f t="shared" si="5"/>
        <v>13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314">
        <v>40</v>
      </c>
      <c r="B143" s="314">
        <v>208</v>
      </c>
      <c r="C143" s="314">
        <v>4</v>
      </c>
      <c r="D143" s="314">
        <v>32</v>
      </c>
      <c r="E143" s="313">
        <v>1</v>
      </c>
      <c r="F143" s="313"/>
      <c r="G143" s="313"/>
      <c r="H143" s="313"/>
      <c r="I143" s="57">
        <f t="shared" si="5"/>
        <v>12.4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314">
        <v>45</v>
      </c>
      <c r="B144" s="314">
        <v>233</v>
      </c>
      <c r="C144" s="314">
        <v>5</v>
      </c>
      <c r="D144" s="314">
        <v>31</v>
      </c>
      <c r="E144" s="313">
        <v>1</v>
      </c>
      <c r="F144" s="313"/>
      <c r="G144" s="313"/>
      <c r="H144" s="313"/>
      <c r="I144" s="57">
        <f t="shared" si="5"/>
        <v>11.4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314">
        <v>50</v>
      </c>
      <c r="B145" s="314">
        <v>253</v>
      </c>
      <c r="C145" s="314">
        <v>6</v>
      </c>
      <c r="D145" s="314">
        <v>30</v>
      </c>
      <c r="E145" s="313">
        <v>1</v>
      </c>
      <c r="F145" s="313"/>
      <c r="G145" s="313"/>
      <c r="H145" s="313"/>
      <c r="I145" s="57">
        <f t="shared" si="5"/>
        <v>10.199999999999999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314">
        <v>55</v>
      </c>
      <c r="B146" s="314">
        <v>264</v>
      </c>
      <c r="C146" s="314">
        <v>7</v>
      </c>
      <c r="D146" s="314">
        <v>30</v>
      </c>
      <c r="E146" s="313">
        <v>1</v>
      </c>
      <c r="F146" s="313"/>
      <c r="G146" s="313"/>
      <c r="H146" s="313"/>
      <c r="I146" s="57">
        <f t="shared" si="5"/>
        <v>8.1999999999999993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314">
        <v>60</v>
      </c>
      <c r="B147" s="314">
        <v>271</v>
      </c>
      <c r="C147" s="314">
        <v>8</v>
      </c>
      <c r="D147" s="314">
        <v>27</v>
      </c>
      <c r="E147" s="313">
        <v>1</v>
      </c>
      <c r="F147" s="313"/>
      <c r="G147" s="313"/>
      <c r="H147" s="313"/>
      <c r="I147" s="57">
        <f>IF(A147&lt;&gt;0,(B147-(B146-D146))/(A147-A146),"")</f>
        <v>7.4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314">
        <v>65</v>
      </c>
      <c r="B148" s="314">
        <v>276</v>
      </c>
      <c r="C148" s="314">
        <v>9</v>
      </c>
      <c r="D148" s="314">
        <v>26</v>
      </c>
      <c r="E148" s="313">
        <v>1</v>
      </c>
      <c r="F148" s="313"/>
      <c r="G148" s="313"/>
      <c r="H148" s="313"/>
      <c r="I148" s="57">
        <f t="shared" si="5"/>
        <v>6.4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314">
        <v>70</v>
      </c>
      <c r="B149" s="314">
        <v>280</v>
      </c>
      <c r="C149" s="314">
        <v>10</v>
      </c>
      <c r="D149" s="314">
        <v>20</v>
      </c>
      <c r="E149" s="313">
        <v>1</v>
      </c>
      <c r="F149" s="313"/>
      <c r="G149" s="313"/>
      <c r="H149" s="313"/>
      <c r="I149" s="57">
        <f t="shared" si="5"/>
        <v>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314">
        <v>75</v>
      </c>
      <c r="B150" s="314">
        <v>286</v>
      </c>
      <c r="C150" s="314"/>
      <c r="D150" s="314"/>
      <c r="E150" s="313"/>
      <c r="F150" s="313"/>
      <c r="G150" s="313"/>
      <c r="H150" s="313"/>
      <c r="I150" s="57">
        <f t="shared" si="5"/>
        <v>5.2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261"/>
      <c r="B151" s="261"/>
      <c r="C151" s="261"/>
      <c r="D151" s="261"/>
      <c r="E151" s="260"/>
      <c r="F151" s="260"/>
      <c r="G151" s="260"/>
      <c r="H151" s="260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261"/>
      <c r="B152" s="261"/>
      <c r="C152" s="261"/>
      <c r="D152" s="261"/>
      <c r="E152" s="260"/>
      <c r="F152" s="260"/>
      <c r="G152" s="260"/>
      <c r="H152" s="260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="115" zoomScaleNormal="115" workbookViewId="0">
      <selection activeCell="C27" sqref="C2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Mélèze d'Europe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Cèdre de l'Atlas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Erable sycomore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Sapin de Nordmann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Merisier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269.77739619445515</v>
      </c>
      <c r="T3" s="59">
        <f>IF('Données projet'!E9&gt;30,$R$33-$H$33,LOOKUP('Données projet'!$E$9,$A$3:$A$203,R3:R203)-LOOKUP('Données projet'!$E$9,$A$3:$A$203,$H$3:$H$203))</f>
        <v>347.56964743629885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342.49944586217674</v>
      </c>
      <c r="AO3" s="59">
        <f>IF('Données projet'!E10&gt;30,$AM$33-$H$33,LOOKUP('Données projet'!$E$10,$A$3:$A$203,AM3:AM203)-LOOKUP('Données projet'!$E$10,$A$3:$A$203,$H$3:$H$203))</f>
        <v>282.29766600872563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279.49721661620544</v>
      </c>
      <c r="BJ3" s="59">
        <f>IF('Données projet'!E11&gt;30,$BH$33-$H$33,LOOKUP('Données projet'!$E$11,$A$3:$A$203,BH3:BH203)-LOOKUP('Données projet'!$E$11,$A$3:$A$203,$H$3:$H$203))</f>
        <v>275.18739333988754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349.65790906807746</v>
      </c>
      <c r="CE3" s="59">
        <f>IF('Données projet'!E12&gt;30,$CC$33-$H$33,LOOKUP('Données projet'!$E$12,$A$3:$A$203,CC3:CC203)-LOOKUP('Données projet'!$E$12,$A$3:$A$203,$H$3:$H$203))</f>
        <v>291.88925884278888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215.84581110302656</v>
      </c>
      <c r="CZ3" s="59">
        <f>IF('Données projet'!E13&gt;30,$CX$33-$H$33,LOOKUP('Données projet'!$E$13,$A$3:$A$203,CX3:CX203)-LOOKUP('Données projet'!$E$13,$A$3:$A$203,$H$3:$H$203))</f>
        <v>193.88588526156104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8.5833333333333339</v>
      </c>
      <c r="N4" s="13">
        <f>IF('Données projet'!$A$36&gt;35,N3+M4-V3,IF(A4&lt;'Données projet'!$A$36,$K$205^A4,IF(A4='Données projet'!$A$36,'Données projet'!$B$36,N3+M4-V3)))</f>
        <v>1.4714192565876152</v>
      </c>
      <c r="O4" s="13">
        <f>N4*VLOOKUP('Données projet'!$B$9,Paramètres!$A$1:$I$89,3,0)*VLOOKUP('Données projet'!$B$9,Paramètres!$A$1:$I$89,5,0)</f>
        <v>0.91816561611067193</v>
      </c>
      <c r="P4" s="13">
        <f>EXP(-1.0587+0.8836*LN(O4)+0.284)</f>
        <v>0.42735528842602116</v>
      </c>
      <c r="Q4" s="20">
        <f t="shared" ref="Q4:Q34" si="2">(O4+P4)*0.475*44/12</f>
        <v>2.3434489087347408</v>
      </c>
      <c r="R4" s="59">
        <f t="shared" si="0"/>
        <v>295.67678224206804</v>
      </c>
      <c r="S4" s="59">
        <f ca="1">AVERAGE(OFFSET($R$3,0,0,'Données projet'!$E$9+1,1))-AVERAGE(OFFSET($H$3,0,0,'Données projet'!$E$9+1,1))</f>
        <v>269.77739619445515</v>
      </c>
      <c r="T4" s="59">
        <f>$T$3</f>
        <v>347.56964743629885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3.0666666666666669</v>
      </c>
      <c r="AI4" s="13">
        <f>IF('Données projet'!$A$62&gt;35,AI3+AH4-AQ3,IF(A4&lt;'Données projet'!$A$62,$AF$205^A4,IF(A4='Données projet'!$A$62,'Données projet'!$B$62,AI3+AH4-AQ3)))</f>
        <v>1.2907749310619425</v>
      </c>
      <c r="AJ4" s="13">
        <f>AI4*VLOOKUP('Données projet'!$B$10,Paramètres!$A$1:$I$89,3,0)*VLOOKUP('Données projet'!$B$10,Paramètres!$A$1:$I$89,5,0)</f>
        <v>0.60408266773698904</v>
      </c>
      <c r="AK4" s="13">
        <f>EXP(-1.0587+0.8836*LN(AJ4)+0.284)</f>
        <v>0.29520847547579698</v>
      </c>
      <c r="AL4" s="20">
        <f t="shared" ref="AL4:AL67" si="4">(AJ4+AK4)*0.475*44/12</f>
        <v>1.5662654077622691</v>
      </c>
      <c r="AM4" s="59">
        <f t="shared" ref="AM4:AM67" si="5">AL4+(AD4+AE4)*44/12</f>
        <v>294.89959874109559</v>
      </c>
      <c r="AN4" s="59">
        <f ca="1">AVERAGE(OFFSET($AM$3,0,0,'Données projet'!$E$10+1,1))-AVERAGE(OFFSET($H$3,0,0,'Données projet'!$E$10+1,1))</f>
        <v>342.49944586217674</v>
      </c>
      <c r="AO4" s="59">
        <f>$AO$3</f>
        <v>282.29766600872563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295.90506058192409</v>
      </c>
      <c r="BI4" s="59">
        <f ca="1">AVERAGE(OFFSET($BH$3,0,0,'Données projet'!$E$11+1,1))-AVERAGE(OFFSET($H$3,0,0,'Données projet'!$E$11+1,1))</f>
        <v>279.49721661620544</v>
      </c>
      <c r="BJ4" s="59">
        <f>$BJ$3</f>
        <v>275.18739333988754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1.8666666666666667</v>
      </c>
      <c r="BY4" s="12">
        <f>IF('Données projet'!$A$114&gt;35,BY3+BX4-CG3,IF(A4&lt;'Données projet'!$A$114,$BV$205^A4,IF(A4='Données projet'!$A$114,'Données projet'!$B$114,BY3+BX4-CG3)))</f>
        <v>1.2487548905696053</v>
      </c>
      <c r="BZ4" s="13">
        <f>BY4*VLOOKUP('Données projet'!$B$12,Paramètres!$A$1:$I$89,3,0)*VLOOKUP('Données projet'!$B$12,Paramètres!$A$1:$I$89,5,0)</f>
        <v>0.60065110236398012</v>
      </c>
      <c r="CA4" s="13">
        <f>EXP(-1.0587+0.8836*LN(BZ4)+0.284)</f>
        <v>0.29372621579825597</v>
      </c>
      <c r="CB4" s="20">
        <f t="shared" ref="CB4:CB67" si="10">(BZ4+CA4)*0.475*44/12</f>
        <v>1.5577071624658945</v>
      </c>
      <c r="CC4" s="59">
        <f t="shared" ref="CC4:CC67" si="11">CB4+(BT4+BU4)*44/12</f>
        <v>294.89104049579919</v>
      </c>
      <c r="CD4" s="59">
        <f ca="1">AVERAGE(OFFSET($CC$3,0,0,'Données projet'!$E$12+1,1))-AVERAGE(OFFSET($H$3,0,0,'Données projet'!$E$12+1,1))</f>
        <v>349.65790906807746</v>
      </c>
      <c r="CE4" s="59">
        <f>$CE$3</f>
        <v>291.88925884278888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3.56</v>
      </c>
      <c r="CT4" s="12">
        <f>IF('Données projet'!$A$140&gt;35,CT3+CS4-DB3,IF(A4&lt;'Données projet'!$A$140,$CQ$205^A4,IF(A4='Données projet'!$A$140,'Données projet'!$B$140,CT3+CS4-DB3)))</f>
        <v>1.1966732973638288</v>
      </c>
      <c r="CU4" s="17">
        <f>CT4*VLOOKUP('Données projet'!$B$13,Paramètres!$A$1:$I$89,3,0)*VLOOKUP('Données projet'!$B$13,Paramètres!$A$1:$I$89,5,0)</f>
        <v>0.93340517194378647</v>
      </c>
      <c r="CV4" s="13">
        <f>EXP(-1.0587+0.8836*LN(CU4)+0.284)</f>
        <v>0.43361679609549247</v>
      </c>
      <c r="CW4" s="20">
        <f t="shared" ref="CW4:CW67" si="13">(CU4+CV4)*0.475*44/12</f>
        <v>2.3808965943350775</v>
      </c>
      <c r="CX4" s="59">
        <f t="shared" ref="CX4:CX67" si="14">CW4+(CO4+CP4)*44/12</f>
        <v>295.71422992766838</v>
      </c>
      <c r="CY4" s="59">
        <f ca="1">AVERAGE(OFFSET($CX$3,0,0,'Données projet'!$E$13+1,1))-AVERAGE(OFFSET($H$3,0,0,'Données projet'!$E$13+1,1))</f>
        <v>215.84581110302656</v>
      </c>
      <c r="CZ4" s="59">
        <f>$CZ$3</f>
        <v>193.88588526156104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8.5833333333333339</v>
      </c>
      <c r="N5" s="13">
        <f>IF('Données projet'!$A$36&gt;35,N4+M5-V4,IF(A5&lt;'Données projet'!$A$36,$K$205^A5,IF(A5='Données projet'!$A$36,'Données projet'!$B$36,N4+M5-V4)))</f>
        <v>2.1650746286568503</v>
      </c>
      <c r="O5" s="13">
        <f>N5*VLOOKUP('Données projet'!$B$9,Paramètres!$A$1:$I$89,3,0)*VLOOKUP('Données projet'!$B$9,Paramètres!$A$1:$I$89,5,0)</f>
        <v>1.3510065682818746</v>
      </c>
      <c r="P5" s="13">
        <f t="shared" ref="P5:P68" si="33">EXP(-1.0587+0.8836*LN(O5)+0.284)</f>
        <v>0.60117511749976371</v>
      </c>
      <c r="Q5" s="20">
        <f t="shared" si="2"/>
        <v>3.4000497694030201</v>
      </c>
      <c r="R5" s="59">
        <f t="shared" si="0"/>
        <v>296.73338310273635</v>
      </c>
      <c r="S5" s="59">
        <f ca="1">AVERAGE(OFFSET($R$3,0,0,'Données projet'!$E$9+1,1))-AVERAGE(OFFSET($H$3,0,0,'Données projet'!$E$9+1,1))</f>
        <v>269.77739619445515</v>
      </c>
      <c r="T5" s="59">
        <f t="shared" ref="T5:T68" si="34">$T$3</f>
        <v>347.56964743629885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3.0666666666666669</v>
      </c>
      <c r="AI5" s="13">
        <f>IF('Données projet'!$A$62&gt;35,AI4+AH5-AQ4,IF(A5&lt;'Données projet'!$A$62,$AF$205^A5,IF(A5='Données projet'!$A$62,'Données projet'!$B$62,AI4+AH5-AQ4)))</f>
        <v>1.6660999226579625</v>
      </c>
      <c r="AJ5" s="13">
        <f>AI5*VLOOKUP('Données projet'!$B$10,Paramètres!$A$1:$I$89,3,0)*VLOOKUP('Données projet'!$B$10,Paramètres!$A$1:$I$89,5,0)</f>
        <v>0.77973476380392637</v>
      </c>
      <c r="AK5" s="13">
        <f t="shared" ref="AK5:AK68" si="35">EXP(-1.0587+0.8836*LN(AJ5)+0.284)</f>
        <v>0.36989319647940833</v>
      </c>
      <c r="AL5" s="20">
        <f t="shared" si="4"/>
        <v>2.0022686974934745</v>
      </c>
      <c r="AM5" s="59">
        <f t="shared" si="5"/>
        <v>295.33560203082681</v>
      </c>
      <c r="AN5" s="59">
        <f ca="1">AVERAGE(OFFSET($AM$3,0,0,'Données projet'!$E$10+1,1))-AVERAGE(OFFSET($H$3,0,0,'Données projet'!$E$10+1,1))</f>
        <v>342.49944586217674</v>
      </c>
      <c r="AO5" s="59">
        <f t="shared" ref="AO5:AO68" si="36">$AO$3</f>
        <v>282.29766600872563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296.57359413526444</v>
      </c>
      <c r="BI5" s="59">
        <f ca="1">AVERAGE(OFFSET($BH$3,0,0,'Données projet'!$E$11+1,1))-AVERAGE(OFFSET($H$3,0,0,'Données projet'!$E$11+1,1))</f>
        <v>279.49721661620544</v>
      </c>
      <c r="BJ5" s="59">
        <f t="shared" ref="BJ5:BJ68" si="38">$BJ$3</f>
        <v>275.18739333988754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1.8666666666666667</v>
      </c>
      <c r="BY5" s="12">
        <f>IF('Données projet'!$A$114&gt;35,BY4+BX5-CG4,IF(A5&lt;'Données projet'!$A$114,$BV$205^A5,IF(A5='Données projet'!$A$114,'Données projet'!$B$114,BY4+BX5-CG4)))</f>
        <v>1.5593887767215069</v>
      </c>
      <c r="BZ5" s="13">
        <f>BY5*VLOOKUP('Données projet'!$B$12,Paramètres!$A$1:$I$89,3,0)*VLOOKUP('Données projet'!$B$12,Paramètres!$A$1:$I$89,5,0)</f>
        <v>0.75006600160304482</v>
      </c>
      <c r="CA5" s="13">
        <f t="shared" ref="CA5:CA68" si="39">EXP(-1.0587+0.8836*LN(BZ5)+0.284)</f>
        <v>0.35742914798260211</v>
      </c>
      <c r="CB5" s="20">
        <f t="shared" si="10"/>
        <v>1.9288873855283348</v>
      </c>
      <c r="CC5" s="59">
        <f t="shared" si="11"/>
        <v>295.26222071886167</v>
      </c>
      <c r="CD5" s="59">
        <f ca="1">AVERAGE(OFFSET($CC$3,0,0,'Données projet'!$E$12+1,1))-AVERAGE(OFFSET($H$3,0,0,'Données projet'!$E$12+1,1))</f>
        <v>349.65790906807746</v>
      </c>
      <c r="CE5" s="59">
        <f t="shared" ref="CE5:CE68" si="40">$CE$3</f>
        <v>291.88925884278888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3.56</v>
      </c>
      <c r="CT5" s="12">
        <f>IF('Données projet'!$A$140&gt;35,CT4+CS5-DB4,IF(A5&lt;'Données projet'!$A$140,$CQ$205^A5,IF(A5='Données projet'!$A$140,'Données projet'!$B$140,CT4+CS5-DB4)))</f>
        <v>1.4320269806236186</v>
      </c>
      <c r="CU5" s="17">
        <f>CT5*VLOOKUP('Données projet'!$B$13,Paramètres!$A$1:$I$89,3,0)*VLOOKUP('Données projet'!$B$13,Paramètres!$A$1:$I$89,5,0)</f>
        <v>1.1169810448864226</v>
      </c>
      <c r="CV5" s="13">
        <f t="shared" ref="CV5:CV68" si="41">EXP(-1.0587+0.8836*LN(CU5)+0.284)</f>
        <v>0.50816568684575236</v>
      </c>
      <c r="CW5" s="20">
        <f t="shared" si="13"/>
        <v>2.8304638911002047</v>
      </c>
      <c r="CX5" s="59">
        <f t="shared" si="14"/>
        <v>296.16379722443349</v>
      </c>
      <c r="CY5" s="59">
        <f ca="1">AVERAGE(OFFSET($CX$3,0,0,'Données projet'!$E$13+1,1))-AVERAGE(OFFSET($H$3,0,0,'Données projet'!$E$13+1,1))</f>
        <v>215.84581110302656</v>
      </c>
      <c r="CZ5" s="59">
        <f t="shared" ref="CZ5:CZ68" si="42">$CZ$3</f>
        <v>193.88588526156104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8.5833333333333339</v>
      </c>
      <c r="N6" s="13">
        <f>IF('Données projet'!$A$36&gt;35,N5+M6-V5,IF(A6&lt;'Données projet'!$A$36,$K$205^A6,IF(A6='Données projet'!$A$36,'Données projet'!$B$36,N5+M6-V5)))</f>
        <v>3.1857325005549697</v>
      </c>
      <c r="O6" s="13">
        <f>N6*VLOOKUP('Données projet'!$B$9,Paramètres!$A$1:$I$89,3,0)*VLOOKUP('Données projet'!$B$9,Paramètres!$A$1:$I$89,5,0)</f>
        <v>1.9878970803463012</v>
      </c>
      <c r="P6" s="13">
        <f t="shared" si="33"/>
        <v>0.84569334155652565</v>
      </c>
      <c r="Q6" s="20">
        <f t="shared" si="2"/>
        <v>4.93516998481409</v>
      </c>
      <c r="R6" s="59">
        <f t="shared" si="0"/>
        <v>298.2685033181474</v>
      </c>
      <c r="S6" s="59">
        <f ca="1">AVERAGE(OFFSET($R$3,0,0,'Données projet'!$E$9+1,1))-AVERAGE(OFFSET($H$3,0,0,'Données projet'!$E$9+1,1))</f>
        <v>269.77739619445515</v>
      </c>
      <c r="T6" s="59">
        <f t="shared" si="34"/>
        <v>347.56964743629885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3.0666666666666669</v>
      </c>
      <c r="AI6" s="13">
        <f>IF('Données projet'!$A$62&gt;35,AI5+AH6-AQ5,IF(A6&lt;'Données projet'!$A$62,$AF$205^A6,IF(A6='Données projet'!$A$62,'Données projet'!$B$62,AI5+AH6-AQ5)))</f>
        <v>2.1505600128111393</v>
      </c>
      <c r="AJ6" s="13">
        <f>AI6*VLOOKUP('Données projet'!$B$10,Paramètres!$A$1:$I$89,3,0)*VLOOKUP('Données projet'!$B$10,Paramètres!$A$1:$I$89,5,0)</f>
        <v>1.0064620859956133</v>
      </c>
      <c r="AK6" s="13">
        <f t="shared" si="35"/>
        <v>0.46347238703507881</v>
      </c>
      <c r="AL6" s="20">
        <f t="shared" si="4"/>
        <v>2.5601358738617885</v>
      </c>
      <c r="AM6" s="59">
        <f t="shared" si="5"/>
        <v>295.8934692071951</v>
      </c>
      <c r="AN6" s="59">
        <f ca="1">AVERAGE(OFFSET($AM$3,0,0,'Données projet'!$E$10+1,1))-AVERAGE(OFFSET($H$3,0,0,'Données projet'!$E$10+1,1))</f>
        <v>342.49944586217674</v>
      </c>
      <c r="AO6" s="59">
        <f t="shared" si="36"/>
        <v>282.29766600872563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297.41659576138659</v>
      </c>
      <c r="BI6" s="59">
        <f ca="1">AVERAGE(OFFSET($BH$3,0,0,'Données projet'!$E$11+1,1))-AVERAGE(OFFSET($H$3,0,0,'Données projet'!$E$11+1,1))</f>
        <v>279.49721661620544</v>
      </c>
      <c r="BJ6" s="59">
        <f t="shared" si="38"/>
        <v>275.18739333988754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1.8666666666666667</v>
      </c>
      <c r="BY6" s="12">
        <f>IF('Données projet'!$A$114&gt;35,BY5+BX6-CG5,IF(A6&lt;'Données projet'!$A$114,$BV$205^A6,IF(A6='Données projet'!$A$114,'Données projet'!$B$114,BY5+BX6-CG5)))</f>
        <v>1.9472943612303359</v>
      </c>
      <c r="BZ6" s="13">
        <f>BY6*VLOOKUP('Données projet'!$B$12,Paramètres!$A$1:$I$89,3,0)*VLOOKUP('Données projet'!$B$12,Paramètres!$A$1:$I$89,5,0)</f>
        <v>0.93664858775179172</v>
      </c>
      <c r="CA6" s="13">
        <f t="shared" si="39"/>
        <v>0.43494788328773831</v>
      </c>
      <c r="CB6" s="20">
        <f t="shared" si="10"/>
        <v>2.3888638537271816</v>
      </c>
      <c r="CC6" s="59">
        <f t="shared" si="11"/>
        <v>295.72219718706049</v>
      </c>
      <c r="CD6" s="59">
        <f ca="1">AVERAGE(OFFSET($CC$3,0,0,'Données projet'!$E$12+1,1))-AVERAGE(OFFSET($H$3,0,0,'Données projet'!$E$12+1,1))</f>
        <v>349.65790906807746</v>
      </c>
      <c r="CE6" s="59">
        <f t="shared" si="40"/>
        <v>291.88925884278888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3.56</v>
      </c>
      <c r="CT6" s="12">
        <f>IF('Données projet'!$A$140&gt;35,CT5+CS6-DB5,IF(A6&lt;'Données projet'!$A$140,$CQ$205^A6,IF(A6='Données projet'!$A$140,'Données projet'!$B$140,CT5+CS6-DB5)))</f>
        <v>1.7136684488168334</v>
      </c>
      <c r="CU6" s="17">
        <f>CT6*VLOOKUP('Données projet'!$B$13,Paramètres!$A$1:$I$89,3,0)*VLOOKUP('Données projet'!$B$13,Paramètres!$A$1:$I$89,5,0)</f>
        <v>1.33666139007713</v>
      </c>
      <c r="CV6" s="13">
        <f t="shared" si="41"/>
        <v>0.59553127926010163</v>
      </c>
      <c r="CW6" s="20">
        <f t="shared" si="13"/>
        <v>3.3652355657623452</v>
      </c>
      <c r="CX6" s="59">
        <f t="shared" si="14"/>
        <v>296.69856889909568</v>
      </c>
      <c r="CY6" s="59">
        <f ca="1">AVERAGE(OFFSET($CX$3,0,0,'Données projet'!$E$13+1,1))-AVERAGE(OFFSET($H$3,0,0,'Données projet'!$E$13+1,1))</f>
        <v>215.84581110302656</v>
      </c>
      <c r="CZ6" s="59">
        <f t="shared" si="42"/>
        <v>193.88588526156104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8.5833333333333339</v>
      </c>
      <c r="N7" s="13">
        <f>IF('Données projet'!$A$36&gt;35,N6+M7-V6,IF(A7&lt;'Données projet'!$A$36,$K$205^A7,IF(A7='Données projet'!$A$36,'Données projet'!$B$36,N6+M7-V6)))</f>
        <v>4.6875481476535983</v>
      </c>
      <c r="O7" s="13">
        <f>N7*VLOOKUP('Données projet'!$B$9,Paramètres!$A$1:$I$89,3,0)*VLOOKUP('Données projet'!$B$9,Paramètres!$A$1:$I$89,5,0)</f>
        <v>2.9250300441358457</v>
      </c>
      <c r="P7" s="13">
        <f t="shared" si="33"/>
        <v>1.1896653855660013</v>
      </c>
      <c r="Q7" s="20">
        <f t="shared" si="2"/>
        <v>7.1664278733973825</v>
      </c>
      <c r="R7" s="59">
        <f t="shared" si="0"/>
        <v>300.49976120673068</v>
      </c>
      <c r="S7" s="59">
        <f ca="1">AVERAGE(OFFSET($R$3,0,0,'Données projet'!$E$9+1,1))-AVERAGE(OFFSET($H$3,0,0,'Données projet'!$E$9+1,1))</f>
        <v>269.77739619445515</v>
      </c>
      <c r="T7" s="59">
        <f t="shared" si="34"/>
        <v>347.56964743629885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3.0666666666666669</v>
      </c>
      <c r="AI7" s="13">
        <f>IF('Données projet'!$A$62&gt;35,AI6+AH7-AQ6,IF(A7&lt;'Données projet'!$A$62,$AF$205^A7,IF(A7='Données projet'!$A$62,'Données projet'!$B$62,AI6+AH7-AQ6)))</f>
        <v>2.7758889522808685</v>
      </c>
      <c r="AJ7" s="13">
        <f>AI7*VLOOKUP('Données projet'!$B$10,Paramètres!$A$1:$I$89,3,0)*VLOOKUP('Données projet'!$B$10,Paramètres!$A$1:$I$89,5,0)</f>
        <v>1.2991160296674464</v>
      </c>
      <c r="AK7" s="13">
        <f t="shared" si="35"/>
        <v>0.58072615443726328</v>
      </c>
      <c r="AL7" s="20">
        <f t="shared" si="4"/>
        <v>3.2740584706490359</v>
      </c>
      <c r="AM7" s="59">
        <f t="shared" si="5"/>
        <v>296.60739180398235</v>
      </c>
      <c r="AN7" s="59">
        <f ca="1">AVERAGE(OFFSET($AM$3,0,0,'Données projet'!$E$10+1,1))-AVERAGE(OFFSET($H$3,0,0,'Données projet'!$E$10+1,1))</f>
        <v>342.49944586217674</v>
      </c>
      <c r="AO7" s="59">
        <f t="shared" si="36"/>
        <v>282.29766600872563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298.47976375363044</v>
      </c>
      <c r="BI7" s="59">
        <f ca="1">AVERAGE(OFFSET($BH$3,0,0,'Données projet'!$E$11+1,1))-AVERAGE(OFFSET($H$3,0,0,'Données projet'!$E$11+1,1))</f>
        <v>279.49721661620544</v>
      </c>
      <c r="BJ7" s="59">
        <f t="shared" si="38"/>
        <v>275.18739333988754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1.8666666666666667</v>
      </c>
      <c r="BY7" s="12">
        <f>IF('Données projet'!$A$114&gt;35,BY6+BX7-CG6,IF(A7&lt;'Données projet'!$A$114,$BV$205^A7,IF(A7='Données projet'!$A$114,'Données projet'!$B$114,BY6+BX7-CG6)))</f>
        <v>2.4316933569649977</v>
      </c>
      <c r="BZ7" s="13">
        <f>BY7*VLOOKUP('Données projet'!$B$12,Paramètres!$A$1:$I$89,3,0)*VLOOKUP('Données projet'!$B$12,Paramètres!$A$1:$I$89,5,0)</f>
        <v>1.169644504700164</v>
      </c>
      <c r="CA7" s="13">
        <f t="shared" si="39"/>
        <v>0.52927877383321942</v>
      </c>
      <c r="CB7" s="20">
        <f t="shared" si="10"/>
        <v>2.9589580434456426</v>
      </c>
      <c r="CC7" s="59">
        <f t="shared" si="11"/>
        <v>296.29229137677896</v>
      </c>
      <c r="CD7" s="59">
        <f ca="1">AVERAGE(OFFSET($CC$3,0,0,'Données projet'!$E$12+1,1))-AVERAGE(OFFSET($H$3,0,0,'Données projet'!$E$12+1,1))</f>
        <v>349.65790906807746</v>
      </c>
      <c r="CE7" s="59">
        <f t="shared" si="40"/>
        <v>291.88925884278888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3.56</v>
      </c>
      <c r="CT7" s="12">
        <f>IF('Données projet'!$A$140&gt;35,CT6+CS7-DB6,IF(A7&lt;'Données projet'!$A$140,$CQ$205^A7,IF(A7='Données projet'!$A$140,'Données projet'!$B$140,CT6+CS7-DB6)))</f>
        <v>2.0507012732339978</v>
      </c>
      <c r="CU7" s="17">
        <f>CT7*VLOOKUP('Données projet'!$B$13,Paramètres!$A$1:$I$89,3,0)*VLOOKUP('Données projet'!$B$13,Paramètres!$A$1:$I$89,5,0)</f>
        <v>1.5995469931225184</v>
      </c>
      <c r="CV7" s="13">
        <f t="shared" si="41"/>
        <v>0.69791706476400706</v>
      </c>
      <c r="CW7" s="20">
        <f t="shared" si="13"/>
        <v>4.0014165674856983</v>
      </c>
      <c r="CX7" s="59">
        <f t="shared" si="14"/>
        <v>297.33474990081902</v>
      </c>
      <c r="CY7" s="59">
        <f ca="1">AVERAGE(OFFSET($CX$3,0,0,'Données projet'!$E$13+1,1))-AVERAGE(OFFSET($H$3,0,0,'Données projet'!$E$13+1,1))</f>
        <v>215.84581110302656</v>
      </c>
      <c r="CZ7" s="59">
        <f t="shared" si="42"/>
        <v>193.88588526156104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8.5833333333333339</v>
      </c>
      <c r="N8" s="13">
        <f>IF('Données projet'!$A$36&gt;35,N7+M8-V7,IF(A8&lt;'Données projet'!$A$36,$K$205^A8,IF(A8='Données projet'!$A$36,'Données projet'!$B$36,N7+M8-V7)))</f>
        <v>6.89734861063911</v>
      </c>
      <c r="O8" s="13">
        <f>N8*VLOOKUP('Données projet'!$B$9,Paramètres!$A$1:$I$89,3,0)*VLOOKUP('Données projet'!$B$9,Paramètres!$A$1:$I$89,5,0)</f>
        <v>4.3039455330388048</v>
      </c>
      <c r="P8" s="13">
        <f t="shared" si="33"/>
        <v>1.6735424770035323</v>
      </c>
      <c r="Q8" s="20">
        <f t="shared" si="2"/>
        <v>10.410791617490402</v>
      </c>
      <c r="R8" s="59">
        <f t="shared" si="0"/>
        <v>303.74412495082373</v>
      </c>
      <c r="S8" s="59">
        <f ca="1">AVERAGE(OFFSET($R$3,0,0,'Données projet'!$E$9+1,1))-AVERAGE(OFFSET($H$3,0,0,'Données projet'!$E$9+1,1))</f>
        <v>269.77739619445515</v>
      </c>
      <c r="T8" s="59">
        <f t="shared" si="34"/>
        <v>347.56964743629885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3.0666666666666669</v>
      </c>
      <c r="AI8" s="13">
        <f>IF('Données projet'!$A$62&gt;35,AI7+AH8-AQ7,IF(A8&lt;'Données projet'!$A$62,$AF$205^A8,IF(A8='Données projet'!$A$62,'Données projet'!$B$62,AI7+AH8-AQ7)))</f>
        <v>3.5830478710159461</v>
      </c>
      <c r="AJ8" s="13">
        <f>AI8*VLOOKUP('Données projet'!$B$10,Paramètres!$A$1:$I$89,3,0)*VLOOKUP('Données projet'!$B$10,Paramètres!$A$1:$I$89,5,0)</f>
        <v>1.6768664036354628</v>
      </c>
      <c r="AK8" s="13">
        <f t="shared" si="35"/>
        <v>0.72764392417183499</v>
      </c>
      <c r="AL8" s="20">
        <f t="shared" si="4"/>
        <v>4.1878554875977096</v>
      </c>
      <c r="AM8" s="59">
        <f t="shared" si="5"/>
        <v>297.521188820931</v>
      </c>
      <c r="AN8" s="59">
        <f ca="1">AVERAGE(OFFSET($AM$3,0,0,'Données projet'!$E$10+1,1))-AVERAGE(OFFSET($H$3,0,0,'Données projet'!$E$10+1,1))</f>
        <v>342.49944586217674</v>
      </c>
      <c r="AO8" s="59">
        <f t="shared" si="36"/>
        <v>282.29766600872563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299.82080708138028</v>
      </c>
      <c r="BI8" s="59">
        <f ca="1">AVERAGE(OFFSET($BH$3,0,0,'Données projet'!$E$11+1,1))-AVERAGE(OFFSET($H$3,0,0,'Données projet'!$E$11+1,1))</f>
        <v>279.49721661620544</v>
      </c>
      <c r="BJ8" s="59">
        <f t="shared" si="38"/>
        <v>275.18739333988754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1.8666666666666667</v>
      </c>
      <c r="BY8" s="12">
        <f>IF('Données projet'!$A$114&gt;35,BY7+BX8-CG7,IF(A8&lt;'Données projet'!$A$114,$BV$205^A8,IF(A8='Données projet'!$A$114,'Données projet'!$B$114,BY7+BX8-CG7)))</f>
        <v>3.0365889718756618</v>
      </c>
      <c r="BZ8" s="13">
        <f>BY8*VLOOKUP('Données projet'!$B$12,Paramètres!$A$1:$I$89,3,0)*VLOOKUP('Données projet'!$B$12,Paramètres!$A$1:$I$89,5,0)</f>
        <v>1.4605992954721931</v>
      </c>
      <c r="CA8" s="13">
        <f t="shared" si="39"/>
        <v>0.64406801640892952</v>
      </c>
      <c r="CB8" s="20">
        <f t="shared" si="10"/>
        <v>3.6656289015262886</v>
      </c>
      <c r="CC8" s="59">
        <f t="shared" si="11"/>
        <v>296.99896223485962</v>
      </c>
      <c r="CD8" s="59">
        <f ca="1">AVERAGE(OFFSET($CC$3,0,0,'Données projet'!$E$12+1,1))-AVERAGE(OFFSET($H$3,0,0,'Données projet'!$E$12+1,1))</f>
        <v>349.65790906807746</v>
      </c>
      <c r="CE8" s="59">
        <f t="shared" si="40"/>
        <v>291.88925884278888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3.56</v>
      </c>
      <c r="CT8" s="12">
        <f>IF('Données projet'!$A$140&gt;35,CT7+CS8-DB7,IF(A8&lt;'Données projet'!$A$140,$CQ$205^A8,IF(A8='Données projet'!$A$140,'Données projet'!$B$140,CT7+CS8-DB7)))</f>
        <v>2.4540194545491301</v>
      </c>
      <c r="CU8" s="17">
        <f>CT8*VLOOKUP('Données projet'!$B$13,Paramètres!$A$1:$I$89,3,0)*VLOOKUP('Données projet'!$B$13,Paramètres!$A$1:$I$89,5,0)</f>
        <v>1.9141351745483215</v>
      </c>
      <c r="CV8" s="13">
        <f t="shared" si="41"/>
        <v>0.81790536660639246</v>
      </c>
      <c r="CW8" s="20">
        <f t="shared" si="13"/>
        <v>4.7583039425111266</v>
      </c>
      <c r="CX8" s="59">
        <f t="shared" si="14"/>
        <v>298.09163727584445</v>
      </c>
      <c r="CY8" s="59">
        <f ca="1">AVERAGE(OFFSET($CX$3,0,0,'Données projet'!$E$13+1,1))-AVERAGE(OFFSET($H$3,0,0,'Données projet'!$E$13+1,1))</f>
        <v>215.84581110302656</v>
      </c>
      <c r="CZ8" s="59">
        <f t="shared" si="42"/>
        <v>193.88588526156104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8.5833333333333339</v>
      </c>
      <c r="N9" s="13">
        <f>IF('Données projet'!$A$36&gt;35,N8+M9-V8,IF(A9&lt;'Données projet'!$A$36,$K$205^A9,IF(A9='Données projet'!$A$36,'Données projet'!$B$36,N8+M9-V8)))</f>
        <v>10.148891565092221</v>
      </c>
      <c r="O9" s="13">
        <f>N9*VLOOKUP('Données projet'!$B$9,Paramètres!$A$1:$I$89,3,0)*VLOOKUP('Données projet'!$B$9,Paramètres!$A$1:$I$89,5,0)</f>
        <v>6.3329083366175452</v>
      </c>
      <c r="P9" s="13">
        <f t="shared" si="33"/>
        <v>2.3542287237369877</v>
      </c>
      <c r="Q9" s="20">
        <f t="shared" si="2"/>
        <v>15.130097046784146</v>
      </c>
      <c r="R9" s="59">
        <f t="shared" si="0"/>
        <v>308.46343038011747</v>
      </c>
      <c r="S9" s="59">
        <f ca="1">AVERAGE(OFFSET($R$3,0,0,'Données projet'!$E$9+1,1))-AVERAGE(OFFSET($H$3,0,0,'Données projet'!$E$9+1,1))</f>
        <v>269.77739619445515</v>
      </c>
      <c r="T9" s="59">
        <f t="shared" si="34"/>
        <v>347.56964743629885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3.0666666666666669</v>
      </c>
      <c r="AI9" s="13">
        <f>IF('Données projet'!$A$62&gt;35,AI8+AH9-AQ8,IF(A9&lt;'Données projet'!$A$62,$AF$205^A9,IF(A9='Données projet'!$A$62,'Données projet'!$B$62,AI8+AH9-AQ8)))</f>
        <v>4.6249083687022479</v>
      </c>
      <c r="AJ9" s="13">
        <f>AI9*VLOOKUP('Données projet'!$B$10,Paramètres!$A$1:$I$89,3,0)*VLOOKUP('Données projet'!$B$10,Paramètres!$A$1:$I$89,5,0)</f>
        <v>2.164457116552652</v>
      </c>
      <c r="AK9" s="13">
        <f t="shared" si="35"/>
        <v>0.91173038503363313</v>
      </c>
      <c r="AL9" s="20">
        <f t="shared" si="4"/>
        <v>5.3576932319294466</v>
      </c>
      <c r="AM9" s="59">
        <f t="shared" si="5"/>
        <v>298.69102656526275</v>
      </c>
      <c r="AN9" s="59">
        <f ca="1">AVERAGE(OFFSET($AM$3,0,0,'Données projet'!$E$10+1,1))-AVERAGE(OFFSET($H$3,0,0,'Données projet'!$E$10+1,1))</f>
        <v>342.49944586217674</v>
      </c>
      <c r="AO9" s="59">
        <f t="shared" si="36"/>
        <v>282.29766600872563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301.5126121013077</v>
      </c>
      <c r="BI9" s="59">
        <f ca="1">AVERAGE(OFFSET($BH$3,0,0,'Données projet'!$E$11+1,1))-AVERAGE(OFFSET($H$3,0,0,'Données projet'!$E$11+1,1))</f>
        <v>279.49721661620544</v>
      </c>
      <c r="BJ9" s="59">
        <f t="shared" si="38"/>
        <v>275.18739333988754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1.8666666666666667</v>
      </c>
      <c r="BY9" s="12">
        <f>IF('Données projet'!$A$114&gt;35,BY8+BX9-CG8,IF(A9&lt;'Données projet'!$A$114,$BV$205^A9,IF(A9='Données projet'!$A$114,'Données projet'!$B$114,BY8+BX9-CG8)))</f>
        <v>3.7919553292794621</v>
      </c>
      <c r="BZ9" s="13">
        <f>BY9*VLOOKUP('Données projet'!$B$12,Paramètres!$A$1:$I$89,3,0)*VLOOKUP('Données projet'!$B$12,Paramètres!$A$1:$I$89,5,0)</f>
        <v>1.8239305133834212</v>
      </c>
      <c r="CA9" s="13">
        <f t="shared" si="39"/>
        <v>0.78375258988120322</v>
      </c>
      <c r="CB9" s="20">
        <f t="shared" si="10"/>
        <v>4.5417147381858864</v>
      </c>
      <c r="CC9" s="59">
        <f t="shared" si="11"/>
        <v>297.87504807151919</v>
      </c>
      <c r="CD9" s="59">
        <f ca="1">AVERAGE(OFFSET($CC$3,0,0,'Données projet'!$E$12+1,1))-AVERAGE(OFFSET($H$3,0,0,'Données projet'!$E$12+1,1))</f>
        <v>349.65790906807746</v>
      </c>
      <c r="CE9" s="59">
        <f t="shared" si="40"/>
        <v>291.88925884278888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3.56</v>
      </c>
      <c r="CT9" s="12">
        <f>IF('Données projet'!$A$140&gt;35,CT8+CS9-DB8,IF(A9&lt;'Données projet'!$A$140,$CQ$205^A9,IF(A9='Données projet'!$A$140,'Données projet'!$B$140,CT8+CS9-DB8)))</f>
        <v>2.9366595524702919</v>
      </c>
      <c r="CU9" s="17">
        <f>CT9*VLOOKUP('Données projet'!$B$13,Paramètres!$A$1:$I$89,3,0)*VLOOKUP('Données projet'!$B$13,Paramètres!$A$1:$I$89,5,0)</f>
        <v>2.2905944509268279</v>
      </c>
      <c r="CV9" s="13">
        <f t="shared" si="41"/>
        <v>0.95852246992949186</v>
      </c>
      <c r="CW9" s="20">
        <f t="shared" si="13"/>
        <v>5.6588786371580904</v>
      </c>
      <c r="CX9" s="59">
        <f t="shared" si="14"/>
        <v>298.99221197049138</v>
      </c>
      <c r="CY9" s="59">
        <f ca="1">AVERAGE(OFFSET($CX$3,0,0,'Données projet'!$E$13+1,1))-AVERAGE(OFFSET($H$3,0,0,'Données projet'!$E$13+1,1))</f>
        <v>215.84581110302656</v>
      </c>
      <c r="CZ9" s="59">
        <f t="shared" si="42"/>
        <v>193.88588526156104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8.5833333333333339</v>
      </c>
      <c r="N10" s="13">
        <f>IF('Données projet'!$A$36&gt;35,N9+M10-V9,IF(A10&lt;'Données projet'!$A$36,$K$205^A10,IF(A10='Données projet'!$A$36,'Données projet'!$B$36,N9+M10-V9)))</f>
        <v>14.933274481896314</v>
      </c>
      <c r="O10" s="13">
        <f>N10*VLOOKUP('Données projet'!$B$9,Paramètres!$A$1:$I$89,3,0)*VLOOKUP('Données projet'!$B$9,Paramètres!$A$1:$I$89,5,0)</f>
        <v>9.3183632767033</v>
      </c>
      <c r="P10" s="13">
        <f t="shared" si="33"/>
        <v>3.3117730561532612</v>
      </c>
      <c r="Q10" s="20">
        <f t="shared" si="2"/>
        <v>21.997487446391844</v>
      </c>
      <c r="R10" s="59">
        <f t="shared" si="0"/>
        <v>315.33082077972517</v>
      </c>
      <c r="S10" s="59">
        <f ca="1">AVERAGE(OFFSET($R$3,0,0,'Données projet'!$E$9+1,1))-AVERAGE(OFFSET($H$3,0,0,'Données projet'!$E$9+1,1))</f>
        <v>269.77739619445515</v>
      </c>
      <c r="T10" s="59">
        <f t="shared" si="34"/>
        <v>347.56964743629885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3.0666666666666669</v>
      </c>
      <c r="AI10" s="13">
        <f>IF('Données projet'!$A$62&gt;35,AI9+AH10-AQ9,IF(A10&lt;'Données projet'!$A$62,$AF$205^A10,IF(A10='Données projet'!$A$62,'Données projet'!$B$62,AI9+AH10-AQ9)))</f>
        <v>5.9697157807794445</v>
      </c>
      <c r="AJ10" s="13">
        <f>AI10*VLOOKUP('Données projet'!$B$10,Paramètres!$A$1:$I$89,3,0)*VLOOKUP('Données projet'!$B$10,Paramètres!$A$1:$I$89,5,0)</f>
        <v>2.7938269854047801</v>
      </c>
      <c r="AK10" s="13">
        <f t="shared" si="35"/>
        <v>1.1423888352255029</v>
      </c>
      <c r="AL10" s="20">
        <f t="shared" si="4"/>
        <v>6.8555758875977437</v>
      </c>
      <c r="AM10" s="59">
        <f t="shared" si="5"/>
        <v>300.18890922093107</v>
      </c>
      <c r="AN10" s="59">
        <f ca="1">AVERAGE(OFFSET($AM$3,0,0,'Données projet'!$E$10+1,1))-AVERAGE(OFFSET($H$3,0,0,'Données projet'!$E$10+1,1))</f>
        <v>342.49944586217674</v>
      </c>
      <c r="AO10" s="59">
        <f t="shared" si="36"/>
        <v>282.29766600872563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303.64724663056381</v>
      </c>
      <c r="BI10" s="59">
        <f ca="1">AVERAGE(OFFSET($BH$3,0,0,'Données projet'!$E$11+1,1))-AVERAGE(OFFSET($H$3,0,0,'Données projet'!$E$11+1,1))</f>
        <v>279.49721661620544</v>
      </c>
      <c r="BJ10" s="59">
        <f t="shared" si="38"/>
        <v>275.18739333988754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1.8666666666666667</v>
      </c>
      <c r="BY10" s="12">
        <f>IF('Données projet'!$A$114&gt;35,BY9+BX10-CG9,IF(A10&lt;'Données projet'!$A$114,$BV$205^A10,IF(A10='Données projet'!$A$114,'Données projet'!$B$114,BY9+BX10-CG9)))</f>
        <v>4.7352227622592062</v>
      </c>
      <c r="BZ10" s="13">
        <f>BY10*VLOOKUP('Données projet'!$B$12,Paramètres!$A$1:$I$89,3,0)*VLOOKUP('Données projet'!$B$12,Paramètres!$A$1:$I$89,5,0)</f>
        <v>2.2776421486466782</v>
      </c>
      <c r="CA10" s="13">
        <f t="shared" si="39"/>
        <v>0.95373175890709694</v>
      </c>
      <c r="CB10" s="20">
        <f t="shared" si="10"/>
        <v>5.6279762223228254</v>
      </c>
      <c r="CC10" s="59">
        <f t="shared" si="11"/>
        <v>298.96130955565616</v>
      </c>
      <c r="CD10" s="59">
        <f ca="1">AVERAGE(OFFSET($CC$3,0,0,'Données projet'!$E$12+1,1))-AVERAGE(OFFSET($H$3,0,0,'Données projet'!$E$12+1,1))</f>
        <v>349.65790906807746</v>
      </c>
      <c r="CE10" s="59">
        <f t="shared" si="40"/>
        <v>291.88925884278888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3.56</v>
      </c>
      <c r="CT10" s="12">
        <f>IF('Données projet'!$A$140&gt;35,CT9+CS10-DB9,IF(A10&lt;'Données projet'!$A$140,$CQ$205^A10,IF(A10='Données projet'!$A$140,'Données projet'!$B$140,CT9+CS10-DB9)))</f>
        <v>3.5142220698896103</v>
      </c>
      <c r="CU10" s="17">
        <f>CT10*VLOOKUP('Données projet'!$B$13,Paramètres!$A$1:$I$89,3,0)*VLOOKUP('Données projet'!$B$13,Paramètres!$A$1:$I$89,5,0)</f>
        <v>2.7410932145138962</v>
      </c>
      <c r="CV10" s="13">
        <f t="shared" si="41"/>
        <v>1.1233149492242895</v>
      </c>
      <c r="CW10" s="20">
        <f t="shared" si="13"/>
        <v>6.730510885177341</v>
      </c>
      <c r="CX10" s="59">
        <f t="shared" si="14"/>
        <v>300.06384421851067</v>
      </c>
      <c r="CY10" s="59">
        <f ca="1">AVERAGE(OFFSET($CX$3,0,0,'Données projet'!$E$13+1,1))-AVERAGE(OFFSET($H$3,0,0,'Données projet'!$E$13+1,1))</f>
        <v>215.84581110302656</v>
      </c>
      <c r="CZ10" s="59">
        <f t="shared" si="42"/>
        <v>193.88588526156104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8.5833333333333339</v>
      </c>
      <c r="N11" s="13">
        <f>IF('Données projet'!$A$36&gt;35,N10+M11-V10,IF(A11&lt;'Données projet'!$A$36,$K$205^A11,IF(A11='Données projet'!$A$36,'Données projet'!$B$36,N10+M11-V10)))</f>
        <v>21.973107636570681</v>
      </c>
      <c r="O11" s="13">
        <f>N11*VLOOKUP('Données projet'!$B$9,Paramètres!$A$1:$I$89,3,0)*VLOOKUP('Données projet'!$B$9,Paramètres!$A$1:$I$89,5,0)</f>
        <v>13.711219165220106</v>
      </c>
      <c r="P11" s="13">
        <f t="shared" si="33"/>
        <v>4.6587830081577177</v>
      </c>
      <c r="Q11" s="20">
        <f t="shared" si="2"/>
        <v>31.994420451966377</v>
      </c>
      <c r="R11" s="59">
        <f t="shared" si="0"/>
        <v>325.32775378529971</v>
      </c>
      <c r="S11" s="59">
        <f ca="1">AVERAGE(OFFSET($R$3,0,0,'Données projet'!$E$9+1,1))-AVERAGE(OFFSET($H$3,0,0,'Données projet'!$E$9+1,1))</f>
        <v>269.77739619445515</v>
      </c>
      <c r="T11" s="59">
        <f t="shared" si="34"/>
        <v>347.56964743629885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3.0666666666666669</v>
      </c>
      <c r="AI11" s="13">
        <f>IF('Données projet'!$A$62&gt;35,AI10+AH11-AQ10,IF(A11&lt;'Données projet'!$A$62,$AF$205^A11,IF(A11='Données projet'!$A$62,'Données projet'!$B$62,AI10+AH11-AQ10)))</f>
        <v>7.7055594753949777</v>
      </c>
      <c r="AJ11" s="13">
        <f>AI11*VLOOKUP('Données projet'!$B$10,Paramètres!$A$1:$I$89,3,0)*VLOOKUP('Données projet'!$B$10,Paramètres!$A$1:$I$89,5,0)</f>
        <v>3.6062018344848497</v>
      </c>
      <c r="AK11" s="13">
        <f t="shared" si="35"/>
        <v>1.4314015110944656</v>
      </c>
      <c r="AL11" s="20">
        <f t="shared" si="4"/>
        <v>8.7738258268839733</v>
      </c>
      <c r="AM11" s="59">
        <f t="shared" si="5"/>
        <v>302.10715916021729</v>
      </c>
      <c r="AN11" s="59">
        <f ca="1">AVERAGE(OFFSET($AM$3,0,0,'Données projet'!$E$10+1,1))-AVERAGE(OFFSET($H$3,0,0,'Données projet'!$E$10+1,1))</f>
        <v>342.49944586217674</v>
      </c>
      <c r="AO11" s="59">
        <f t="shared" si="36"/>
        <v>282.29766600872563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306.34102339264984</v>
      </c>
      <c r="BI11" s="59">
        <f ca="1">AVERAGE(OFFSET($BH$3,0,0,'Données projet'!$E$11+1,1))-AVERAGE(OFFSET($H$3,0,0,'Données projet'!$E$11+1,1))</f>
        <v>279.49721661620544</v>
      </c>
      <c r="BJ11" s="59">
        <f t="shared" si="38"/>
        <v>275.18739333988754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1.8666666666666667</v>
      </c>
      <c r="BY11" s="12">
        <f>IF('Données projet'!$A$114&gt;35,BY10+BX11-CG10,IF(A11&lt;'Données projet'!$A$114,$BV$205^A11,IF(A11='Données projet'!$A$114,'Données projet'!$B$114,BY10+BX11-CG10)))</f>
        <v>5.9131325823076999</v>
      </c>
      <c r="BZ11" s="13">
        <f>BY11*VLOOKUP('Données projet'!$B$12,Paramètres!$A$1:$I$89,3,0)*VLOOKUP('Données projet'!$B$12,Paramètres!$A$1:$I$89,5,0)</f>
        <v>2.8442167720900038</v>
      </c>
      <c r="CA11" s="13">
        <f t="shared" si="39"/>
        <v>1.1605757731351136</v>
      </c>
      <c r="CB11" s="20">
        <f t="shared" si="10"/>
        <v>6.9750136829337457</v>
      </c>
      <c r="CC11" s="59">
        <f t="shared" si="11"/>
        <v>300.30834701626708</v>
      </c>
      <c r="CD11" s="59">
        <f ca="1">AVERAGE(OFFSET($CC$3,0,0,'Données projet'!$E$12+1,1))-AVERAGE(OFFSET($H$3,0,0,'Données projet'!$E$12+1,1))</f>
        <v>349.65790906807746</v>
      </c>
      <c r="CE11" s="59">
        <f t="shared" si="40"/>
        <v>291.88925884278888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3.56</v>
      </c>
      <c r="CT11" s="12">
        <f>IF('Données projet'!$A$140&gt;35,CT10+CS11-DB10,IF(A11&lt;'Données projet'!$A$140,$CQ$205^A11,IF(A11='Données projet'!$A$140,'Données projet'!$B$140,CT10+CS11-DB10)))</f>
        <v>4.2053757120435398</v>
      </c>
      <c r="CU11" s="17">
        <f>CT11*VLOOKUP('Données projet'!$B$13,Paramètres!$A$1:$I$89,3,0)*VLOOKUP('Données projet'!$B$13,Paramètres!$A$1:$I$89,5,0)</f>
        <v>3.2801930553939611</v>
      </c>
      <c r="CV11" s="13">
        <f t="shared" si="41"/>
        <v>1.3164391182645805</v>
      </c>
      <c r="CW11" s="20">
        <f t="shared" si="13"/>
        <v>8.0058010357886271</v>
      </c>
      <c r="CX11" s="59">
        <f t="shared" si="14"/>
        <v>301.33913436912195</v>
      </c>
      <c r="CY11" s="59">
        <f ca="1">AVERAGE(OFFSET($CX$3,0,0,'Données projet'!$E$13+1,1))-AVERAGE(OFFSET($H$3,0,0,'Données projet'!$E$13+1,1))</f>
        <v>215.84581110302656</v>
      </c>
      <c r="CZ11" s="59">
        <f t="shared" si="42"/>
        <v>193.88588526156104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8.5833333333333339</v>
      </c>
      <c r="N12" s="13">
        <f>IF('Données projet'!$A$36&gt;35,N11+M12-V11,IF(A12&lt;'Données projet'!$A$36,$K$205^A12,IF(A12='Données projet'!$A$36,'Données projet'!$B$36,N11+M12-V11)))</f>
        <v>32.331653703522484</v>
      </c>
      <c r="O12" s="13">
        <f>N12*VLOOKUP('Données projet'!$B$9,Paramètres!$A$1:$I$89,3,0)*VLOOKUP('Données projet'!$B$9,Paramètres!$A$1:$I$89,5,0)</f>
        <v>20.174951910998029</v>
      </c>
      <c r="P12" s="13">
        <f t="shared" si="33"/>
        <v>6.55366740084217</v>
      </c>
      <c r="Q12" s="20">
        <f t="shared" si="2"/>
        <v>46.552345301455006</v>
      </c>
      <c r="R12" s="59">
        <f t="shared" si="0"/>
        <v>339.88567863478829</v>
      </c>
      <c r="S12" s="59">
        <f ca="1">AVERAGE(OFFSET($R$3,0,0,'Données projet'!$E$9+1,1))-AVERAGE(OFFSET($H$3,0,0,'Données projet'!$E$9+1,1))</f>
        <v>269.77739619445515</v>
      </c>
      <c r="T12" s="59">
        <f t="shared" si="34"/>
        <v>347.56964743629885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3.0666666666666669</v>
      </c>
      <c r="AI12" s="13">
        <f>IF('Données projet'!$A$62&gt;35,AI11+AH12-AQ11,IF(A12&lt;'Données projet'!$A$62,$AF$205^A12,IF(A12='Données projet'!$A$62,'Données projet'!$B$62,AI11+AH12-AQ11)))</f>
        <v>9.94614300064665</v>
      </c>
      <c r="AJ12" s="13">
        <f>AI12*VLOOKUP('Données projet'!$B$10,Paramètres!$A$1:$I$89,3,0)*VLOOKUP('Données projet'!$B$10,Paramètres!$A$1:$I$89,5,0)</f>
        <v>4.6547949243026316</v>
      </c>
      <c r="AK12" s="13">
        <f t="shared" si="35"/>
        <v>1.7935314341189903</v>
      </c>
      <c r="AL12" s="20">
        <f t="shared" si="4"/>
        <v>11.230835074250992</v>
      </c>
      <c r="AM12" s="59">
        <f t="shared" si="5"/>
        <v>304.5641684075843</v>
      </c>
      <c r="AN12" s="59">
        <f ca="1">AVERAGE(OFFSET($AM$3,0,0,'Données projet'!$E$10+1,1))-AVERAGE(OFFSET($H$3,0,0,'Données projet'!$E$10+1,1))</f>
        <v>342.49944586217674</v>
      </c>
      <c r="AO12" s="59">
        <f t="shared" si="36"/>
        <v>282.29766600872563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309.74090385137913</v>
      </c>
      <c r="BI12" s="59">
        <f ca="1">AVERAGE(OFFSET($BH$3,0,0,'Données projet'!$E$11+1,1))-AVERAGE(OFFSET($H$3,0,0,'Données projet'!$E$11+1,1))</f>
        <v>279.49721661620544</v>
      </c>
      <c r="BJ12" s="59">
        <f t="shared" si="38"/>
        <v>275.18739333988754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1.8666666666666667</v>
      </c>
      <c r="BY12" s="12">
        <f>IF('Données projet'!$A$114&gt;35,BY11+BX12-CG11,IF(A12&lt;'Données projet'!$A$114,$BV$205^A12,IF(A12='Données projet'!$A$114,'Données projet'!$B$114,BY11+BX12-CG11)))</f>
        <v>7.3840532307432198</v>
      </c>
      <c r="BZ12" s="13">
        <f>BY12*VLOOKUP('Données projet'!$B$12,Paramètres!$A$1:$I$89,3,0)*VLOOKUP('Données projet'!$B$12,Paramètres!$A$1:$I$89,5,0)</f>
        <v>3.5517296039874888</v>
      </c>
      <c r="CA12" s="13">
        <f t="shared" si="39"/>
        <v>1.4122798287976188</v>
      </c>
      <c r="CB12" s="20">
        <f t="shared" si="10"/>
        <v>8.6456497621007298</v>
      </c>
      <c r="CC12" s="59">
        <f t="shared" si="11"/>
        <v>301.97898309543405</v>
      </c>
      <c r="CD12" s="59">
        <f ca="1">AVERAGE(OFFSET($CC$3,0,0,'Données projet'!$E$12+1,1))-AVERAGE(OFFSET($H$3,0,0,'Données projet'!$E$12+1,1))</f>
        <v>349.65790906807746</v>
      </c>
      <c r="CE12" s="59">
        <f t="shared" si="40"/>
        <v>291.88925884278888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3.56</v>
      </c>
      <c r="CT12" s="12">
        <f>IF('Données projet'!$A$140&gt;35,CT11+CS12-DB11,IF(A12&lt;'Données projet'!$A$140,$CQ$205^A12,IF(A12='Données projet'!$A$140,'Données projet'!$B$140,CT11+CS12-DB11)))</f>
        <v>5.0324608199849017</v>
      </c>
      <c r="CU12" s="17">
        <f>CT12*VLOOKUP('Données projet'!$B$13,Paramètres!$A$1:$I$89,3,0)*VLOOKUP('Données projet'!$B$13,Paramètres!$A$1:$I$89,5,0)</f>
        <v>3.9253194395882236</v>
      </c>
      <c r="CV12" s="13">
        <f t="shared" si="41"/>
        <v>1.5427658585813051</v>
      </c>
      <c r="CW12" s="20">
        <f t="shared" si="13"/>
        <v>9.5235818943119295</v>
      </c>
      <c r="CX12" s="59">
        <f t="shared" si="14"/>
        <v>302.85691522764523</v>
      </c>
      <c r="CY12" s="59">
        <f ca="1">AVERAGE(OFFSET($CX$3,0,0,'Données projet'!$E$13+1,1))-AVERAGE(OFFSET($H$3,0,0,'Données projet'!$E$13+1,1))</f>
        <v>215.84581110302656</v>
      </c>
      <c r="CZ12" s="59">
        <f t="shared" si="42"/>
        <v>193.88588526156104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8.5833333333333339</v>
      </c>
      <c r="N13" s="13">
        <f>IF('Données projet'!$A$36&gt;35,N12+M13-V12,IF(A13&lt;'Données projet'!$A$36,$K$205^A13,IF(A13='Données projet'!$A$36,'Données projet'!$B$36,N12+M13-V12)))</f>
        <v>47.573417856685268</v>
      </c>
      <c r="O13" s="13">
        <f>N13*VLOOKUP('Données projet'!$B$9,Paramètres!$A$1:$I$89,3,0)*VLOOKUP('Données projet'!$B$9,Paramètres!$A$1:$I$89,5,0)</f>
        <v>29.685812742571606</v>
      </c>
      <c r="P13" s="13">
        <f t="shared" si="33"/>
        <v>9.2192652728519882</v>
      </c>
      <c r="Q13" s="20">
        <f t="shared" si="2"/>
        <v>67.759677543529421</v>
      </c>
      <c r="R13" s="59">
        <f t="shared" si="0"/>
        <v>361.09301087686276</v>
      </c>
      <c r="S13" s="59">
        <f ca="1">AVERAGE(OFFSET($R$3,0,0,'Données projet'!$E$9+1,1))-AVERAGE(OFFSET($H$3,0,0,'Données projet'!$E$9+1,1))</f>
        <v>269.77739619445515</v>
      </c>
      <c r="T13" s="59">
        <f t="shared" si="34"/>
        <v>347.56964743629885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3.0666666666666669</v>
      </c>
      <c r="AI13" s="13">
        <f>IF('Données projet'!$A$62&gt;35,AI12+AH13-AQ12,IF(A13&lt;'Données projet'!$A$62,$AF$205^A13,IF(A13='Données projet'!$A$62,'Données projet'!$B$62,AI12+AH13-AQ12)))</f>
        <v>12.838232045991901</v>
      </c>
      <c r="AJ13" s="13">
        <f>AI13*VLOOKUP('Données projet'!$B$10,Paramètres!$A$1:$I$89,3,0)*VLOOKUP('Données projet'!$B$10,Paramètres!$A$1:$I$89,5,0)</f>
        <v>6.0082925975242105</v>
      </c>
      <c r="AK13" s="13">
        <f t="shared" si="35"/>
        <v>2.2472765190204087</v>
      </c>
      <c r="AL13" s="20">
        <f t="shared" si="4"/>
        <v>14.378449544648545</v>
      </c>
      <c r="AM13" s="59">
        <f t="shared" si="5"/>
        <v>307.71178287798188</v>
      </c>
      <c r="AN13" s="59">
        <f ca="1">AVERAGE(OFFSET($AM$3,0,0,'Données projet'!$E$10+1,1))-AVERAGE(OFFSET($H$3,0,0,'Données projet'!$E$10+1,1))</f>
        <v>342.49944586217674</v>
      </c>
      <c r="AO13" s="59">
        <f t="shared" si="36"/>
        <v>282.29766600872563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314.03259816936765</v>
      </c>
      <c r="BI13" s="59">
        <f ca="1">AVERAGE(OFFSET($BH$3,0,0,'Données projet'!$E$11+1,1))-AVERAGE(OFFSET($H$3,0,0,'Données projet'!$E$11+1,1))</f>
        <v>279.49721661620544</v>
      </c>
      <c r="BJ13" s="59">
        <f t="shared" si="38"/>
        <v>275.18739333988754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1.8666666666666667</v>
      </c>
      <c r="BY13" s="12">
        <f>IF('Données projet'!$A$114&gt;35,BY12+BX13-CG12,IF(A13&lt;'Données projet'!$A$114,$BV$205^A13,IF(A13='Données projet'!$A$114,'Données projet'!$B$114,BY12+BX13-CG12)))</f>
        <v>9.2208725841168899</v>
      </c>
      <c r="BZ13" s="13">
        <f>BY13*VLOOKUP('Données projet'!$B$12,Paramètres!$A$1:$I$89,3,0)*VLOOKUP('Données projet'!$B$12,Paramètres!$A$1:$I$89,5,0)</f>
        <v>4.4352397129602243</v>
      </c>
      <c r="CA13" s="13">
        <f t="shared" si="39"/>
        <v>1.7185731091393626</v>
      </c>
      <c r="CB13" s="20">
        <f t="shared" si="10"/>
        <v>10.71789066515678</v>
      </c>
      <c r="CC13" s="59">
        <f t="shared" si="11"/>
        <v>304.05122399849012</v>
      </c>
      <c r="CD13" s="59">
        <f ca="1">AVERAGE(OFFSET($CC$3,0,0,'Données projet'!$E$12+1,1))-AVERAGE(OFFSET($H$3,0,0,'Données projet'!$E$12+1,1))</f>
        <v>349.65790906807746</v>
      </c>
      <c r="CE13" s="59">
        <f t="shared" si="40"/>
        <v>291.88925884278888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3.56</v>
      </c>
      <c r="CT13" s="12">
        <f>IF('Données projet'!$A$140&gt;35,CT12+CS13-DB12,IF(A13&lt;'Données projet'!$A$140,$CQ$205^A13,IF(A13='Données projet'!$A$140,'Données projet'!$B$140,CT12+CS13-DB12)))</f>
        <v>6.0222114833056102</v>
      </c>
      <c r="CU13" s="17">
        <f>CT13*VLOOKUP('Données projet'!$B$13,Paramètres!$A$1:$I$89,3,0)*VLOOKUP('Données projet'!$B$13,Paramètres!$A$1:$I$89,5,0)</f>
        <v>4.6973249569783757</v>
      </c>
      <c r="CV13" s="13">
        <f t="shared" si="41"/>
        <v>1.8080034704086858</v>
      </c>
      <c r="CW13" s="20">
        <f t="shared" si="13"/>
        <v>11.330113677699131</v>
      </c>
      <c r="CX13" s="59">
        <f t="shared" si="14"/>
        <v>304.66344701103242</v>
      </c>
      <c r="CY13" s="59">
        <f ca="1">AVERAGE(OFFSET($CX$3,0,0,'Données projet'!$E$13+1,1))-AVERAGE(OFFSET($H$3,0,0,'Données projet'!$E$13+1,1))</f>
        <v>215.84581110302656</v>
      </c>
      <c r="CZ13" s="59">
        <f t="shared" si="42"/>
        <v>193.88588526156104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8.5833333333333339</v>
      </c>
      <c r="N14" s="13">
        <f>IF('Données projet'!$A$36&gt;35,N13+M14-V13,IF(A14&lt;'Données projet'!$A$36,$K$205^A14,IF(A14='Données projet'!$A$36,'Données projet'!$B$36,N13+M14-V13)))</f>
        <v>70.000443136015818</v>
      </c>
      <c r="O14" s="13">
        <f>N14*VLOOKUP('Données projet'!$B$9,Paramètres!$A$1:$I$89,3,0)*VLOOKUP('Données projet'!$B$9,Paramètres!$A$1:$I$89,5,0)</f>
        <v>43.680276516873867</v>
      </c>
      <c r="P14" s="13">
        <f t="shared" si="33"/>
        <v>12.969051825897136</v>
      </c>
      <c r="Q14" s="20">
        <f t="shared" si="2"/>
        <v>98.664246863659471</v>
      </c>
      <c r="R14" s="59">
        <f t="shared" si="0"/>
        <v>391.99758019699277</v>
      </c>
      <c r="S14" s="59">
        <f ca="1">AVERAGE(OFFSET($R$3,0,0,'Données projet'!$E$9+1,1))-AVERAGE(OFFSET($H$3,0,0,'Données projet'!$E$9+1,1))</f>
        <v>269.77739619445515</v>
      </c>
      <c r="T14" s="59">
        <f t="shared" si="34"/>
        <v>347.56964743629885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3.0666666666666669</v>
      </c>
      <c r="AI14" s="13">
        <f>IF('Données projet'!$A$62&gt;35,AI13+AH14-AQ13,IF(A14&lt;'Données projet'!$A$62,$AF$205^A14,IF(A14='Données projet'!$A$62,'Données projet'!$B$62,AI13+AH14-AQ13)))</f>
        <v>16.571268084122419</v>
      </c>
      <c r="AJ14" s="13">
        <f>AI14*VLOOKUP('Données projet'!$B$10,Paramètres!$A$1:$I$89,3,0)*VLOOKUP('Données projet'!$B$10,Paramètres!$A$1:$I$89,5,0)</f>
        <v>7.7553534633692927</v>
      </c>
      <c r="AK14" s="13">
        <f t="shared" si="35"/>
        <v>2.8158144635035316</v>
      </c>
      <c r="AL14" s="20">
        <f t="shared" si="4"/>
        <v>18.411450805970173</v>
      </c>
      <c r="AM14" s="59">
        <f t="shared" si="5"/>
        <v>311.74478413930348</v>
      </c>
      <c r="AN14" s="59">
        <f ca="1">AVERAGE(OFFSET($AM$3,0,0,'Données projet'!$E$10+1,1))-AVERAGE(OFFSET($H$3,0,0,'Données projet'!$E$10+1,1))</f>
        <v>342.49944586217674</v>
      </c>
      <c r="AO14" s="59">
        <f t="shared" si="36"/>
        <v>282.29766600872563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17.344080000000002</v>
      </c>
      <c r="BF14" s="13">
        <f t="shared" si="37"/>
        <v>5.7341113912136308</v>
      </c>
      <c r="BG14" s="20">
        <f t="shared" si="7"/>
        <v>40.194516673030414</v>
      </c>
      <c r="BH14" s="59">
        <f t="shared" si="8"/>
        <v>333.52785000636374</v>
      </c>
      <c r="BI14" s="59">
        <f ca="1">AVERAGE(OFFSET($BH$3,0,0,'Données projet'!$E$11+1,1))-AVERAGE(OFFSET($H$3,0,0,'Données projet'!$E$11+1,1))</f>
        <v>279.49721661620544</v>
      </c>
      <c r="BJ14" s="59">
        <f t="shared" si="38"/>
        <v>275.18739333988754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1.8666666666666667</v>
      </c>
      <c r="BY14" s="12">
        <f>IF('Données projet'!$A$114&gt;35,BY13+BX14-CG13,IF(A14&lt;'Données projet'!$A$114,$BV$205^A14,IF(A14='Données projet'!$A$114,'Données projet'!$B$114,BY13+BX14-CG13)))</f>
        <v>11.51460973473516</v>
      </c>
      <c r="BZ14" s="13">
        <f>BY14*VLOOKUP('Données projet'!$B$12,Paramètres!$A$1:$I$89,3,0)*VLOOKUP('Données projet'!$B$12,Paramètres!$A$1:$I$89,5,0)</f>
        <v>5.5385272824076131</v>
      </c>
      <c r="CA14" s="13">
        <f t="shared" si="39"/>
        <v>2.0912948491032886</v>
      </c>
      <c r="CB14" s="20">
        <f t="shared" si="10"/>
        <v>13.288606879048153</v>
      </c>
      <c r="CC14" s="59">
        <f t="shared" si="11"/>
        <v>306.62194021238145</v>
      </c>
      <c r="CD14" s="59">
        <f ca="1">AVERAGE(OFFSET($CC$3,0,0,'Données projet'!$E$12+1,1))-AVERAGE(OFFSET($H$3,0,0,'Données projet'!$E$12+1,1))</f>
        <v>349.65790906807746</v>
      </c>
      <c r="CE14" s="59">
        <f t="shared" si="40"/>
        <v>291.88925884278888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3.56</v>
      </c>
      <c r="CT14" s="12">
        <f>IF('Données projet'!$A$140&gt;35,CT13+CS14-DB13,IF(A14&lt;'Données projet'!$A$140,$CQ$205^A14,IF(A14='Données projet'!$A$140,'Données projet'!$B$140,CT13+CS14-DB13)))</f>
        <v>7.206619673149639</v>
      </c>
      <c r="CU14" s="17">
        <f>CT14*VLOOKUP('Données projet'!$B$13,Paramètres!$A$1:$I$89,3,0)*VLOOKUP('Données projet'!$B$13,Paramètres!$A$1:$I$89,5,0)</f>
        <v>5.6211633450567184</v>
      </c>
      <c r="CV14" s="13">
        <f t="shared" si="41"/>
        <v>2.1188416445874947</v>
      </c>
      <c r="CW14" s="20">
        <f t="shared" si="13"/>
        <v>13.480508690297002</v>
      </c>
      <c r="CX14" s="59">
        <f t="shared" si="14"/>
        <v>306.81384202363034</v>
      </c>
      <c r="CY14" s="59">
        <f ca="1">AVERAGE(OFFSET($CX$3,0,0,'Données projet'!$E$13+1,1))-AVERAGE(OFFSET($H$3,0,0,'Données projet'!$E$13+1,1))</f>
        <v>215.84581110302656</v>
      </c>
      <c r="CZ14" s="59">
        <f t="shared" si="42"/>
        <v>193.88588526156104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103</v>
      </c>
      <c r="L15" s="12">
        <f>VLOOKUP(A15,'Données projet'!$A$35:$I$55,9,0)</f>
        <v>8.5833333333333339</v>
      </c>
      <c r="M15" s="12">
        <f t="array" ref="M15">INDEX(L:L,MIN(IF(ISNUMBER(L15:L211),ROW(L15:L211),"")))</f>
        <v>8.5833333333333339</v>
      </c>
      <c r="N15" s="13">
        <f>IF('Données projet'!$A$36&gt;35,N14+M15-V14,IF(A15&lt;'Données projet'!$A$36,$K$205^A15,IF(A15='Données projet'!$A$36,'Données projet'!$B$36,N14+M15-V14)))</f>
        <v>103</v>
      </c>
      <c r="O15" s="13">
        <f>N15*VLOOKUP('Données projet'!$B$9,Paramètres!$A$1:$I$89,3,0)*VLOOKUP('Données projet'!$B$9,Paramètres!$A$1:$I$89,5,0)</f>
        <v>64.272000000000006</v>
      </c>
      <c r="P15" s="13">
        <f t="shared" si="33"/>
        <v>18.244003213368217</v>
      </c>
      <c r="Q15" s="20">
        <f t="shared" si="2"/>
        <v>143.71537226328297</v>
      </c>
      <c r="R15" s="59">
        <f t="shared" si="0"/>
        <v>437.04870559661629</v>
      </c>
      <c r="S15" s="59">
        <f ca="1">AVERAGE(OFFSET($R$3,0,0,'Données projet'!$E$9+1,1))-AVERAGE(OFFSET($H$3,0,0,'Données projet'!$E$9+1,1))</f>
        <v>269.77739619445515</v>
      </c>
      <c r="T15" s="59">
        <f t="shared" si="34"/>
        <v>347.56964743629885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18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12.717233165817262</v>
      </c>
      <c r="AC15" s="22">
        <f t="shared" si="3"/>
        <v>12.717233165817262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3.0666666666666669</v>
      </c>
      <c r="AI15" s="13">
        <f>IF('Données projet'!$A$62&gt;35,AI14+AH15-AQ14,IF(A15&lt;'Données projet'!$A$62,$AF$205^A15,IF(A15='Données projet'!$A$62,'Données projet'!$B$62,AI14+AH15-AQ14)))</f>
        <v>21.389777418892084</v>
      </c>
      <c r="AJ15" s="13">
        <f>AI15*VLOOKUP('Données projet'!$B$10,Paramètres!$A$1:$I$89,3,0)*VLOOKUP('Données projet'!$B$10,Paramètres!$A$1:$I$89,5,0)</f>
        <v>10.010415832041495</v>
      </c>
      <c r="AK15" s="13">
        <f t="shared" si="35"/>
        <v>3.5281866854248354</v>
      </c>
      <c r="AL15" s="20">
        <f t="shared" si="4"/>
        <v>23.579732717920521</v>
      </c>
      <c r="AM15" s="59">
        <f t="shared" si="5"/>
        <v>316.91306605125385</v>
      </c>
      <c r="AN15" s="59">
        <f ca="1">AVERAGE(OFFSET($AM$3,0,0,'Données projet'!$E$10+1,1))-AVERAGE(OFFSET($H$3,0,0,'Données projet'!$E$10+1,1))</f>
        <v>342.49944586217674</v>
      </c>
      <c r="AO15" s="59">
        <f t="shared" si="36"/>
        <v>282.29766600872563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25.936560000000004</v>
      </c>
      <c r="BF15" s="13">
        <f t="shared" si="37"/>
        <v>8.1824816304360635</v>
      </c>
      <c r="BG15" s="20">
        <f t="shared" si="7"/>
        <v>59.423997506342801</v>
      </c>
      <c r="BH15" s="59">
        <f t="shared" si="8"/>
        <v>352.75733083967611</v>
      </c>
      <c r="BI15" s="59">
        <f ca="1">AVERAGE(OFFSET($BH$3,0,0,'Données projet'!$E$11+1,1))-AVERAGE(OFFSET($H$3,0,0,'Données projet'!$E$11+1,1))</f>
        <v>279.49721661620544</v>
      </c>
      <c r="BJ15" s="59">
        <f t="shared" si="38"/>
        <v>275.18739333988754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1.8666666666666667</v>
      </c>
      <c r="BY15" s="12">
        <f>IF('Données projet'!$A$114&gt;35,BY14+BX15-CG14,IF(A15&lt;'Données projet'!$A$114,$BV$205^A15,IF(A15='Données projet'!$A$114,'Données projet'!$B$114,BY14+BX15-CG14)))</f>
        <v>14.378925219250917</v>
      </c>
      <c r="BZ15" s="13">
        <f>BY15*VLOOKUP('Données projet'!$B$12,Paramètres!$A$1:$I$89,3,0)*VLOOKUP('Données projet'!$B$12,Paramètres!$A$1:$I$89,5,0)</f>
        <v>6.9162630304596915</v>
      </c>
      <c r="CA15" s="13">
        <f t="shared" si="39"/>
        <v>2.5448519604011151</v>
      </c>
      <c r="CB15" s="20">
        <f t="shared" si="10"/>
        <v>16.478108609082572</v>
      </c>
      <c r="CC15" s="59">
        <f t="shared" si="11"/>
        <v>309.81144194241591</v>
      </c>
      <c r="CD15" s="59">
        <f ca="1">AVERAGE(OFFSET($CC$3,0,0,'Données projet'!$E$12+1,1))-AVERAGE(OFFSET($H$3,0,0,'Données projet'!$E$12+1,1))</f>
        <v>349.65790906807746</v>
      </c>
      <c r="CE15" s="59">
        <f t="shared" si="40"/>
        <v>291.88925884278888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3.56</v>
      </c>
      <c r="CT15" s="12">
        <f>IF('Données projet'!$A$140&gt;35,CT14+CS15-DB14,IF(A15&lt;'Données projet'!$A$140,$CQ$205^A15,IF(A15='Données projet'!$A$140,'Données projet'!$B$140,CT14+CS15-DB14)))</f>
        <v>8.6239693271150166</v>
      </c>
      <c r="CU15" s="17">
        <f>CT15*VLOOKUP('Données projet'!$B$13,Paramètres!$A$1:$I$89,3,0)*VLOOKUP('Données projet'!$B$13,Paramètres!$A$1:$I$89,5,0)</f>
        <v>6.7266960751497136</v>
      </c>
      <c r="CV15" s="13">
        <f t="shared" si="41"/>
        <v>2.4831201866130401</v>
      </c>
      <c r="CW15" s="20">
        <f t="shared" si="13"/>
        <v>16.040429989236795</v>
      </c>
      <c r="CX15" s="59">
        <f t="shared" si="14"/>
        <v>309.37376332257008</v>
      </c>
      <c r="CY15" s="59">
        <f ca="1">AVERAGE(OFFSET($CX$3,0,0,'Données projet'!$E$13+1,1))-AVERAGE(OFFSET($H$3,0,0,'Données projet'!$E$13+1,1))</f>
        <v>215.84581110302656</v>
      </c>
      <c r="CZ15" s="59">
        <f t="shared" si="42"/>
        <v>193.88588526156104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23</v>
      </c>
      <c r="N16" s="13">
        <f>IF('Données projet'!$A$36&gt;35,N15+M16-V15,IF(A16&lt;'Données projet'!$A$36,$K$205^A16,IF(A16='Données projet'!$A$36,'Données projet'!$B$36,N15+M16-V15)))</f>
        <v>108</v>
      </c>
      <c r="O16" s="13">
        <f>N16*VLOOKUP('Données projet'!$B$9,Paramètres!$A$1:$I$89,3,0)*VLOOKUP('Données projet'!$B$9,Paramètres!$A$1:$I$89,5,0)</f>
        <v>67.391999999999996</v>
      </c>
      <c r="P16" s="13">
        <f t="shared" si="33"/>
        <v>19.02437502991798</v>
      </c>
      <c r="Q16" s="20">
        <f t="shared" si="2"/>
        <v>150.5085198437738</v>
      </c>
      <c r="R16" s="59">
        <f t="shared" si="0"/>
        <v>443.84185317710711</v>
      </c>
      <c r="S16" s="59">
        <f ca="1">AVERAGE(OFFSET($R$3,0,0,'Données projet'!$E$9+1,1))-AVERAGE(OFFSET($H$3,0,0,'Données projet'!$E$9+1,1))</f>
        <v>269.77739619445515</v>
      </c>
      <c r="T16" s="59">
        <f t="shared" si="34"/>
        <v>347.56964743629885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8.9924418094798533</v>
      </c>
      <c r="AC16" s="22">
        <f t="shared" si="3"/>
        <v>8.9924418094798533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3.0666666666666669</v>
      </c>
      <c r="AI16" s="13">
        <f>IF('Données projet'!$A$62&gt;35,AI15+AH16-AQ15,IF(A16&lt;'Données projet'!$A$62,$AF$205^A16,IF(A16='Données projet'!$A$62,'Données projet'!$B$62,AI15+AH16-AQ15)))</f>
        <v>27.609388473300726</v>
      </c>
      <c r="AJ16" s="13">
        <f>AI16*VLOOKUP('Données projet'!$B$10,Paramètres!$A$1:$I$89,3,0)*VLOOKUP('Données projet'!$B$10,Paramètres!$A$1:$I$89,5,0)</f>
        <v>12.921193805504741</v>
      </c>
      <c r="AK16" s="13">
        <f t="shared" si="35"/>
        <v>4.4207817839392547</v>
      </c>
      <c r="AL16" s="20">
        <f t="shared" si="4"/>
        <v>30.203940818281627</v>
      </c>
      <c r="AM16" s="59">
        <f t="shared" si="5"/>
        <v>323.53727415161495</v>
      </c>
      <c r="AN16" s="59">
        <f ca="1">AVERAGE(OFFSET($AM$3,0,0,'Données projet'!$E$10+1,1))-AVERAGE(OFFSET($H$3,0,0,'Données projet'!$E$10+1,1))</f>
        <v>342.49944586217674</v>
      </c>
      <c r="AO16" s="59">
        <f t="shared" si="36"/>
        <v>282.29766600872563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34.529040000000009</v>
      </c>
      <c r="BF16" s="13">
        <f t="shared" si="37"/>
        <v>10.536391336679102</v>
      </c>
      <c r="BG16" s="20">
        <f t="shared" si="7"/>
        <v>78.488959578049446</v>
      </c>
      <c r="BH16" s="59">
        <f t="shared" si="8"/>
        <v>371.82229291138276</v>
      </c>
      <c r="BI16" s="59">
        <f ca="1">AVERAGE(OFFSET($BH$3,0,0,'Données projet'!$E$11+1,1))-AVERAGE(OFFSET($H$3,0,0,'Données projet'!$E$11+1,1))</f>
        <v>279.49721661620544</v>
      </c>
      <c r="BJ16" s="59">
        <f t="shared" si="38"/>
        <v>275.18739333988754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1.8666666666666667</v>
      </c>
      <c r="BY16" s="12">
        <f>IF('Données projet'!$A$114&gt;35,BY15+BX16-CG15,IF(A16&lt;'Données projet'!$A$114,$BV$205^A16,IF(A16='Données projet'!$A$114,'Données projet'!$B$114,BY15+BX16-CG15)))</f>
        <v>17.955753188674215</v>
      </c>
      <c r="BZ16" s="13">
        <f>BY16*VLOOKUP('Données projet'!$B$12,Paramètres!$A$1:$I$89,3,0)*VLOOKUP('Données projet'!$B$12,Paramètres!$A$1:$I$89,5,0)</f>
        <v>8.636717283752299</v>
      </c>
      <c r="CA16" s="13">
        <f t="shared" si="39"/>
        <v>3.096775905671223</v>
      </c>
      <c r="CB16" s="20">
        <f t="shared" si="10"/>
        <v>20.435833971579299</v>
      </c>
      <c r="CC16" s="59">
        <f t="shared" si="11"/>
        <v>313.76916730491263</v>
      </c>
      <c r="CD16" s="59">
        <f ca="1">AVERAGE(OFFSET($CC$3,0,0,'Données projet'!$E$12+1,1))-AVERAGE(OFFSET($H$3,0,0,'Données projet'!$E$12+1,1))</f>
        <v>349.65790906807746</v>
      </c>
      <c r="CE16" s="59">
        <f t="shared" si="40"/>
        <v>291.88925884278888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3.56</v>
      </c>
      <c r="CT16" s="12">
        <f>IF('Données projet'!$A$140&gt;35,CT15+CS16-DB15,IF(A16&lt;'Données projet'!$A$140,$CQ$205^A16,IF(A16='Données projet'!$A$140,'Données projet'!$B$140,CT15+CS16-DB15)))</f>
        <v>10.320073811043248</v>
      </c>
      <c r="CU16" s="17">
        <f>CT16*VLOOKUP('Données projet'!$B$13,Paramètres!$A$1:$I$89,3,0)*VLOOKUP('Données projet'!$B$13,Paramètres!$A$1:$I$89,5,0)</f>
        <v>8.049657572613734</v>
      </c>
      <c r="CV16" s="13">
        <f t="shared" si="41"/>
        <v>2.9100267483017022</v>
      </c>
      <c r="CW16" s="20">
        <f t="shared" si="13"/>
        <v>19.088116858927716</v>
      </c>
      <c r="CX16" s="59">
        <f t="shared" si="14"/>
        <v>312.42145019226103</v>
      </c>
      <c r="CY16" s="59">
        <f ca="1">AVERAGE(OFFSET($CX$3,0,0,'Données projet'!$E$13+1,1))-AVERAGE(OFFSET($H$3,0,0,'Données projet'!$E$13+1,1))</f>
        <v>215.84581110302656</v>
      </c>
      <c r="CZ16" s="59">
        <f t="shared" si="42"/>
        <v>193.88588526156104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23</v>
      </c>
      <c r="N17" s="13">
        <f>IF('Données projet'!$A$36&gt;35,N16+M17-V16,IF(A17&lt;'Données projet'!$A$36,$K$205^A17,IF(A17='Données projet'!$A$36,'Données projet'!$B$36,N16+M17-V16)))</f>
        <v>131</v>
      </c>
      <c r="O17" s="13">
        <f>N17*VLOOKUP('Données projet'!$B$9,Paramètres!$A$1:$I$89,3,0)*VLOOKUP('Données projet'!$B$9,Paramètres!$A$1:$I$89,5,0)</f>
        <v>81.744</v>
      </c>
      <c r="P17" s="13">
        <f t="shared" si="33"/>
        <v>22.563064513367394</v>
      </c>
      <c r="Q17" s="20">
        <f t="shared" si="2"/>
        <v>181.66813736078151</v>
      </c>
      <c r="R17" s="59">
        <f t="shared" si="0"/>
        <v>475.0014706941148</v>
      </c>
      <c r="S17" s="59">
        <f ca="1">AVERAGE(OFFSET($R$3,0,0,'Données projet'!$E$9+1,1))-AVERAGE(OFFSET($H$3,0,0,'Données projet'!$E$9+1,1))</f>
        <v>269.77739619445515</v>
      </c>
      <c r="T17" s="59">
        <f t="shared" si="34"/>
        <v>347.56964743629885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6.358616582908633</v>
      </c>
      <c r="AC17" s="22">
        <f t="shared" si="3"/>
        <v>6.358616582908633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3.0666666666666669</v>
      </c>
      <c r="AI17" s="13">
        <f>IF('Données projet'!$A$62&gt;35,AI16+AH17-AQ16,IF(A17&lt;'Données projet'!$A$62,$AF$205^A17,IF(A17='Données projet'!$A$62,'Données projet'!$B$62,AI16+AH17-AQ16)))</f>
        <v>35.637506503287135</v>
      </c>
      <c r="AJ17" s="13">
        <f>AI17*VLOOKUP('Données projet'!$B$10,Paramètres!$A$1:$I$89,3,0)*VLOOKUP('Données projet'!$B$10,Paramètres!$A$1:$I$89,5,0)</f>
        <v>16.67835304353838</v>
      </c>
      <c r="AK17" s="13">
        <f t="shared" si="35"/>
        <v>5.5391943011246507</v>
      </c>
      <c r="AL17" s="20">
        <f t="shared" si="4"/>
        <v>38.695561625288114</v>
      </c>
      <c r="AM17" s="59">
        <f t="shared" si="5"/>
        <v>332.02889495862144</v>
      </c>
      <c r="AN17" s="59">
        <f ca="1">AVERAGE(OFFSET($AM$3,0,0,'Données projet'!$E$10+1,1))-AVERAGE(OFFSET($H$3,0,0,'Données projet'!$E$10+1,1))</f>
        <v>342.49944586217674</v>
      </c>
      <c r="AO17" s="59">
        <f t="shared" si="36"/>
        <v>282.29766600872563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43.121520000000004</v>
      </c>
      <c r="BF17" s="13">
        <f t="shared" si="37"/>
        <v>12.822353245070515</v>
      </c>
      <c r="BG17" s="20">
        <f t="shared" si="7"/>
        <v>97.435579235164482</v>
      </c>
      <c r="BH17" s="59">
        <f t="shared" si="8"/>
        <v>390.7689125684978</v>
      </c>
      <c r="BI17" s="59">
        <f ca="1">AVERAGE(OFFSET($BH$3,0,0,'Données projet'!$E$11+1,1))-AVERAGE(OFFSET($H$3,0,0,'Données projet'!$E$11+1,1))</f>
        <v>279.49721661620544</v>
      </c>
      <c r="BJ17" s="59">
        <f t="shared" si="38"/>
        <v>275.18739333988754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1.8666666666666667</v>
      </c>
      <c r="BY17" s="12">
        <f>IF('Données projet'!$A$114&gt;35,BY16+BX17-CG16,IF(A17&lt;'Données projet'!$A$114,$BV$205^A17,IF(A17='Données projet'!$A$114,'Données projet'!$B$114,BY16+BX17-CG16)))</f>
        <v>22.42233460821771</v>
      </c>
      <c r="BZ17" s="13">
        <f>BY17*VLOOKUP('Données projet'!$B$12,Paramètres!$A$1:$I$89,3,0)*VLOOKUP('Données projet'!$B$12,Paramètres!$A$1:$I$89,5,0)</f>
        <v>10.785142946552719</v>
      </c>
      <c r="CA17" s="13">
        <f t="shared" si="39"/>
        <v>3.7684003467275389</v>
      </c>
      <c r="CB17" s="20">
        <f t="shared" si="10"/>
        <v>25.347421235796446</v>
      </c>
      <c r="CC17" s="59">
        <f t="shared" si="11"/>
        <v>318.68075456912976</v>
      </c>
      <c r="CD17" s="59">
        <f ca="1">AVERAGE(OFFSET($CC$3,0,0,'Données projet'!$E$12+1,1))-AVERAGE(OFFSET($H$3,0,0,'Données projet'!$E$12+1,1))</f>
        <v>349.65790906807746</v>
      </c>
      <c r="CE17" s="59">
        <f t="shared" si="40"/>
        <v>291.88925884278888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3.56</v>
      </c>
      <c r="CT17" s="12">
        <f>IF('Données projet'!$A$140&gt;35,CT16+CS17-DB16,IF(A17&lt;'Données projet'!$A$140,$CQ$205^A17,IF(A17='Données projet'!$A$140,'Données projet'!$B$140,CT16+CS17-DB16)))</f>
        <v>12.349756756499216</v>
      </c>
      <c r="CU17" s="17">
        <f>CT17*VLOOKUP('Données projet'!$B$13,Paramètres!$A$1:$I$89,3,0)*VLOOKUP('Données projet'!$B$13,Paramètres!$A$1:$I$89,5,0)</f>
        <v>9.6328102700693883</v>
      </c>
      <c r="CV17" s="13">
        <f t="shared" si="41"/>
        <v>3.4103285541655652</v>
      </c>
      <c r="CW17" s="20">
        <f t="shared" si="13"/>
        <v>22.716800118875877</v>
      </c>
      <c r="CX17" s="59">
        <f t="shared" si="14"/>
        <v>316.0501334522092</v>
      </c>
      <c r="CY17" s="59">
        <f ca="1">AVERAGE(OFFSET($CX$3,0,0,'Données projet'!$E$13+1,1))-AVERAGE(OFFSET($H$3,0,0,'Données projet'!$E$13+1,1))</f>
        <v>215.84581110302656</v>
      </c>
      <c r="CZ17" s="59">
        <f t="shared" si="42"/>
        <v>193.88588526156104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23</v>
      </c>
      <c r="N18" s="13">
        <f>IF('Données projet'!$A$36&gt;35,N17+M18-V17,IF(A18&lt;'Données projet'!$A$36,$K$205^A18,IF(A18='Données projet'!$A$36,'Données projet'!$B$36,N17+M18-V17)))</f>
        <v>154</v>
      </c>
      <c r="O18" s="13">
        <f>N18*VLOOKUP('Données projet'!$B$9,Paramètres!$A$1:$I$89,3,0)*VLOOKUP('Données projet'!$B$9,Paramètres!$A$1:$I$89,5,0)</f>
        <v>96.096000000000004</v>
      </c>
      <c r="P18" s="13">
        <f t="shared" si="33"/>
        <v>26.029778784173352</v>
      </c>
      <c r="Q18" s="20">
        <f t="shared" si="2"/>
        <v>212.70239804910193</v>
      </c>
      <c r="R18" s="59">
        <f t="shared" si="0"/>
        <v>506.03573138243524</v>
      </c>
      <c r="S18" s="59">
        <f ca="1">AVERAGE(OFFSET($R$3,0,0,'Données projet'!$E$9+1,1))-AVERAGE(OFFSET($H$3,0,0,'Données projet'!$E$9+1,1))</f>
        <v>269.77739619445515</v>
      </c>
      <c r="T18" s="59">
        <f t="shared" si="34"/>
        <v>347.56964743629885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4.4962209047399275</v>
      </c>
      <c r="AC18" s="22">
        <f t="shared" si="3"/>
        <v>4.4962209047399275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46</v>
      </c>
      <c r="AG18" s="12">
        <f>VLOOKUP(A18,'Données projet'!$A$61:$I$81,9,0)</f>
        <v>3.0666666666666669</v>
      </c>
      <c r="AH18" s="12">
        <f t="array" ref="AH18">INDEX(AG:AG,MIN(IF(ISNUMBER(AG18:AG214),ROW(AG18:AG214),"")))</f>
        <v>3.0666666666666669</v>
      </c>
      <c r="AI18" s="13">
        <f>IF('Données projet'!$A$62&gt;35,AI17+AH18-AQ17,IF(A18&lt;'Données projet'!$A$62,$AF$205^A18,IF(A18='Données projet'!$A$62,'Données projet'!$B$62,AI17+AH18-AQ17)))</f>
        <v>46</v>
      </c>
      <c r="AJ18" s="13">
        <f>AI18*VLOOKUP('Données projet'!$B$10,Paramètres!$A$1:$I$89,3,0)*VLOOKUP('Données projet'!$B$10,Paramètres!$A$1:$I$89,5,0)</f>
        <v>21.527999999999999</v>
      </c>
      <c r="AK18" s="13">
        <f t="shared" si="35"/>
        <v>6.9405537312613585</v>
      </c>
      <c r="AL18" s="20">
        <f t="shared" si="4"/>
        <v>49.582731081946861</v>
      </c>
      <c r="AM18" s="59">
        <f t="shared" si="5"/>
        <v>342.91606441528018</v>
      </c>
      <c r="AN18" s="59">
        <f ca="1">AVERAGE(OFFSET($AM$3,0,0,'Données projet'!$E$10+1,1))-AVERAGE(OFFSET($H$3,0,0,'Données projet'!$E$10+1,1))</f>
        <v>342.49944586217674</v>
      </c>
      <c r="AO18" s="59">
        <f t="shared" si="36"/>
        <v>282.29766600872563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51.713999999999999</v>
      </c>
      <c r="BF18" s="13">
        <f t="shared" si="37"/>
        <v>15.055535578337075</v>
      </c>
      <c r="BG18" s="20">
        <f t="shared" si="7"/>
        <v>116.29027446560372</v>
      </c>
      <c r="BH18" s="59">
        <f t="shared" si="8"/>
        <v>409.62360779893703</v>
      </c>
      <c r="BI18" s="59">
        <f ca="1">AVERAGE(OFFSET($BH$3,0,0,'Données projet'!$E$11+1,1))-AVERAGE(OFFSET($H$3,0,0,'Données projet'!$E$11+1,1))</f>
        <v>279.49721661620544</v>
      </c>
      <c r="BJ18" s="59">
        <f t="shared" si="38"/>
        <v>275.18739333988754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28</v>
      </c>
      <c r="BW18" s="12">
        <f>VLOOKUP(A18,'Données projet'!$A$113:$I$133,9,0)</f>
        <v>1.8666666666666667</v>
      </c>
      <c r="BX18" s="12">
        <f t="array" ref="BX18">INDEX(BW:BW,MIN(IF(ISNUMBER(BW18:BW214),ROW(BW18:BW214),"")))</f>
        <v>1.8666666666666667</v>
      </c>
      <c r="BY18" s="12">
        <f>IF('Données projet'!$A$114&gt;35,BY17+BX18-CG17,IF(A18&lt;'Données projet'!$A$114,$BV$205^A18,IF(A18='Données projet'!$A$114,'Données projet'!$B$114,BY17+BX18-CG17)))</f>
        <v>28</v>
      </c>
      <c r="BZ18" s="13">
        <f>BY18*VLOOKUP('Données projet'!$B$12,Paramètres!$A$1:$I$89,3,0)*VLOOKUP('Données projet'!$B$12,Paramètres!$A$1:$I$89,5,0)</f>
        <v>13.468</v>
      </c>
      <c r="CA18" s="13">
        <f t="shared" si="39"/>
        <v>4.5856857602159096</v>
      </c>
      <c r="CB18" s="20">
        <f t="shared" si="10"/>
        <v>31.443502699042707</v>
      </c>
      <c r="CC18" s="59">
        <f t="shared" si="11"/>
        <v>324.77683603237602</v>
      </c>
      <c r="CD18" s="59">
        <f ca="1">AVERAGE(OFFSET($CC$3,0,0,'Données projet'!$E$12+1,1))-AVERAGE(OFFSET($H$3,0,0,'Données projet'!$E$12+1,1))</f>
        <v>349.65790906807746</v>
      </c>
      <c r="CE18" s="59">
        <f t="shared" si="40"/>
        <v>291.88925884278888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3.56</v>
      </c>
      <c r="CT18" s="12">
        <f>IF('Données projet'!$A$140&gt;35,CT17+CS18-DB17,IF(A18&lt;'Données projet'!$A$140,$CQ$205^A18,IF(A18='Données projet'!$A$140,'Données projet'!$B$140,CT17+CS18-DB17)))</f>
        <v>14.778624139441142</v>
      </c>
      <c r="CU18" s="17">
        <f>CT18*VLOOKUP('Données projet'!$B$13,Paramètres!$A$1:$I$89,3,0)*VLOOKUP('Données projet'!$B$13,Paramètres!$A$1:$I$89,5,0)</f>
        <v>11.527326828764091</v>
      </c>
      <c r="CV18" s="13">
        <f t="shared" si="41"/>
        <v>3.9966439669822584</v>
      </c>
      <c r="CW18" s="20">
        <f t="shared" si="13"/>
        <v>27.037582469258226</v>
      </c>
      <c r="CX18" s="59">
        <f t="shared" si="14"/>
        <v>320.37091580259153</v>
      </c>
      <c r="CY18" s="59">
        <f ca="1">AVERAGE(OFFSET($CX$3,0,0,'Données projet'!$E$13+1,1))-AVERAGE(OFFSET($H$3,0,0,'Données projet'!$E$13+1,1))</f>
        <v>215.84581110302656</v>
      </c>
      <c r="CZ18" s="59">
        <f t="shared" si="42"/>
        <v>193.88588526156104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23</v>
      </c>
      <c r="N19" s="13">
        <f>IF('Données projet'!$A$36&gt;35,N18+M19-V18,IF(A19&lt;'Données projet'!$A$36,$K$205^A19,IF(A19='Données projet'!$A$36,'Données projet'!$B$36,N18+M19-V18)))</f>
        <v>177</v>
      </c>
      <c r="O19" s="13">
        <f>N19*VLOOKUP('Données projet'!$B$9,Paramètres!$A$1:$I$89,3,0)*VLOOKUP('Données projet'!$B$9,Paramètres!$A$1:$I$89,5,0)</f>
        <v>110.44799999999999</v>
      </c>
      <c r="P19" s="13">
        <f t="shared" si="33"/>
        <v>29.436511885319565</v>
      </c>
      <c r="Q19" s="20">
        <f t="shared" si="2"/>
        <v>243.63219153359822</v>
      </c>
      <c r="R19" s="59">
        <f t="shared" si="0"/>
        <v>536.96552486693156</v>
      </c>
      <c r="S19" s="59">
        <f ca="1">AVERAGE(OFFSET($R$3,0,0,'Données projet'!$E$9+1,1))-AVERAGE(OFFSET($H$3,0,0,'Données projet'!$E$9+1,1))</f>
        <v>269.77739619445515</v>
      </c>
      <c r="T19" s="59">
        <f t="shared" si="34"/>
        <v>347.56964743629885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3.1793082914543169</v>
      </c>
      <c r="AC19" s="22">
        <f t="shared" si="3"/>
        <v>3.1793082914543169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17.600000000000001</v>
      </c>
      <c r="AI19" s="13">
        <f>IF('Données projet'!$A$62&gt;35,AI18+AH19-AQ18,IF(A19&lt;'Données projet'!$A$62,$AF$205^A19,IF(A19='Données projet'!$A$62,'Données projet'!$B$62,AI18+AH19-AQ18)))</f>
        <v>63.6</v>
      </c>
      <c r="AJ19" s="13">
        <f>AI19*VLOOKUP('Données projet'!$B$10,Paramètres!$A$1:$I$89,3,0)*VLOOKUP('Données projet'!$B$10,Paramètres!$A$1:$I$89,5,0)</f>
        <v>29.764800000000001</v>
      </c>
      <c r="AK19" s="13">
        <f t="shared" si="35"/>
        <v>9.2409369697206341</v>
      </c>
      <c r="AL19" s="20">
        <f t="shared" si="4"/>
        <v>67.934991888930114</v>
      </c>
      <c r="AM19" s="59">
        <f t="shared" si="5"/>
        <v>361.26832522226346</v>
      </c>
      <c r="AN19" s="59">
        <f ca="1">AVERAGE(OFFSET($AM$3,0,0,'Données projet'!$E$10+1,1))-AVERAGE(OFFSET($H$3,0,0,'Données projet'!$E$10+1,1))</f>
        <v>342.49944586217674</v>
      </c>
      <c r="AO19" s="59">
        <f t="shared" si="36"/>
        <v>282.29766600872563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37.234079999999999</v>
      </c>
      <c r="BF19" s="13">
        <f t="shared" si="37"/>
        <v>11.262510356679771</v>
      </c>
      <c r="BG19" s="20">
        <f t="shared" si="7"/>
        <v>84.464894871217254</v>
      </c>
      <c r="BH19" s="59">
        <f t="shared" si="8"/>
        <v>377.79822820455058</v>
      </c>
      <c r="BI19" s="59">
        <f ca="1">AVERAGE(OFFSET($BH$3,0,0,'Données projet'!$E$11+1,1))-AVERAGE(OFFSET($H$3,0,0,'Données projet'!$E$11+1,1))</f>
        <v>279.49721661620544</v>
      </c>
      <c r="BJ19" s="59">
        <f t="shared" si="38"/>
        <v>275.18739333988754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20</v>
      </c>
      <c r="BY19" s="12">
        <f>IF('Données projet'!$A$114&gt;35,BY18+BX19-CG18,IF(A19&lt;'Données projet'!$A$114,$BV$205^A19,IF(A19='Données projet'!$A$114,'Données projet'!$B$114,BY18+BX19-CG18)))</f>
        <v>48</v>
      </c>
      <c r="BZ19" s="13">
        <f>BY19*VLOOKUP('Données projet'!$B$12,Paramètres!$A$1:$I$89,3,0)*VLOOKUP('Données projet'!$B$12,Paramètres!$A$1:$I$89,5,0)</f>
        <v>23.087999999999997</v>
      </c>
      <c r="CA19" s="13">
        <f t="shared" si="39"/>
        <v>7.3831248366439288</v>
      </c>
      <c r="CB19" s="20">
        <f t="shared" si="10"/>
        <v>53.070542423821507</v>
      </c>
      <c r="CC19" s="59">
        <f t="shared" si="11"/>
        <v>346.40387575715482</v>
      </c>
      <c r="CD19" s="59">
        <f ca="1">AVERAGE(OFFSET($CC$3,0,0,'Données projet'!$E$12+1,1))-AVERAGE(OFFSET($H$3,0,0,'Données projet'!$E$12+1,1))</f>
        <v>349.65790906807746</v>
      </c>
      <c r="CE19" s="59">
        <f t="shared" si="40"/>
        <v>291.88925884278888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3.56</v>
      </c>
      <c r="CT19" s="12">
        <f>IF('Données projet'!$A$140&gt;35,CT18+CS19-DB18,IF(A19&lt;'Données projet'!$A$140,$CQ$205^A19,IF(A19='Données projet'!$A$140,'Données projet'!$B$140,CT18+CS19-DB18)))</f>
        <v>17.68518487944571</v>
      </c>
      <c r="CU19" s="17">
        <f>CT19*VLOOKUP('Données projet'!$B$13,Paramètres!$A$1:$I$89,3,0)*VLOOKUP('Données projet'!$B$13,Paramètres!$A$1:$I$89,5,0)</f>
        <v>13.794444205967654</v>
      </c>
      <c r="CV19" s="13">
        <f t="shared" si="41"/>
        <v>4.6837607418514473</v>
      </c>
      <c r="CW19" s="20">
        <f t="shared" si="13"/>
        <v>32.182873617451598</v>
      </c>
      <c r="CX19" s="59">
        <f t="shared" si="14"/>
        <v>325.51620695078492</v>
      </c>
      <c r="CY19" s="59">
        <f ca="1">AVERAGE(OFFSET($CX$3,0,0,'Données projet'!$E$13+1,1))-AVERAGE(OFFSET($H$3,0,0,'Données projet'!$E$13+1,1))</f>
        <v>215.84581110302656</v>
      </c>
      <c r="CZ19" s="59">
        <f t="shared" si="42"/>
        <v>193.88588526156104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200</v>
      </c>
      <c r="O20" s="13">
        <f>N20*VLOOKUP('Données projet'!$B$9,Paramètres!$A$1:$I$89,3,0)*VLOOKUP('Données projet'!$B$9,Paramètres!$A$1:$I$89,5,0)</f>
        <v>124.80000000000001</v>
      </c>
      <c r="P20" s="13">
        <f t="shared" si="33"/>
        <v>32.791952217579265</v>
      </c>
      <c r="Q20" s="20">
        <f t="shared" si="2"/>
        <v>274.47265011228387</v>
      </c>
      <c r="R20" s="59">
        <f t="shared" si="0"/>
        <v>567.80598344561713</v>
      </c>
      <c r="S20" s="59">
        <f ca="1">AVERAGE(OFFSET($R$3,0,0,'Données projet'!$E$9+1,1))-AVERAGE(OFFSET($H$3,0,0,'Données projet'!$E$9+1,1))</f>
        <v>269.77739619445515</v>
      </c>
      <c r="T20" s="59">
        <f t="shared" si="34"/>
        <v>347.56964743629885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2.2481104523699642</v>
      </c>
      <c r="AC20" s="22">
        <f t="shared" si="3"/>
        <v>2.2481104523699642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17.600000000000001</v>
      </c>
      <c r="AI20" s="13">
        <f>IF('Données projet'!$A$62&gt;35,AI19+AH20-AQ19,IF(A20&lt;'Données projet'!$A$62,$AF$205^A20,IF(A20='Données projet'!$A$62,'Données projet'!$B$62,AI19+AH20-AQ19)))</f>
        <v>81.2</v>
      </c>
      <c r="AJ20" s="13">
        <f>AI20*VLOOKUP('Données projet'!$B$10,Paramètres!$A$1:$I$89,3,0)*VLOOKUP('Données projet'!$B$10,Paramètres!$A$1:$I$89,5,0)</f>
        <v>38.001600000000003</v>
      </c>
      <c r="AK20" s="13">
        <f t="shared" si="35"/>
        <v>11.467401227090512</v>
      </c>
      <c r="AL20" s="20">
        <f t="shared" si="4"/>
        <v>86.158510470515978</v>
      </c>
      <c r="AM20" s="59">
        <f t="shared" si="5"/>
        <v>379.49184380384929</v>
      </c>
      <c r="AN20" s="59">
        <f ca="1">AVERAGE(OFFSET($AM$3,0,0,'Données projet'!$E$10+1,1))-AVERAGE(OFFSET($H$3,0,0,'Données projet'!$E$10+1,1))</f>
        <v>342.49944586217674</v>
      </c>
      <c r="AO20" s="59">
        <f t="shared" si="36"/>
        <v>282.29766600872563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48.213360000000002</v>
      </c>
      <c r="BF20" s="13">
        <f t="shared" si="37"/>
        <v>14.151379520104694</v>
      </c>
      <c r="BG20" s="20">
        <f t="shared" si="7"/>
        <v>108.61858799751566</v>
      </c>
      <c r="BH20" s="59">
        <f t="shared" si="8"/>
        <v>401.95192133084896</v>
      </c>
      <c r="BI20" s="59">
        <f ca="1">AVERAGE(OFFSET($BH$3,0,0,'Données projet'!$E$11+1,1))-AVERAGE(OFFSET($H$3,0,0,'Données projet'!$E$11+1,1))</f>
        <v>279.49721661620544</v>
      </c>
      <c r="BJ20" s="59">
        <f t="shared" si="38"/>
        <v>275.18739333988754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20</v>
      </c>
      <c r="BY20" s="12">
        <f>IF('Données projet'!$A$114&gt;35,BY19+BX20-CG19,IF(A20&lt;'Données projet'!$A$114,$BV$205^A20,IF(A20='Données projet'!$A$114,'Données projet'!$B$114,BY19+BX20-CG19)))</f>
        <v>68</v>
      </c>
      <c r="BZ20" s="13">
        <f>BY20*VLOOKUP('Données projet'!$B$12,Paramètres!$A$1:$I$89,3,0)*VLOOKUP('Données projet'!$B$12,Paramètres!$A$1:$I$89,5,0)</f>
        <v>32.707999999999998</v>
      </c>
      <c r="CA20" s="13">
        <f t="shared" si="39"/>
        <v>10.04385257881656</v>
      </c>
      <c r="CB20" s="20">
        <f t="shared" si="10"/>
        <v>74.459476574772168</v>
      </c>
      <c r="CC20" s="59">
        <f t="shared" si="11"/>
        <v>367.79280990810548</v>
      </c>
      <c r="CD20" s="59">
        <f ca="1">AVERAGE(OFFSET($CC$3,0,0,'Données projet'!$E$12+1,1))-AVERAGE(OFFSET($H$3,0,0,'Données projet'!$E$12+1,1))</f>
        <v>349.65790906807746</v>
      </c>
      <c r="CE20" s="59">
        <f t="shared" si="40"/>
        <v>291.88925884278888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3.56</v>
      </c>
      <c r="CT20" s="12">
        <f>IF('Données projet'!$A$140&gt;35,CT19+CS20-DB19,IF(A20&lt;'Données projet'!$A$140,$CQ$205^A20,IF(A20='Données projet'!$A$140,'Données projet'!$B$140,CT19+CS20-DB19)))</f>
        <v>21.163388504175224</v>
      </c>
      <c r="CU20" s="17">
        <f>CT20*VLOOKUP('Données projet'!$B$13,Paramètres!$A$1:$I$89,3,0)*VLOOKUP('Données projet'!$B$13,Paramètres!$A$1:$I$89,5,0)</f>
        <v>16.507443033256674</v>
      </c>
      <c r="CV20" s="13">
        <f t="shared" si="41"/>
        <v>5.4890089955831698</v>
      </c>
      <c r="CW20" s="20">
        <f t="shared" si="13"/>
        <v>38.310487283562729</v>
      </c>
      <c r="CX20" s="59">
        <f t="shared" si="14"/>
        <v>331.64382061689605</v>
      </c>
      <c r="CY20" s="59">
        <f ca="1">AVERAGE(OFFSET($CX$3,0,0,'Données projet'!$E$13+1,1))-AVERAGE(OFFSET($H$3,0,0,'Données projet'!$E$13+1,1))</f>
        <v>215.84581110302656</v>
      </c>
      <c r="CZ20" s="59">
        <f t="shared" si="42"/>
        <v>193.88588526156104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223</v>
      </c>
      <c r="L21" s="12">
        <f>VLOOKUP(A21,'Données projet'!$A$35:$I$55,9,0)</f>
        <v>23</v>
      </c>
      <c r="M21" s="12">
        <f t="array" ref="M21">INDEX(L:L,MIN(IF(ISNUMBER(L21:L217),ROW(L21:L217),"")))</f>
        <v>23</v>
      </c>
      <c r="N21" s="13">
        <f>IF('Données projet'!$A$36&gt;35,N20+M21-V20,IF(A21&lt;'Données projet'!$A$36,$K$205^A21,IF(A21='Données projet'!$A$36,'Données projet'!$B$36,N20+M21-V20)))</f>
        <v>223</v>
      </c>
      <c r="O21" s="13">
        <f>N21*VLOOKUP('Données projet'!$B$9,Paramètres!$A$1:$I$89,3,0)*VLOOKUP('Données projet'!$B$9,Paramètres!$A$1:$I$89,5,0)</f>
        <v>139.15199999999999</v>
      </c>
      <c r="P21" s="13">
        <f t="shared" si="33"/>
        <v>36.102671964783006</v>
      </c>
      <c r="Q21" s="20">
        <f t="shared" si="2"/>
        <v>305.23522033866374</v>
      </c>
      <c r="R21" s="59">
        <f t="shared" si="0"/>
        <v>598.56855367199705</v>
      </c>
      <c r="S21" s="59">
        <f ca="1">AVERAGE(OFFSET($R$3,0,0,'Données projet'!$E$9+1,1))-AVERAGE(OFFSET($H$3,0,0,'Données projet'!$E$9+1,1))</f>
        <v>269.77739619445515</v>
      </c>
      <c r="T21" s="59">
        <f t="shared" si="34"/>
        <v>347.56964743629885</v>
      </c>
      <c r="U21" s="15">
        <f>IF(ISNA(VLOOKUP(A21,'Données projet'!$A$35:$I$55,3,0)),0,VLOOKUP(A21,'Données projet'!$A$35:$I$55,3,0))</f>
        <v>2</v>
      </c>
      <c r="V21" s="15">
        <f>IF(ISNA(VLOOKUP(A21,'Données projet'!$A$35:$I$55,4,0)),0,VLOOKUP(A21,'Données projet'!$A$35:$I$55,4,0))</f>
        <v>84.3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41.704067321283624</v>
      </c>
      <c r="AB21" s="21">
        <f>EXP(-LN(2)/2)*AB20+(1-EXP(-LN(2)/2))/(LN(2)/2)*V21*Y21*VLOOKUP('Données projet'!$B$9,Paramètres!$A$1:$I$89,3,0)*0.475*44/12</f>
        <v>1.5896541457271587</v>
      </c>
      <c r="AC21" s="22">
        <f t="shared" si="3"/>
        <v>43.293721467010783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17.600000000000001</v>
      </c>
      <c r="AI21" s="13">
        <f>IF('Données projet'!$A$62&gt;35,AI20+AH21-AQ20,IF(A21&lt;'Données projet'!$A$62,$AF$205^A21,IF(A21='Données projet'!$A$62,'Données projet'!$B$62,AI20+AH21-AQ20)))</f>
        <v>98.800000000000011</v>
      </c>
      <c r="AJ21" s="13">
        <f>AI21*VLOOKUP('Données projet'!$B$10,Paramètres!$A$1:$I$89,3,0)*VLOOKUP('Données projet'!$B$10,Paramètres!$A$1:$I$89,5,0)</f>
        <v>46.238400000000006</v>
      </c>
      <c r="AK21" s="13">
        <f t="shared" si="35"/>
        <v>13.637932508790355</v>
      </c>
      <c r="AL21" s="20">
        <f t="shared" si="4"/>
        <v>104.28461245280988</v>
      </c>
      <c r="AM21" s="59">
        <f t="shared" si="5"/>
        <v>397.6179457861432</v>
      </c>
      <c r="AN21" s="59">
        <f ca="1">AVERAGE(OFFSET($AM$3,0,0,'Données projet'!$E$10+1,1))-AVERAGE(OFFSET($H$3,0,0,'Données projet'!$E$10+1,1))</f>
        <v>342.49944586217674</v>
      </c>
      <c r="AO21" s="59">
        <f t="shared" si="36"/>
        <v>282.29766600872563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59.192639999999997</v>
      </c>
      <c r="BF21" s="13">
        <f t="shared" si="37"/>
        <v>16.963982408330725</v>
      </c>
      <c r="BG21" s="20">
        <f t="shared" si="7"/>
        <v>132.63945069450935</v>
      </c>
      <c r="BH21" s="59">
        <f t="shared" si="8"/>
        <v>425.97278402784264</v>
      </c>
      <c r="BI21" s="59">
        <f ca="1">AVERAGE(OFFSET($BH$3,0,0,'Données projet'!$E$11+1,1))-AVERAGE(OFFSET($H$3,0,0,'Données projet'!$E$11+1,1))</f>
        <v>279.49721661620544</v>
      </c>
      <c r="BJ21" s="59">
        <f t="shared" si="38"/>
        <v>275.18739333988754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20</v>
      </c>
      <c r="BY21" s="12">
        <f>IF('Données projet'!$A$114&gt;35,BY20+BX21-CG20,IF(A21&lt;'Données projet'!$A$114,$BV$205^A21,IF(A21='Données projet'!$A$114,'Données projet'!$B$114,BY20+BX21-CG20)))</f>
        <v>88</v>
      </c>
      <c r="BZ21" s="13">
        <f>BY21*VLOOKUP('Données projet'!$B$12,Paramètres!$A$1:$I$89,3,0)*VLOOKUP('Données projet'!$B$12,Paramètres!$A$1:$I$89,5,0)</f>
        <v>42.328000000000003</v>
      </c>
      <c r="CA21" s="13">
        <f t="shared" si="39"/>
        <v>12.613637433293011</v>
      </c>
      <c r="CB21" s="20">
        <f t="shared" si="10"/>
        <v>95.690018529651979</v>
      </c>
      <c r="CC21" s="59">
        <f t="shared" si="11"/>
        <v>389.02335186298529</v>
      </c>
      <c r="CD21" s="59">
        <f ca="1">AVERAGE(OFFSET($CC$3,0,0,'Données projet'!$E$12+1,1))-AVERAGE(OFFSET($H$3,0,0,'Données projet'!$E$12+1,1))</f>
        <v>349.65790906807746</v>
      </c>
      <c r="CE21" s="59">
        <f t="shared" si="40"/>
        <v>291.88925884278888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3.56</v>
      </c>
      <c r="CT21" s="12">
        <f>IF('Données projet'!$A$140&gt;35,CT20+CS21-DB20,IF(A21&lt;'Données projet'!$A$140,$CQ$205^A21,IF(A21='Données projet'!$A$140,'Données projet'!$B$140,CT20+CS21-DB20)))</f>
        <v>25.325661904683113</v>
      </c>
      <c r="CU21" s="17">
        <f>CT21*VLOOKUP('Données projet'!$B$13,Paramètres!$A$1:$I$89,3,0)*VLOOKUP('Données projet'!$B$13,Paramètres!$A$1:$I$89,5,0)</f>
        <v>19.754016285652828</v>
      </c>
      <c r="CV21" s="13">
        <f t="shared" si="41"/>
        <v>6.4326982982660121</v>
      </c>
      <c r="CW21" s="20">
        <f t="shared" si="13"/>
        <v>45.608527900325306</v>
      </c>
      <c r="CX21" s="59">
        <f t="shared" si="14"/>
        <v>338.94186123365864</v>
      </c>
      <c r="CY21" s="59">
        <f ca="1">AVERAGE(OFFSET($CX$3,0,0,'Données projet'!$E$13+1,1))-AVERAGE(OFFSET($H$3,0,0,'Données projet'!$E$13+1,1))</f>
        <v>215.84581110302656</v>
      </c>
      <c r="CZ21" s="59">
        <f t="shared" si="42"/>
        <v>193.88588526156104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19.216666666666669</v>
      </c>
      <c r="N22" s="13">
        <f>IF('Données projet'!$A$36&gt;35,N21+M22-V21,IF(A22&lt;'Données projet'!$A$36,$K$205^A22,IF(A22='Données projet'!$A$36,'Données projet'!$B$36,N21+M22-V21)))</f>
        <v>157.91666666666669</v>
      </c>
      <c r="O22" s="13">
        <f>N22*VLOOKUP('Données projet'!$B$9,Paramètres!$A$1:$I$89,3,0)*VLOOKUP('Données projet'!$B$9,Paramètres!$A$1:$I$89,5,0)</f>
        <v>98.54000000000002</v>
      </c>
      <c r="P22" s="13">
        <f t="shared" si="33"/>
        <v>26.613875509207226</v>
      </c>
      <c r="Q22" s="20">
        <f t="shared" si="2"/>
        <v>217.97633317853592</v>
      </c>
      <c r="R22" s="59">
        <f t="shared" si="0"/>
        <v>511.30966651186924</v>
      </c>
      <c r="S22" s="59">
        <f ca="1">AVERAGE(OFFSET($R$3,0,0,'Données projet'!$E$9+1,1))-AVERAGE(OFFSET($H$3,0,0,'Données projet'!$E$9+1,1))</f>
        <v>269.77739619445515</v>
      </c>
      <c r="T22" s="59">
        <f t="shared" si="34"/>
        <v>347.56964743629885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40.563667407261541</v>
      </c>
      <c r="AB22" s="21">
        <f>EXP(-LN(2)/2)*AB21+(1-EXP(-LN(2)/2))/(LN(2)/2)*V22*Y22*VLOOKUP('Données projet'!$B$9,Paramètres!$A$1:$I$89,3,0)*0.475*44/12</f>
        <v>1.1240552261849821</v>
      </c>
      <c r="AC22" s="22">
        <f t="shared" si="3"/>
        <v>41.687722633446526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17.600000000000001</v>
      </c>
      <c r="AI22" s="13">
        <f>IF('Données projet'!$A$62&gt;35,AI21+AH22-AQ21,IF(A22&lt;'Données projet'!$A$62,$AF$205^A22,IF(A22='Données projet'!$A$62,'Données projet'!$B$62,AI21+AH22-AQ21)))</f>
        <v>116.4</v>
      </c>
      <c r="AJ22" s="13">
        <f>AI22*VLOOKUP('Données projet'!$B$10,Paramètres!$A$1:$I$89,3,0)*VLOOKUP('Données projet'!$B$10,Paramètres!$A$1:$I$89,5,0)</f>
        <v>54.475200000000008</v>
      </c>
      <c r="AK22" s="13">
        <f t="shared" si="35"/>
        <v>15.763670703256032</v>
      </c>
      <c r="AL22" s="20">
        <f t="shared" si="4"/>
        <v>122.33269980817094</v>
      </c>
      <c r="AM22" s="59">
        <f t="shared" si="5"/>
        <v>415.66603314150427</v>
      </c>
      <c r="AN22" s="59">
        <f ca="1">AVERAGE(OFFSET($AM$3,0,0,'Données projet'!$E$10+1,1))-AVERAGE(OFFSET($H$3,0,0,'Données projet'!$E$10+1,1))</f>
        <v>342.49944586217674</v>
      </c>
      <c r="AO22" s="59">
        <f t="shared" si="36"/>
        <v>282.29766600872563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70.171919999999986</v>
      </c>
      <c r="BF22" s="13">
        <f t="shared" si="37"/>
        <v>19.716145269554726</v>
      </c>
      <c r="BG22" s="20">
        <f t="shared" si="7"/>
        <v>156.55504701114111</v>
      </c>
      <c r="BH22" s="59">
        <f t="shared" si="8"/>
        <v>449.8883803444744</v>
      </c>
      <c r="BI22" s="59">
        <f ca="1">AVERAGE(OFFSET($BH$3,0,0,'Données projet'!$E$11+1,1))-AVERAGE(OFFSET($H$3,0,0,'Données projet'!$E$11+1,1))</f>
        <v>279.49721661620544</v>
      </c>
      <c r="BJ22" s="59">
        <f t="shared" si="38"/>
        <v>275.18739333988754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20</v>
      </c>
      <c r="BY22" s="12">
        <f>IF('Données projet'!$A$114&gt;35,BY21+BX22-CG21,IF(A22&lt;'Données projet'!$A$114,$BV$205^A22,IF(A22='Données projet'!$A$114,'Données projet'!$B$114,BY21+BX22-CG21)))</f>
        <v>108</v>
      </c>
      <c r="BZ22" s="13">
        <f>BY22*VLOOKUP('Données projet'!$B$12,Paramètres!$A$1:$I$89,3,0)*VLOOKUP('Données projet'!$B$12,Paramètres!$A$1:$I$89,5,0)</f>
        <v>51.948</v>
      </c>
      <c r="CA22" s="13">
        <f t="shared" si="39"/>
        <v>15.115714645211892</v>
      </c>
      <c r="CB22" s="20">
        <f t="shared" si="10"/>
        <v>116.8026363404107</v>
      </c>
      <c r="CC22" s="59">
        <f t="shared" si="11"/>
        <v>410.135969673744</v>
      </c>
      <c r="CD22" s="59">
        <f ca="1">AVERAGE(OFFSET($CC$3,0,0,'Données projet'!$E$12+1,1))-AVERAGE(OFFSET($H$3,0,0,'Données projet'!$E$12+1,1))</f>
        <v>349.65790906807746</v>
      </c>
      <c r="CE22" s="59">
        <f t="shared" si="40"/>
        <v>291.88925884278888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3.56</v>
      </c>
      <c r="CT22" s="12">
        <f>IF('Données projet'!$A$140&gt;35,CT21+CS22-DB21,IF(A22&lt;'Données projet'!$A$140,$CQ$205^A22,IF(A22='Données projet'!$A$140,'Données projet'!$B$140,CT21+CS22-DB21)))</f>
        <v>30.306543339398647</v>
      </c>
      <c r="CU22" s="17">
        <f>CT22*VLOOKUP('Données projet'!$B$13,Paramètres!$A$1:$I$89,3,0)*VLOOKUP('Données projet'!$B$13,Paramètres!$A$1:$I$89,5,0)</f>
        <v>23.639103804730947</v>
      </c>
      <c r="CV22" s="13">
        <f t="shared" si="41"/>
        <v>7.5386299111208031</v>
      </c>
      <c r="CW22" s="20">
        <f t="shared" si="13"/>
        <v>54.301219555108467</v>
      </c>
      <c r="CX22" s="59">
        <f t="shared" si="14"/>
        <v>347.63455288844176</v>
      </c>
      <c r="CY22" s="59">
        <f ca="1">AVERAGE(OFFSET($CX$3,0,0,'Données projet'!$E$13+1,1))-AVERAGE(OFFSET($H$3,0,0,'Données projet'!$E$13+1,1))</f>
        <v>215.84581110302656</v>
      </c>
      <c r="CZ22" s="59">
        <f t="shared" si="42"/>
        <v>193.88588526156104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19.216666666666669</v>
      </c>
      <c r="N23" s="13">
        <f>IF('Données projet'!$A$36&gt;35,N22+M23-V22,IF(A23&lt;'Données projet'!$A$36,$K$205^A23,IF(A23='Données projet'!$A$36,'Données projet'!$B$36,N22+M23-V22)))</f>
        <v>177.13333333333335</v>
      </c>
      <c r="O23" s="13">
        <f>N23*VLOOKUP('Données projet'!$B$9,Paramètres!$A$1:$I$89,3,0)*VLOOKUP('Données projet'!$B$9,Paramètres!$A$1:$I$89,5,0)</f>
        <v>110.5312</v>
      </c>
      <c r="P23" s="13">
        <f t="shared" si="33"/>
        <v>29.456104323655921</v>
      </c>
      <c r="Q23" s="20">
        <f t="shared" si="2"/>
        <v>243.81122169703403</v>
      </c>
      <c r="R23" s="59">
        <f t="shared" si="0"/>
        <v>537.14455503036731</v>
      </c>
      <c r="S23" s="59">
        <f ca="1">AVERAGE(OFFSET($R$3,0,0,'Données projet'!$E$9+1,1))-AVERAGE(OFFSET($H$3,0,0,'Données projet'!$E$9+1,1))</f>
        <v>269.77739619445515</v>
      </c>
      <c r="T23" s="59">
        <f t="shared" si="34"/>
        <v>347.56964743629885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39.454451788859416</v>
      </c>
      <c r="AB23" s="21">
        <f>EXP(-LN(2)/2)*AB22+(1-EXP(-LN(2)/2))/(LN(2)/2)*V23*Y23*VLOOKUP('Données projet'!$B$9,Paramètres!$A$1:$I$89,3,0)*0.475*44/12</f>
        <v>0.79482707286357934</v>
      </c>
      <c r="AC23" s="22">
        <f t="shared" si="3"/>
        <v>40.249278861722992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134</v>
      </c>
      <c r="AG23" s="12">
        <f>VLOOKUP(A23,'Données projet'!$A$61:$I$81,9,0)</f>
        <v>17.600000000000001</v>
      </c>
      <c r="AH23" s="12">
        <f t="array" ref="AH23">INDEX(AG:AG,MIN(IF(ISNUMBER(AG23:AG219),ROW(AG23:AG219),"")))</f>
        <v>17.600000000000001</v>
      </c>
      <c r="AI23" s="13">
        <f>IF('Données projet'!$A$62&gt;35,AI22+AH23-AQ22,IF(A23&lt;'Données projet'!$A$62,$AF$205^A23,IF(A23='Données projet'!$A$62,'Données projet'!$B$62,AI22+AH23-AQ22)))</f>
        <v>134</v>
      </c>
      <c r="AJ23" s="13">
        <f>AI23*VLOOKUP('Données projet'!$B$10,Paramètres!$A$1:$I$89,3,0)*VLOOKUP('Données projet'!$B$10,Paramètres!$A$1:$I$89,5,0)</f>
        <v>62.711999999999996</v>
      </c>
      <c r="AK23" s="13">
        <f t="shared" si="35"/>
        <v>17.85217356216183</v>
      </c>
      <c r="AL23" s="20">
        <f t="shared" si="4"/>
        <v>140.31593562076515</v>
      </c>
      <c r="AM23" s="59">
        <f t="shared" si="5"/>
        <v>433.64926895409849</v>
      </c>
      <c r="AN23" s="59">
        <f ca="1">AVERAGE(OFFSET($AM$3,0,0,'Données projet'!$E$10+1,1))-AVERAGE(OFFSET($H$3,0,0,'Données projet'!$E$10+1,1))</f>
        <v>342.49944586217674</v>
      </c>
      <c r="AO23" s="59">
        <f t="shared" si="36"/>
        <v>282.29766600872563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1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2.6494235762119298</v>
      </c>
      <c r="AX23" s="21">
        <f t="shared" si="6"/>
        <v>2.6494235762119298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81.151200000000003</v>
      </c>
      <c r="BF23" s="13">
        <f t="shared" si="37"/>
        <v>22.418424032002342</v>
      </c>
      <c r="BG23" s="20">
        <f t="shared" si="7"/>
        <v>180.38376185573739</v>
      </c>
      <c r="BH23" s="59">
        <f t="shared" si="8"/>
        <v>473.71709518907073</v>
      </c>
      <c r="BI23" s="59">
        <f ca="1">AVERAGE(OFFSET($BH$3,0,0,'Données projet'!$E$11+1,1))-AVERAGE(OFFSET($H$3,0,0,'Données projet'!$E$11+1,1))</f>
        <v>279.49721661620544</v>
      </c>
      <c r="BJ23" s="59">
        <f t="shared" si="38"/>
        <v>275.18739333988754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128</v>
      </c>
      <c r="BW23" s="12">
        <f>VLOOKUP(A23,'Données projet'!$A$113:$I$133,9,0)</f>
        <v>20</v>
      </c>
      <c r="BX23" s="12">
        <f t="array" ref="BX23">INDEX(BW:BW,MIN(IF(ISNUMBER(BW23:BW219),ROW(BW23:BW219),"")))</f>
        <v>20</v>
      </c>
      <c r="BY23" s="12">
        <f>IF('Données projet'!$A$114&gt;35,BY22+BX23-CG22,IF(A23&lt;'Données projet'!$A$114,$BV$205^A23,IF(A23='Données projet'!$A$114,'Données projet'!$B$114,BY22+BX23-CG22)))</f>
        <v>128</v>
      </c>
      <c r="BZ23" s="13">
        <f>BY23*VLOOKUP('Données projet'!$B$12,Paramètres!$A$1:$I$89,3,0)*VLOOKUP('Données projet'!$B$12,Paramètres!$A$1:$I$89,5,0)</f>
        <v>61.567999999999998</v>
      </c>
      <c r="CA23" s="13">
        <f t="shared" si="39"/>
        <v>17.564111423853156</v>
      </c>
      <c r="CB23" s="20">
        <f t="shared" si="10"/>
        <v>137.82176072987758</v>
      </c>
      <c r="CC23" s="59">
        <f t="shared" si="11"/>
        <v>431.15509406321087</v>
      </c>
      <c r="CD23" s="59">
        <f ca="1">AVERAGE(OFFSET($CC$3,0,0,'Données projet'!$E$12+1,1))-AVERAGE(OFFSET($H$3,0,0,'Données projet'!$E$12+1,1))</f>
        <v>349.65790906807746</v>
      </c>
      <c r="CE23" s="59">
        <f t="shared" si="40"/>
        <v>291.88925884278888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1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1.6338112053306901</v>
      </c>
      <c r="CN23" s="22">
        <f t="shared" si="12"/>
        <v>1.6338112053306901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3.56</v>
      </c>
      <c r="CT23" s="12">
        <f>IF('Données projet'!$A$140&gt;35,CT22+CS23-DB22,IF(A23&lt;'Données projet'!$A$140,$CQ$205^A23,IF(A23='Données projet'!$A$140,'Données projet'!$B$140,CT22+CS23-DB22)))</f>
        <v>36.267031149657967</v>
      </c>
      <c r="CU23" s="17">
        <f>CT23*VLOOKUP('Données projet'!$B$13,Paramètres!$A$1:$I$89,3,0)*VLOOKUP('Données projet'!$B$13,Paramètres!$A$1:$I$89,5,0)</f>
        <v>28.288284296733217</v>
      </c>
      <c r="CV23" s="13">
        <f t="shared" si="41"/>
        <v>8.834697090047662</v>
      </c>
      <c r="CW23" s="20">
        <f t="shared" si="13"/>
        <v>64.655859248643353</v>
      </c>
      <c r="CX23" s="59">
        <f t="shared" si="14"/>
        <v>357.98919258197668</v>
      </c>
      <c r="CY23" s="59">
        <f ca="1">AVERAGE(OFFSET($CX$3,0,0,'Données projet'!$E$13+1,1))-AVERAGE(OFFSET($H$3,0,0,'Données projet'!$E$13+1,1))</f>
        <v>215.84581110302656</v>
      </c>
      <c r="CZ23" s="59">
        <f t="shared" si="42"/>
        <v>193.88588526156104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19.216666666666669</v>
      </c>
      <c r="N24" s="13">
        <f>IF('Données projet'!$A$36&gt;35,N23+M24-V23,IF(A24&lt;'Données projet'!$A$36,$K$205^A24,IF(A24='Données projet'!$A$36,'Données projet'!$B$36,N23+M24-V23)))</f>
        <v>196.35000000000002</v>
      </c>
      <c r="O24" s="13">
        <f>N24*VLOOKUP('Données projet'!$B$9,Paramètres!$A$1:$I$89,3,0)*VLOOKUP('Données projet'!$B$9,Paramètres!$A$1:$I$89,5,0)</f>
        <v>122.5224</v>
      </c>
      <c r="P24" s="13">
        <f t="shared" si="33"/>
        <v>32.26259352430629</v>
      </c>
      <c r="Q24" s="20">
        <f t="shared" si="2"/>
        <v>269.58386372150011</v>
      </c>
      <c r="R24" s="59">
        <f t="shared" si="0"/>
        <v>562.91719705483342</v>
      </c>
      <c r="S24" s="59">
        <f ca="1">AVERAGE(OFFSET($R$3,0,0,'Données projet'!$E$9+1,1))-AVERAGE(OFFSET($H$3,0,0,'Données projet'!$E$9+1,1))</f>
        <v>269.77739619445515</v>
      </c>
      <c r="T24" s="59">
        <f t="shared" si="34"/>
        <v>347.56964743629885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38.375567729873609</v>
      </c>
      <c r="AB24" s="21">
        <f>EXP(-LN(2)/2)*AB23+(1-EXP(-LN(2)/2))/(LN(2)/2)*V24*Y24*VLOOKUP('Données projet'!$B$9,Paramètres!$A$1:$I$89,3,0)*0.475*44/12</f>
        <v>0.56202761309249105</v>
      </c>
      <c r="AC24" s="22">
        <f t="shared" si="3"/>
        <v>38.937595342966098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22.8</v>
      </c>
      <c r="AI24" s="13">
        <f>IF('Données projet'!$A$62&gt;35,AI23+AH24-AQ23,IF(A24&lt;'Données projet'!$A$62,$AF$205^A24,IF(A24='Données projet'!$A$62,'Données projet'!$B$62,AI23+AH24-AQ23)))</f>
        <v>151.80000000000001</v>
      </c>
      <c r="AJ24" s="13">
        <f>AI24*VLOOKUP('Données projet'!$B$10,Paramètres!$A$1:$I$89,3,0)*VLOOKUP('Données projet'!$B$10,Paramètres!$A$1:$I$89,5,0)</f>
        <v>71.042400000000001</v>
      </c>
      <c r="AK24" s="13">
        <f t="shared" si="35"/>
        <v>19.932099110622822</v>
      </c>
      <c r="AL24" s="20">
        <f t="shared" si="4"/>
        <v>158.44725261766806</v>
      </c>
      <c r="AM24" s="59">
        <f t="shared" si="5"/>
        <v>451.7805859510014</v>
      </c>
      <c r="AN24" s="59">
        <f ca="1">AVERAGE(OFFSET($AM$3,0,0,'Données projet'!$E$10+1,1))-AVERAGE(OFFSET($H$3,0,0,'Données projet'!$E$10+1,1))</f>
        <v>342.49944586217674</v>
      </c>
      <c r="AO24" s="59">
        <f t="shared" si="36"/>
        <v>282.29766600872563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1.8734253769749694</v>
      </c>
      <c r="AX24" s="21">
        <f t="shared" si="6"/>
        <v>1.8734253769749694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65.080079999999981</v>
      </c>
      <c r="BF24" s="13">
        <f t="shared" si="37"/>
        <v>18.44653442602603</v>
      </c>
      <c r="BG24" s="20">
        <f t="shared" si="7"/>
        <v>145.47552012532864</v>
      </c>
      <c r="BH24" s="59">
        <f t="shared" si="8"/>
        <v>438.80885345866193</v>
      </c>
      <c r="BI24" s="59">
        <f ca="1">AVERAGE(OFFSET($BH$3,0,0,'Données projet'!$E$11+1,1))-AVERAGE(OFFSET($H$3,0,0,'Données projet'!$E$11+1,1))</f>
        <v>279.49721661620544</v>
      </c>
      <c r="BJ24" s="59">
        <f t="shared" si="38"/>
        <v>275.18739333988754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24</v>
      </c>
      <c r="BY24" s="12">
        <f>IF('Données projet'!$A$114&gt;35,BY23+BX24-CG23,IF(A24&lt;'Données projet'!$A$114,$BV$205^A24,IF(A24='Données projet'!$A$114,'Données projet'!$B$114,BY23+BX24-CG23)))</f>
        <v>149</v>
      </c>
      <c r="BZ24" s="13">
        <f>BY24*VLOOKUP('Données projet'!$B$12,Paramètres!$A$1:$I$89,3,0)*VLOOKUP('Données projet'!$B$12,Paramètres!$A$1:$I$89,5,0)</f>
        <v>71.669000000000011</v>
      </c>
      <c r="CA24" s="13">
        <f t="shared" si="39"/>
        <v>20.087358990796986</v>
      </c>
      <c r="CB24" s="20">
        <f t="shared" si="10"/>
        <v>159.80899190897142</v>
      </c>
      <c r="CC24" s="59">
        <f t="shared" si="11"/>
        <v>453.14232524230476</v>
      </c>
      <c r="CD24" s="59">
        <f ca="1">AVERAGE(OFFSET($CC$3,0,0,'Données projet'!$E$12+1,1))-AVERAGE(OFFSET($H$3,0,0,'Données projet'!$E$12+1,1))</f>
        <v>349.65790906807746</v>
      </c>
      <c r="CE24" s="59">
        <f t="shared" si="40"/>
        <v>291.88925884278888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1.155278982467898</v>
      </c>
      <c r="CN24" s="22">
        <f t="shared" si="12"/>
        <v>1.155278982467898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3.56</v>
      </c>
      <c r="CT24" s="12">
        <f>IF('Données projet'!$A$140&gt;35,CT23+CS24-DB23,IF(A24&lt;'Données projet'!$A$140,$CQ$205^A24,IF(A24='Données projet'!$A$140,'Données projet'!$B$140,CT23+CS24-DB23)))</f>
        <v>43.399787751457886</v>
      </c>
      <c r="CU24" s="17">
        <f>CT24*VLOOKUP('Données projet'!$B$13,Paramètres!$A$1:$I$89,3,0)*VLOOKUP('Données projet'!$B$13,Paramètres!$A$1:$I$89,5,0)</f>
        <v>33.851834446137154</v>
      </c>
      <c r="CV24" s="13">
        <f t="shared" si="41"/>
        <v>10.353588595423204</v>
      </c>
      <c r="CW24" s="20">
        <f t="shared" si="13"/>
        <v>76.991111797384278</v>
      </c>
      <c r="CX24" s="59">
        <f t="shared" si="14"/>
        <v>370.32444513071761</v>
      </c>
      <c r="CY24" s="59">
        <f ca="1">AVERAGE(OFFSET($CX$3,0,0,'Données projet'!$E$13+1,1))-AVERAGE(OFFSET($H$3,0,0,'Données projet'!$E$13+1,1))</f>
        <v>215.84581110302656</v>
      </c>
      <c r="CZ24" s="59">
        <f t="shared" si="42"/>
        <v>193.88588526156104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19.216666666666669</v>
      </c>
      <c r="N25" s="13">
        <f>IF('Données projet'!$A$36&gt;35,N24+M25-V24,IF(A25&lt;'Données projet'!$A$36,$K$205^A25,IF(A25='Données projet'!$A$36,'Données projet'!$B$36,N24+M25-V24)))</f>
        <v>215.56666666666669</v>
      </c>
      <c r="O25" s="13">
        <f>N25*VLOOKUP('Données projet'!$B$9,Paramètres!$A$1:$I$89,3,0)*VLOOKUP('Données projet'!$B$9,Paramètres!$A$1:$I$89,5,0)</f>
        <v>134.51360000000003</v>
      </c>
      <c r="P25" s="13">
        <f t="shared" si="33"/>
        <v>35.037238995886284</v>
      </c>
      <c r="Q25" s="20">
        <f t="shared" si="2"/>
        <v>295.30104458450194</v>
      </c>
      <c r="R25" s="59">
        <f t="shared" si="0"/>
        <v>588.63437791783531</v>
      </c>
      <c r="S25" s="59">
        <f ca="1">AVERAGE(OFFSET($R$3,0,0,'Données projet'!$E$9+1,1))-AVERAGE(OFFSET($H$3,0,0,'Données projet'!$E$9+1,1))</f>
        <v>269.77739619445515</v>
      </c>
      <c r="T25" s="59">
        <f t="shared" si="34"/>
        <v>347.56964743629885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37.326185812216814</v>
      </c>
      <c r="AB25" s="21">
        <f>EXP(-LN(2)/2)*AB24+(1-EXP(-LN(2)/2))/(LN(2)/2)*V25*Y25*VLOOKUP('Données projet'!$B$9,Paramètres!$A$1:$I$89,3,0)*0.475*44/12</f>
        <v>0.39741353643178967</v>
      </c>
      <c r="AC25" s="22">
        <f t="shared" si="3"/>
        <v>37.723599348648605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22.8</v>
      </c>
      <c r="AI25" s="13">
        <f>IF('Données projet'!$A$62&gt;35,AI24+AH25-AQ24,IF(A25&lt;'Données projet'!$A$62,$AF$205^A25,IF(A25='Données projet'!$A$62,'Données projet'!$B$62,AI24+AH25-AQ24)))</f>
        <v>174.60000000000002</v>
      </c>
      <c r="AJ25" s="13">
        <f>AI25*VLOOKUP('Données projet'!$B$10,Paramètres!$A$1:$I$89,3,0)*VLOOKUP('Données projet'!$B$10,Paramètres!$A$1:$I$89,5,0)</f>
        <v>81.712800000000016</v>
      </c>
      <c r="AK25" s="13">
        <f t="shared" si="35"/>
        <v>22.55545490774292</v>
      </c>
      <c r="AL25" s="20">
        <f t="shared" si="4"/>
        <v>181.60054396431894</v>
      </c>
      <c r="AM25" s="59">
        <f t="shared" si="5"/>
        <v>474.93387729765226</v>
      </c>
      <c r="AN25" s="59">
        <f ca="1">AVERAGE(OFFSET($AM$3,0,0,'Données projet'!$E$10+1,1))-AVERAGE(OFFSET($H$3,0,0,'Données projet'!$E$10+1,1))</f>
        <v>342.49944586217674</v>
      </c>
      <c r="AO25" s="59">
        <f t="shared" si="36"/>
        <v>282.29766600872563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1.3247117881059651</v>
      </c>
      <c r="AX25" s="21">
        <f t="shared" si="6"/>
        <v>1.3247117881059651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76.854959999999991</v>
      </c>
      <c r="BF25" s="13">
        <f t="shared" si="37"/>
        <v>21.366419773799993</v>
      </c>
      <c r="BG25" s="20">
        <f t="shared" si="7"/>
        <v>171.06890310603498</v>
      </c>
      <c r="BH25" s="59">
        <f t="shared" si="8"/>
        <v>464.40223643936827</v>
      </c>
      <c r="BI25" s="59">
        <f ca="1">AVERAGE(OFFSET($BH$3,0,0,'Données projet'!$E$11+1,1))-AVERAGE(OFFSET($H$3,0,0,'Données projet'!$E$11+1,1))</f>
        <v>279.49721661620544</v>
      </c>
      <c r="BJ25" s="59">
        <f t="shared" si="38"/>
        <v>275.18739333988754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24</v>
      </c>
      <c r="BY25" s="12">
        <f>IF('Données projet'!$A$114&gt;35,BY24+BX25-CG24,IF(A25&lt;'Données projet'!$A$114,$BV$205^A25,IF(A25='Données projet'!$A$114,'Données projet'!$B$114,BY24+BX25-CG24)))</f>
        <v>173</v>
      </c>
      <c r="BZ25" s="13">
        <f>BY25*VLOOKUP('Données projet'!$B$12,Paramètres!$A$1:$I$89,3,0)*VLOOKUP('Données projet'!$B$12,Paramètres!$A$1:$I$89,5,0)</f>
        <v>83.213000000000008</v>
      </c>
      <c r="CA25" s="13">
        <f t="shared" si="39"/>
        <v>22.920969912605049</v>
      </c>
      <c r="CB25" s="20">
        <f t="shared" si="10"/>
        <v>184.84999759778714</v>
      </c>
      <c r="CC25" s="59">
        <f t="shared" si="11"/>
        <v>478.18333093112045</v>
      </c>
      <c r="CD25" s="59">
        <f ca="1">AVERAGE(OFFSET($CC$3,0,0,'Données projet'!$E$12+1,1))-AVERAGE(OFFSET($H$3,0,0,'Données projet'!$E$12+1,1))</f>
        <v>349.65790906807746</v>
      </c>
      <c r="CE25" s="59">
        <f t="shared" si="40"/>
        <v>291.88925884278888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0.81690560266534529</v>
      </c>
      <c r="CN25" s="22">
        <f t="shared" si="12"/>
        <v>0.81690560266534529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3.56</v>
      </c>
      <c r="CT25" s="12">
        <f>IF('Données projet'!$A$140&gt;35,CT24+CS25-DB24,IF(A25&lt;'Données projet'!$A$140,$CQ$205^A25,IF(A25='Données projet'!$A$140,'Données projet'!$B$140,CT24+CS25-DB24)))</f>
        <v>51.935367113427411</v>
      </c>
      <c r="CU25" s="17">
        <f>CT25*VLOOKUP('Données projet'!$B$13,Paramètres!$A$1:$I$89,3,0)*VLOOKUP('Données projet'!$B$13,Paramètres!$A$1:$I$89,5,0)</f>
        <v>40.509586348473384</v>
      </c>
      <c r="CV25" s="13">
        <f t="shared" si="41"/>
        <v>12.133613151721432</v>
      </c>
      <c r="CW25" s="20">
        <f t="shared" si="13"/>
        <v>91.686905796172638</v>
      </c>
      <c r="CX25" s="59">
        <f t="shared" si="14"/>
        <v>385.02023912950597</v>
      </c>
      <c r="CY25" s="59">
        <f ca="1">AVERAGE(OFFSET($CX$3,0,0,'Données projet'!$E$13+1,1))-AVERAGE(OFFSET($H$3,0,0,'Données projet'!$E$13+1,1))</f>
        <v>215.84581110302656</v>
      </c>
      <c r="CZ25" s="59">
        <f t="shared" si="42"/>
        <v>193.88588526156104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19.216666666666669</v>
      </c>
      <c r="N26" s="13">
        <f>IF('Données projet'!$A$36&gt;35,N25+M26-V25,IF(A26&lt;'Données projet'!$A$36,$K$205^A26,IF(A26='Données projet'!$A$36,'Données projet'!$B$36,N25+M26-V25)))</f>
        <v>234.78333333333336</v>
      </c>
      <c r="O26" s="13">
        <f>N26*VLOOKUP('Données projet'!$B$9,Paramètres!$A$1:$I$89,3,0)*VLOOKUP('Données projet'!$B$9,Paramètres!$A$1:$I$89,5,0)</f>
        <v>146.50480000000002</v>
      </c>
      <c r="P26" s="13">
        <f t="shared" si="33"/>
        <v>37.783202245862846</v>
      </c>
      <c r="Q26" s="20">
        <f t="shared" si="2"/>
        <v>320.9682705782111</v>
      </c>
      <c r="R26" s="59">
        <f t="shared" si="0"/>
        <v>614.30160391154436</v>
      </c>
      <c r="S26" s="59">
        <f ca="1">AVERAGE(OFFSET($R$3,0,0,'Données projet'!$E$9+1,1))-AVERAGE(OFFSET($H$3,0,0,'Données projet'!$E$9+1,1))</f>
        <v>269.77739619445515</v>
      </c>
      <c r="T26" s="59">
        <f t="shared" si="34"/>
        <v>347.56964743629885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36.305499298282946</v>
      </c>
      <c r="AB26" s="21">
        <f>EXP(-LN(2)/2)*AB25+(1-EXP(-LN(2)/2))/(LN(2)/2)*V26*Y26*VLOOKUP('Données projet'!$B$9,Paramètres!$A$1:$I$89,3,0)*0.475*44/12</f>
        <v>0.28101380654624553</v>
      </c>
      <c r="AC26" s="22">
        <f t="shared" si="3"/>
        <v>36.586513104829194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22.8</v>
      </c>
      <c r="AI26" s="13">
        <f>IF('Données projet'!$A$62&gt;35,AI25+AH26-AQ25,IF(A26&lt;'Données projet'!$A$62,$AF$205^A26,IF(A26='Données projet'!$A$62,'Données projet'!$B$62,AI25+AH26-AQ25)))</f>
        <v>197.40000000000003</v>
      </c>
      <c r="AJ26" s="13">
        <f>AI26*VLOOKUP('Données projet'!$B$10,Paramètres!$A$1:$I$89,3,0)*VLOOKUP('Données projet'!$B$10,Paramètres!$A$1:$I$89,5,0)</f>
        <v>92.383200000000016</v>
      </c>
      <c r="AK26" s="13">
        <f t="shared" si="35"/>
        <v>25.13911825557507</v>
      </c>
      <c r="AL26" s="20">
        <f t="shared" si="4"/>
        <v>204.68470429512661</v>
      </c>
      <c r="AM26" s="59">
        <f t="shared" si="5"/>
        <v>498.01803762845992</v>
      </c>
      <c r="AN26" s="59">
        <f ca="1">AVERAGE(OFFSET($AM$3,0,0,'Données projet'!$E$10+1,1))-AVERAGE(OFFSET($H$3,0,0,'Données projet'!$E$10+1,1))</f>
        <v>342.49944586217674</v>
      </c>
      <c r="AO26" s="59">
        <f t="shared" si="36"/>
        <v>282.29766600872563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0.9367126884874849</v>
      </c>
      <c r="AX26" s="21">
        <f t="shared" si="6"/>
        <v>0.9367126884874849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88.629839999999987</v>
      </c>
      <c r="BF26" s="13">
        <f t="shared" si="37"/>
        <v>24.23448093253452</v>
      </c>
      <c r="BG26" s="20">
        <f t="shared" si="7"/>
        <v>196.57202562416424</v>
      </c>
      <c r="BH26" s="59">
        <f t="shared" si="8"/>
        <v>489.90535895749758</v>
      </c>
      <c r="BI26" s="59">
        <f ca="1">AVERAGE(OFFSET($BH$3,0,0,'Données projet'!$E$11+1,1))-AVERAGE(OFFSET($H$3,0,0,'Données projet'!$E$11+1,1))</f>
        <v>279.49721661620544</v>
      </c>
      <c r="BJ26" s="59">
        <f t="shared" si="38"/>
        <v>275.18739333988754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24</v>
      </c>
      <c r="BY26" s="12">
        <f>IF('Données projet'!$A$114&gt;35,BY25+BX26-CG25,IF(A26&lt;'Données projet'!$A$114,$BV$205^A26,IF(A26='Données projet'!$A$114,'Données projet'!$B$114,BY25+BX26-CG25)))</f>
        <v>197</v>
      </c>
      <c r="BZ26" s="13">
        <f>BY26*VLOOKUP('Données projet'!$B$12,Paramètres!$A$1:$I$89,3,0)*VLOOKUP('Données projet'!$B$12,Paramètres!$A$1:$I$89,5,0)</f>
        <v>94.757000000000005</v>
      </c>
      <c r="CA26" s="13">
        <f t="shared" si="39"/>
        <v>25.70903714747045</v>
      </c>
      <c r="CB26" s="20">
        <f t="shared" si="10"/>
        <v>209.81168136517772</v>
      </c>
      <c r="CC26" s="59">
        <f t="shared" si="11"/>
        <v>503.14501469851103</v>
      </c>
      <c r="CD26" s="59">
        <f ca="1">AVERAGE(OFFSET($CC$3,0,0,'Données projet'!$E$12+1,1))-AVERAGE(OFFSET($H$3,0,0,'Données projet'!$E$12+1,1))</f>
        <v>349.65790906807746</v>
      </c>
      <c r="CE26" s="59">
        <f t="shared" si="40"/>
        <v>291.88925884278888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0.57763949123394909</v>
      </c>
      <c r="CN26" s="22">
        <f t="shared" si="12"/>
        <v>0.57763949123394909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3.56</v>
      </c>
      <c r="CT26" s="12">
        <f>IF('Données projet'!$A$140&gt;35,CT25+CS26-DB25,IF(A26&lt;'Données projet'!$A$140,$CQ$205^A26,IF(A26='Données projet'!$A$140,'Données projet'!$B$140,CT25+CS26-DB25)))</f>
        <v>62.149667013426139</v>
      </c>
      <c r="CU26" s="17">
        <f>CT26*VLOOKUP('Données projet'!$B$13,Paramètres!$A$1:$I$89,3,0)*VLOOKUP('Données projet'!$B$13,Paramètres!$A$1:$I$89,5,0)</f>
        <v>48.476740270472391</v>
      </c>
      <c r="CV26" s="13">
        <f t="shared" si="41"/>
        <v>14.219665651067873</v>
      </c>
      <c r="CW26" s="20">
        <f t="shared" si="13"/>
        <v>109.19624031334928</v>
      </c>
      <c r="CX26" s="59">
        <f t="shared" si="14"/>
        <v>402.52957364668259</v>
      </c>
      <c r="CY26" s="59">
        <f ca="1">AVERAGE(OFFSET($CX$3,0,0,'Données projet'!$E$13+1,1))-AVERAGE(OFFSET($H$3,0,0,'Données projet'!$E$13+1,1))</f>
        <v>215.84581110302656</v>
      </c>
      <c r="CZ26" s="59">
        <f t="shared" si="42"/>
        <v>193.88588526156104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254</v>
      </c>
      <c r="L27" s="12">
        <f>VLOOKUP(A27,'Données projet'!$A$35:$I$55,9,0)</f>
        <v>19.216666666666669</v>
      </c>
      <c r="M27" s="12">
        <f t="array" ref="M27">INDEX(L:L,MIN(IF(ISNUMBER(L27:L223),ROW(L27:L223),"")))</f>
        <v>19.216666666666669</v>
      </c>
      <c r="N27" s="13">
        <f>IF('Données projet'!$A$36&gt;35,N26+M27-V26,IF(A27&lt;'Données projet'!$A$36,$K$205^A27,IF(A27='Données projet'!$A$36,'Données projet'!$B$36,N26+M27-V26)))</f>
        <v>254.00000000000003</v>
      </c>
      <c r="O27" s="13">
        <f>N27*VLOOKUP('Données projet'!$B$9,Paramètres!$A$1:$I$89,3,0)*VLOOKUP('Données projet'!$B$9,Paramètres!$A$1:$I$89,5,0)</f>
        <v>158.49600000000004</v>
      </c>
      <c r="P27" s="13">
        <f t="shared" si="33"/>
        <v>40.503097769376929</v>
      </c>
      <c r="Q27" s="20">
        <f t="shared" si="2"/>
        <v>346.59009528166484</v>
      </c>
      <c r="R27" s="59">
        <f t="shared" si="0"/>
        <v>639.9234286149981</v>
      </c>
      <c r="S27" s="59">
        <f ca="1">AVERAGE(OFFSET($R$3,0,0,'Données projet'!$E$9+1,1))-AVERAGE(OFFSET($H$3,0,0,'Données projet'!$E$9+1,1))</f>
        <v>269.77739619445515</v>
      </c>
      <c r="T27" s="59">
        <f t="shared" si="34"/>
        <v>347.56964743629885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73.7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0.6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71.77286303125355</v>
      </c>
      <c r="AB27" s="21">
        <f>EXP(-LN(2)/2)*AB26+(1-EXP(-LN(2)/2))/(LN(2)/2)*V27*Y27*VLOOKUP('Données projet'!$B$9,Paramètres!$A$1:$I$89,3,0)*0.475*44/12</f>
        <v>0.19870676821589484</v>
      </c>
      <c r="AC27" s="22">
        <f t="shared" si="3"/>
        <v>71.971569799469449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22.8</v>
      </c>
      <c r="AI27" s="13">
        <f>IF('Données projet'!$A$62&gt;35,AI26+AH27-AQ26,IF(A27&lt;'Données projet'!$A$62,$AF$205^A27,IF(A27='Données projet'!$A$62,'Données projet'!$B$62,AI26+AH27-AQ26)))</f>
        <v>220.20000000000005</v>
      </c>
      <c r="AJ27" s="13">
        <f>AI27*VLOOKUP('Données projet'!$B$10,Paramètres!$A$1:$I$89,3,0)*VLOOKUP('Données projet'!$B$10,Paramètres!$A$1:$I$89,5,0)</f>
        <v>103.05360000000003</v>
      </c>
      <c r="AK27" s="13">
        <f t="shared" si="35"/>
        <v>27.68819722821187</v>
      </c>
      <c r="AL27" s="20">
        <f t="shared" si="4"/>
        <v>227.70863017246904</v>
      </c>
      <c r="AM27" s="59">
        <f t="shared" si="5"/>
        <v>521.04196350580241</v>
      </c>
      <c r="AN27" s="59">
        <f ca="1">AVERAGE(OFFSET($AM$3,0,0,'Données projet'!$E$10+1,1))-AVERAGE(OFFSET($H$3,0,0,'Données projet'!$E$10+1,1))</f>
        <v>342.49944586217674</v>
      </c>
      <c r="AO27" s="59">
        <f t="shared" si="36"/>
        <v>282.29766600872563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0.66235589405298267</v>
      </c>
      <c r="AX27" s="21">
        <f t="shared" si="6"/>
        <v>0.66235589405298267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100.40472</v>
      </c>
      <c r="BF27" s="13">
        <f t="shared" si="37"/>
        <v>27.058393830330502</v>
      </c>
      <c r="BG27" s="20">
        <f t="shared" si="7"/>
        <v>221.99825658782561</v>
      </c>
      <c r="BH27" s="59">
        <f t="shared" si="8"/>
        <v>515.33158992115887</v>
      </c>
      <c r="BI27" s="59">
        <f ca="1">AVERAGE(OFFSET($BH$3,0,0,'Données projet'!$E$11+1,1))-AVERAGE(OFFSET($H$3,0,0,'Données projet'!$E$11+1,1))</f>
        <v>279.49721661620544</v>
      </c>
      <c r="BJ27" s="59">
        <f t="shared" si="38"/>
        <v>275.18739333988754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24</v>
      </c>
      <c r="BY27" s="12">
        <f>IF('Données projet'!$A$114&gt;35,BY26+BX27-CG26,IF(A27&lt;'Données projet'!$A$114,$BV$205^A27,IF(A27='Données projet'!$A$114,'Données projet'!$B$114,BY26+BX27-CG26)))</f>
        <v>221</v>
      </c>
      <c r="BZ27" s="13">
        <f>BY27*VLOOKUP('Données projet'!$B$12,Paramètres!$A$1:$I$89,3,0)*VLOOKUP('Données projet'!$B$12,Paramètres!$A$1:$I$89,5,0)</f>
        <v>106.301</v>
      </c>
      <c r="CA27" s="13">
        <f t="shared" si="39"/>
        <v>28.457743944446584</v>
      </c>
      <c r="CB27" s="20">
        <f t="shared" si="10"/>
        <v>234.70481236991114</v>
      </c>
      <c r="CC27" s="59">
        <f t="shared" si="11"/>
        <v>528.03814570324448</v>
      </c>
      <c r="CD27" s="59">
        <f ca="1">AVERAGE(OFFSET($CC$3,0,0,'Données projet'!$E$12+1,1))-AVERAGE(OFFSET($H$3,0,0,'Données projet'!$E$12+1,1))</f>
        <v>349.65790906807746</v>
      </c>
      <c r="CE27" s="59">
        <f t="shared" si="40"/>
        <v>291.88925884278888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0.4084528013326727</v>
      </c>
      <c r="CN27" s="22">
        <f t="shared" si="12"/>
        <v>0.4084528013326727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3.56</v>
      </c>
      <c r="CT27" s="12">
        <f>IF('Données projet'!$A$140&gt;35,CT26+CS27-DB26,IF(A27&lt;'Données projet'!$A$140,$CQ$205^A27,IF(A27='Données projet'!$A$140,'Données projet'!$B$140,CT26+CS27-DB26)))</f>
        <v>74.372846955020648</v>
      </c>
      <c r="CU27" s="17">
        <f>CT27*VLOOKUP('Données projet'!$B$13,Paramètres!$A$1:$I$89,3,0)*VLOOKUP('Données projet'!$B$13,Paramètres!$A$1:$I$89,5,0)</f>
        <v>58.010820624916107</v>
      </c>
      <c r="CV27" s="13">
        <f t="shared" si="41"/>
        <v>16.664359469831368</v>
      </c>
      <c r="CW27" s="20">
        <f t="shared" si="13"/>
        <v>130.05927199835185</v>
      </c>
      <c r="CX27" s="59">
        <f t="shared" si="14"/>
        <v>423.39260533168516</v>
      </c>
      <c r="CY27" s="59">
        <f ca="1">AVERAGE(OFFSET($CX$3,0,0,'Données projet'!$E$13+1,1))-AVERAGE(OFFSET($H$3,0,0,'Données projet'!$E$13+1,1))</f>
        <v>215.84581110302656</v>
      </c>
      <c r="CZ27" s="59">
        <f t="shared" si="42"/>
        <v>193.88588526156104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16.616666666666664</v>
      </c>
      <c r="N28" s="13">
        <f>IF('Données projet'!$A$36&gt;35,N27+M28-V27,IF(A28&lt;'Données projet'!$A$36,$K$205^A28,IF(A28='Données projet'!$A$36,'Données projet'!$B$36,N27+M28-V27)))</f>
        <v>196.91666666666669</v>
      </c>
      <c r="O28" s="13">
        <f>N28*VLOOKUP('Données projet'!$B$9,Paramètres!$A$1:$I$89,3,0)*VLOOKUP('Données projet'!$B$9,Paramètres!$A$1:$I$89,5,0)</f>
        <v>122.87600000000002</v>
      </c>
      <c r="P28" s="13">
        <f t="shared" si="33"/>
        <v>32.344851661523322</v>
      </c>
      <c r="Q28" s="20">
        <f t="shared" si="2"/>
        <v>270.34298331048649</v>
      </c>
      <c r="R28" s="59">
        <f t="shared" si="0"/>
        <v>563.67631664381975</v>
      </c>
      <c r="S28" s="59">
        <f ca="1">AVERAGE(OFFSET($R$3,0,0,'Données projet'!$E$9+1,1))-AVERAGE(OFFSET($H$3,0,0,'Données projet'!$E$9+1,1))</f>
        <v>269.77739619445515</v>
      </c>
      <c r="T28" s="59">
        <f t="shared" si="34"/>
        <v>347.56964743629885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69.81023031729309</v>
      </c>
      <c r="AB28" s="21">
        <f>EXP(-LN(2)/2)*AB27+(1-EXP(-LN(2)/2))/(LN(2)/2)*V28*Y28*VLOOKUP('Données projet'!$B$9,Paramètres!$A$1:$I$89,3,0)*0.475*44/12</f>
        <v>0.14050690327312276</v>
      </c>
      <c r="AC28" s="22">
        <f t="shared" si="3"/>
        <v>69.950737220566211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243</v>
      </c>
      <c r="AG28" s="12">
        <f>VLOOKUP(A28,'Données projet'!$A$61:$I$81,9,0)</f>
        <v>22.8</v>
      </c>
      <c r="AH28" s="12">
        <f t="array" ref="AH28">INDEX(AG:AG,MIN(IF(ISNUMBER(AG28:AG224),ROW(AG28:AG224),"")))</f>
        <v>22.8</v>
      </c>
      <c r="AI28" s="13">
        <f>IF('Données projet'!$A$62&gt;35,AI27+AH28-AQ27,IF(A28&lt;'Données projet'!$A$62,$AF$205^A28,IF(A28='Données projet'!$A$62,'Données projet'!$B$62,AI27+AH28-AQ27)))</f>
        <v>243.00000000000006</v>
      </c>
      <c r="AJ28" s="13">
        <f>AI28*VLOOKUP('Données projet'!$B$10,Paramètres!$A$1:$I$89,3,0)*VLOOKUP('Données projet'!$B$10,Paramètres!$A$1:$I$89,5,0)</f>
        <v>113.72400000000003</v>
      </c>
      <c r="AK28" s="13">
        <f t="shared" si="35"/>
        <v>30.206680638130518</v>
      </c>
      <c r="AL28" s="20">
        <f t="shared" si="4"/>
        <v>250.67926877807736</v>
      </c>
      <c r="AM28" s="59">
        <f t="shared" si="5"/>
        <v>544.01260211141062</v>
      </c>
      <c r="AN28" s="59">
        <f ca="1">AVERAGE(OFFSET($AM$3,0,0,'Données projet'!$E$10+1,1))-AVERAGE(OFFSET($H$3,0,0,'Données projet'!$E$10+1,1))</f>
        <v>342.49944586217674</v>
      </c>
      <c r="AO28" s="59">
        <f t="shared" si="36"/>
        <v>282.29766600872563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63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0.55000000000000004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21.427134233132822</v>
      </c>
      <c r="AW28" s="21">
        <f>EXP(-LN(2)/2)*AW27+(1-EXP(-LN(2)/2))/(LN(2)/2)*AQ28*AT28*VLOOKUP('Données projet'!$B$10,Paramètres!$A$1:$I$89,3,0)*0.475*44/12</f>
        <v>0.46835634424374251</v>
      </c>
      <c r="AX28" s="21">
        <f t="shared" si="6"/>
        <v>21.895490577376563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112.17959999999998</v>
      </c>
      <c r="BF28" s="13">
        <f t="shared" si="37"/>
        <v>29.8439274472838</v>
      </c>
      <c r="BG28" s="20">
        <f t="shared" si="7"/>
        <v>247.35764363735257</v>
      </c>
      <c r="BH28" s="59">
        <f t="shared" si="8"/>
        <v>540.69097697068582</v>
      </c>
      <c r="BI28" s="59">
        <f ca="1">AVERAGE(OFFSET($BH$3,0,0,'Données projet'!$E$11+1,1))-AVERAGE(OFFSET($H$3,0,0,'Données projet'!$E$11+1,1))</f>
        <v>279.49721661620544</v>
      </c>
      <c r="BJ28" s="59">
        <f t="shared" si="38"/>
        <v>275.18739333988754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245</v>
      </c>
      <c r="BW28" s="12">
        <f>VLOOKUP(A28,'Données projet'!$A$113:$I$133,9,0)</f>
        <v>24</v>
      </c>
      <c r="BX28" s="12">
        <f t="array" ref="BX28">INDEX(BW:BW,MIN(IF(ISNUMBER(BW28:BW224),ROW(BW28:BW224),"")))</f>
        <v>24</v>
      </c>
      <c r="BY28" s="12">
        <f>IF('Données projet'!$A$114&gt;35,BY27+BX28-CG27,IF(A28&lt;'Données projet'!$A$114,$BV$205^A28,IF(A28='Données projet'!$A$114,'Données projet'!$B$114,BY27+BX28-CG27)))</f>
        <v>245</v>
      </c>
      <c r="BZ28" s="13">
        <f>BY28*VLOOKUP('Données projet'!$B$12,Paramètres!$A$1:$I$89,3,0)*VLOOKUP('Données projet'!$B$12,Paramètres!$A$1:$I$89,5,0)</f>
        <v>117.84500000000001</v>
      </c>
      <c r="CA28" s="13">
        <f t="shared" si="39"/>
        <v>31.171852064673686</v>
      </c>
      <c r="CB28" s="20">
        <f t="shared" si="10"/>
        <v>259.53768401264</v>
      </c>
      <c r="CC28" s="59">
        <f t="shared" si="11"/>
        <v>552.87101734597331</v>
      </c>
      <c r="CD28" s="59">
        <f ca="1">AVERAGE(OFFSET($CC$3,0,0,'Données projet'!$E$12+1,1))-AVERAGE(OFFSET($H$3,0,0,'Données projet'!$E$12+1,1))</f>
        <v>349.65790906807746</v>
      </c>
      <c r="CE28" s="59">
        <f t="shared" si="40"/>
        <v>291.88925884278888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63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0.55000000000000004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22.0223324062754</v>
      </c>
      <c r="CM28" s="21">
        <f>EXP(-LN(2)/2)*CM27+(1-EXP(-LN(2)/2))/(LN(2)/2)*CG28*CJ28*VLOOKUP('Données projet'!$B$12,Paramètres!$A$1:$I$89,3,0)*0.475*44/12</f>
        <v>0.2888197456169746</v>
      </c>
      <c r="CN28" s="22">
        <f t="shared" si="12"/>
        <v>22.311152151892376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89</v>
      </c>
      <c r="CR28" s="12">
        <f>VLOOKUP(A28,'Données projet'!$A$139:$I$159,9,0)</f>
        <v>3.56</v>
      </c>
      <c r="CS28" s="12">
        <f t="array" ref="CS28">INDEX(CR:CR,MIN(IF(ISNUMBER(CR28:CR224),ROW(CR28:CR224),"")))</f>
        <v>3.56</v>
      </c>
      <c r="CT28" s="12">
        <f>IF('Données projet'!$A$140&gt;35,CT27+CS28-DB27,IF(A28&lt;'Données projet'!$A$140,$CQ$205^A28,IF(A28='Données projet'!$A$140,'Données projet'!$B$140,CT27+CS28-DB27)))</f>
        <v>89</v>
      </c>
      <c r="CU28" s="17">
        <f>CT28*VLOOKUP('Données projet'!$B$13,Paramètres!$A$1:$I$89,3,0)*VLOOKUP('Données projet'!$B$13,Paramètres!$A$1:$I$89,5,0)</f>
        <v>69.42</v>
      </c>
      <c r="CV28" s="13">
        <f t="shared" si="41"/>
        <v>19.529353456978352</v>
      </c>
      <c r="CW28" s="20">
        <f t="shared" si="13"/>
        <v>154.92012393757065</v>
      </c>
      <c r="CX28" s="59">
        <f t="shared" si="14"/>
        <v>448.25345727090394</v>
      </c>
      <c r="CY28" s="59">
        <f ca="1">AVERAGE(OFFSET($CX$3,0,0,'Données projet'!$E$13+1,1))-AVERAGE(OFFSET($H$3,0,0,'Données projet'!$E$13+1,1))</f>
        <v>215.84581110302656</v>
      </c>
      <c r="CZ28" s="59">
        <f t="shared" si="42"/>
        <v>193.88588526156104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16.616666666666664</v>
      </c>
      <c r="N29" s="13">
        <f>IF('Données projet'!$A$36&gt;35,N28+M29-V28,IF(A29&lt;'Données projet'!$A$36,$K$205^A29,IF(A29='Données projet'!$A$36,'Données projet'!$B$36,N28+M29-V28)))</f>
        <v>213.53333333333336</v>
      </c>
      <c r="O29" s="13">
        <f>N29*VLOOKUP('Données projet'!$B$9,Paramètres!$A$1:$I$89,3,0)*VLOOKUP('Données projet'!$B$9,Paramètres!$A$1:$I$89,5,0)</f>
        <v>133.24480000000003</v>
      </c>
      <c r="P29" s="13">
        <f t="shared" si="33"/>
        <v>34.745058146398875</v>
      </c>
      <c r="Q29" s="20">
        <f t="shared" si="2"/>
        <v>292.58233627164475</v>
      </c>
      <c r="R29" s="59">
        <f t="shared" si="0"/>
        <v>585.91566960497812</v>
      </c>
      <c r="S29" s="59">
        <f ca="1">AVERAGE(OFFSET($R$3,0,0,'Données projet'!$E$9+1,1))-AVERAGE(OFFSET($H$3,0,0,'Données projet'!$E$9+1,1))</f>
        <v>269.77739619445515</v>
      </c>
      <c r="T29" s="59">
        <f t="shared" si="34"/>
        <v>347.56964743629885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67.901265898106246</v>
      </c>
      <c r="AB29" s="21">
        <f>EXP(-LN(2)/2)*AB28+(1-EXP(-LN(2)/2))/(LN(2)/2)*V29*Y29*VLOOKUP('Données projet'!$B$9,Paramètres!$A$1:$I$89,3,0)*0.475*44/12</f>
        <v>9.9353384107947418E-2</v>
      </c>
      <c r="AC29" s="22">
        <f t="shared" si="3"/>
        <v>68.000619282214188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25.6</v>
      </c>
      <c r="AI29" s="13">
        <f>IF('Données projet'!$A$62&gt;35,AI28+AH29-AQ28,IF(A29&lt;'Données projet'!$A$62,$AF$205^A29,IF(A29='Données projet'!$A$62,'Données projet'!$B$62,AI28+AH29-AQ28)))</f>
        <v>205.60000000000008</v>
      </c>
      <c r="AJ29" s="13">
        <f>AI29*VLOOKUP('Données projet'!$B$10,Paramètres!$A$1:$I$89,3,0)*VLOOKUP('Données projet'!$B$10,Paramètres!$A$1:$I$89,5,0)</f>
        <v>96.220800000000025</v>
      </c>
      <c r="AK29" s="13">
        <f t="shared" si="35"/>
        <v>26.059646543833548</v>
      </c>
      <c r="AL29" s="20">
        <f t="shared" si="4"/>
        <v>212.97177773051013</v>
      </c>
      <c r="AM29" s="59">
        <f t="shared" si="5"/>
        <v>506.30511106384347</v>
      </c>
      <c r="AN29" s="59">
        <f ca="1">AVERAGE(OFFSET($AM$3,0,0,'Données projet'!$E$10+1,1))-AVERAGE(OFFSET($H$3,0,0,'Données projet'!$E$10+1,1))</f>
        <v>342.49944586217674</v>
      </c>
      <c r="AO29" s="59">
        <f t="shared" si="36"/>
        <v>282.29766600872563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20.841208120723788</v>
      </c>
      <c r="AW29" s="21">
        <f>EXP(-LN(2)/2)*AW28+(1-EXP(-LN(2)/2))/(LN(2)/2)*AQ29*AT29*VLOOKUP('Données projet'!$B$10,Paramètres!$A$1:$I$89,3,0)*0.475*44/12</f>
        <v>0.33117794702649139</v>
      </c>
      <c r="AX29" s="21">
        <f t="shared" si="6"/>
        <v>21.172386067750281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95.631119999999967</v>
      </c>
      <c r="BF29" s="13">
        <f t="shared" si="37"/>
        <v>25.918481589892234</v>
      </c>
      <c r="BG29" s="20">
        <f t="shared" si="7"/>
        <v>211.69888943572892</v>
      </c>
      <c r="BH29" s="59">
        <f t="shared" si="8"/>
        <v>505.03222276906223</v>
      </c>
      <c r="BI29" s="59">
        <f ca="1">AVERAGE(OFFSET($BH$3,0,0,'Données projet'!$E$11+1,1))-AVERAGE(OFFSET($H$3,0,0,'Données projet'!$E$11+1,1))</f>
        <v>279.49721661620544</v>
      </c>
      <c r="BJ29" s="59">
        <f t="shared" si="38"/>
        <v>275.18739333988754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25.4</v>
      </c>
      <c r="BY29" s="12">
        <f>IF('Données projet'!$A$114&gt;35,BY28+BX29-CG28,IF(A29&lt;'Données projet'!$A$114,$BV$205^A29,IF(A29='Données projet'!$A$114,'Données projet'!$B$114,BY28+BX29-CG28)))</f>
        <v>207.39999999999998</v>
      </c>
      <c r="BZ29" s="13">
        <f>BY29*VLOOKUP('Données projet'!$B$12,Paramètres!$A$1:$I$89,3,0)*VLOOKUP('Données projet'!$B$12,Paramètres!$A$1:$I$89,5,0)</f>
        <v>99.759399999999985</v>
      </c>
      <c r="CA29" s="13">
        <f t="shared" si="39"/>
        <v>26.904669882525962</v>
      </c>
      <c r="CB29" s="20">
        <f t="shared" si="10"/>
        <v>220.60658837873268</v>
      </c>
      <c r="CC29" s="59">
        <f t="shared" si="11"/>
        <v>513.93992171206605</v>
      </c>
      <c r="CD29" s="59">
        <f ca="1">AVERAGE(OFFSET($CC$3,0,0,'Données projet'!$E$12+1,1))-AVERAGE(OFFSET($H$3,0,0,'Données projet'!$E$12+1,1))</f>
        <v>349.65790906807746</v>
      </c>
      <c r="CE29" s="59">
        <f t="shared" si="40"/>
        <v>291.88925884278888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21.420130568521671</v>
      </c>
      <c r="CM29" s="21">
        <f>EXP(-LN(2)/2)*CM28+(1-EXP(-LN(2)/2))/(LN(2)/2)*CG29*CJ29*VLOOKUP('Données projet'!$B$12,Paramètres!$A$1:$I$89,3,0)*0.475*44/12</f>
        <v>0.20422640066633638</v>
      </c>
      <c r="CN29" s="22">
        <f t="shared" si="12"/>
        <v>21.624356969188007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75.2</v>
      </c>
      <c r="CU29" s="17">
        <f>CT29*VLOOKUP('Données projet'!$B$13,Paramètres!$A$1:$I$89,3,0)*VLOOKUP('Données projet'!$B$13,Paramètres!$A$1:$I$89,5,0)</f>
        <v>58.656000000000006</v>
      </c>
      <c r="CV29" s="13">
        <f t="shared" si="41"/>
        <v>16.828016909929076</v>
      </c>
      <c r="CW29" s="20">
        <f t="shared" si="13"/>
        <v>131.46799611812648</v>
      </c>
      <c r="CX29" s="59">
        <f t="shared" si="14"/>
        <v>424.80132945145976</v>
      </c>
      <c r="CY29" s="59">
        <f ca="1">AVERAGE(OFFSET($CX$3,0,0,'Données projet'!$E$13+1,1))-AVERAGE(OFFSET($H$3,0,0,'Données projet'!$E$13+1,1))</f>
        <v>215.84581110302656</v>
      </c>
      <c r="CZ29" s="59">
        <f t="shared" si="42"/>
        <v>193.88588526156104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16.616666666666664</v>
      </c>
      <c r="N30" s="13">
        <f>IF('Données projet'!$A$36&gt;35,N29+M30-V29,IF(A30&lt;'Données projet'!$A$36,$K$205^A30,IF(A30='Données projet'!$A$36,'Données projet'!$B$36,N29+M30-V29)))</f>
        <v>230.15000000000003</v>
      </c>
      <c r="O30" s="13">
        <f>N30*VLOOKUP('Données projet'!$B$9,Paramètres!$A$1:$I$89,3,0)*VLOOKUP('Données projet'!$B$9,Paramètres!$A$1:$I$89,5,0)</f>
        <v>143.61360000000002</v>
      </c>
      <c r="P30" s="13">
        <f t="shared" si="33"/>
        <v>37.123598716010569</v>
      </c>
      <c r="Q30" s="20">
        <f t="shared" si="2"/>
        <v>314.78395443038511</v>
      </c>
      <c r="R30" s="59">
        <f t="shared" si="0"/>
        <v>608.11728776371842</v>
      </c>
      <c r="S30" s="59">
        <f ca="1">AVERAGE(OFFSET($R$3,0,0,'Données projet'!$E$9+1,1))-AVERAGE(OFFSET($H$3,0,0,'Données projet'!$E$9+1,1))</f>
        <v>269.77739619445515</v>
      </c>
      <c r="T30" s="59">
        <f t="shared" si="34"/>
        <v>347.56964743629885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66.044502211350149</v>
      </c>
      <c r="AB30" s="21">
        <f>EXP(-LN(2)/2)*AB29+(1-EXP(-LN(2)/2))/(LN(2)/2)*V30*Y30*VLOOKUP('Données projet'!$B$9,Paramètres!$A$1:$I$89,3,0)*0.475*44/12</f>
        <v>7.0253451636561381E-2</v>
      </c>
      <c r="AC30" s="22">
        <f t="shared" si="3"/>
        <v>66.11475566298671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25.6</v>
      </c>
      <c r="AI30" s="13">
        <f>IF('Données projet'!$A$62&gt;35,AI29+AH30-AQ29,IF(A30&lt;'Données projet'!$A$62,$AF$205^A30,IF(A30='Données projet'!$A$62,'Données projet'!$B$62,AI29+AH30-AQ29)))</f>
        <v>231.20000000000007</v>
      </c>
      <c r="AJ30" s="13">
        <f>AI30*VLOOKUP('Données projet'!$B$10,Paramètres!$A$1:$I$89,3,0)*VLOOKUP('Données projet'!$B$10,Paramètres!$A$1:$I$89,5,0)</f>
        <v>108.20160000000004</v>
      </c>
      <c r="AK30" s="13">
        <f t="shared" si="35"/>
        <v>28.906861857161285</v>
      </c>
      <c r="AL30" s="20">
        <f t="shared" si="4"/>
        <v>238.79723773455598</v>
      </c>
      <c r="AM30" s="59">
        <f t="shared" si="5"/>
        <v>532.13057106788926</v>
      </c>
      <c r="AN30" s="59">
        <f ca="1">AVERAGE(OFFSET($AM$3,0,0,'Données projet'!$E$10+1,1))-AVERAGE(OFFSET($H$3,0,0,'Données projet'!$E$10+1,1))</f>
        <v>342.49944586217674</v>
      </c>
      <c r="AO30" s="59">
        <f t="shared" si="36"/>
        <v>282.29766600872563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20.271304188671095</v>
      </c>
      <c r="AW30" s="21">
        <f>EXP(-LN(2)/2)*AW29+(1-EXP(-LN(2)/2))/(LN(2)/2)*AQ30*AT30*VLOOKUP('Données projet'!$B$10,Paramètres!$A$1:$I$89,3,0)*0.475*44/12</f>
        <v>0.23417817212187128</v>
      </c>
      <c r="AX30" s="21">
        <f t="shared" si="6"/>
        <v>20.505482360792968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106.92863999999996</v>
      </c>
      <c r="BF30" s="13">
        <f t="shared" si="37"/>
        <v>28.606159868782917</v>
      </c>
      <c r="BG30" s="20">
        <f t="shared" si="7"/>
        <v>236.05644310479681</v>
      </c>
      <c r="BH30" s="59">
        <f t="shared" si="8"/>
        <v>529.38977643813018</v>
      </c>
      <c r="BI30" s="59">
        <f ca="1">AVERAGE(OFFSET($BH$3,0,0,'Données projet'!$E$11+1,1))-AVERAGE(OFFSET($H$3,0,0,'Données projet'!$E$11+1,1))</f>
        <v>279.49721661620544</v>
      </c>
      <c r="BJ30" s="59">
        <f t="shared" si="38"/>
        <v>275.18739333988754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25.4</v>
      </c>
      <c r="BY30" s="12">
        <f>IF('Données projet'!$A$114&gt;35,BY29+BX30-CG29,IF(A30&lt;'Données projet'!$A$114,$BV$205^A30,IF(A30='Données projet'!$A$114,'Données projet'!$B$114,BY29+BX30-CG29)))</f>
        <v>232.79999999999998</v>
      </c>
      <c r="BZ30" s="13">
        <f>BY30*VLOOKUP('Données projet'!$B$12,Paramètres!$A$1:$I$89,3,0)*VLOOKUP('Données projet'!$B$12,Paramètres!$A$1:$I$89,5,0)</f>
        <v>111.9768</v>
      </c>
      <c r="CA30" s="13">
        <f t="shared" si="39"/>
        <v>29.796250167500418</v>
      </c>
      <c r="CB30" s="20">
        <f t="shared" si="10"/>
        <v>246.92139570839652</v>
      </c>
      <c r="CC30" s="59">
        <f t="shared" si="11"/>
        <v>540.25472904172989</v>
      </c>
      <c r="CD30" s="59">
        <f ca="1">AVERAGE(OFFSET($CC$3,0,0,'Données projet'!$E$12+1,1))-AVERAGE(OFFSET($H$3,0,0,'Données projet'!$E$12+1,1))</f>
        <v>349.65790906807746</v>
      </c>
      <c r="CE30" s="59">
        <f t="shared" si="40"/>
        <v>291.88925884278888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20.834395971689737</v>
      </c>
      <c r="CM30" s="21">
        <f>EXP(-LN(2)/2)*CM29+(1-EXP(-LN(2)/2))/(LN(2)/2)*CG30*CJ30*VLOOKUP('Données projet'!$B$12,Paramètres!$A$1:$I$89,3,0)*0.475*44/12</f>
        <v>0.1444098728084873</v>
      </c>
      <c r="CN30" s="22">
        <f t="shared" si="12"/>
        <v>20.978805844498225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89.4</v>
      </c>
      <c r="CU30" s="17">
        <f>CT30*VLOOKUP('Données projet'!$B$13,Paramètres!$A$1:$I$89,3,0)*VLOOKUP('Données projet'!$B$13,Paramètres!$A$1:$I$89,5,0)</f>
        <v>69.732000000000014</v>
      </c>
      <c r="CV30" s="13">
        <f t="shared" si="41"/>
        <v>19.606888874982506</v>
      </c>
      <c r="CW30" s="20">
        <f t="shared" si="13"/>
        <v>155.59856479059454</v>
      </c>
      <c r="CX30" s="59">
        <f t="shared" si="14"/>
        <v>448.93189812392785</v>
      </c>
      <c r="CY30" s="59">
        <f ca="1">AVERAGE(OFFSET($CX$3,0,0,'Données projet'!$E$13+1,1))-AVERAGE(OFFSET($H$3,0,0,'Données projet'!$E$13+1,1))</f>
        <v>215.84581110302656</v>
      </c>
      <c r="CZ30" s="59">
        <f t="shared" si="42"/>
        <v>193.88588526156104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16.616666666666664</v>
      </c>
      <c r="N31" s="13">
        <f>IF('Données projet'!$A$36&gt;35,N30+M31-V30,IF(A31&lt;'Données projet'!$A$36,$K$205^A31,IF(A31='Données projet'!$A$36,'Données projet'!$B$36,N30+M31-V30)))</f>
        <v>246.76666666666671</v>
      </c>
      <c r="O31" s="13">
        <f>N31*VLOOKUP('Données projet'!$B$9,Paramètres!$A$1:$I$89,3,0)*VLOOKUP('Données projet'!$B$9,Paramètres!$A$1:$I$89,5,0)</f>
        <v>153.98240000000004</v>
      </c>
      <c r="P31" s="13">
        <f t="shared" si="33"/>
        <v>39.482215533662355</v>
      </c>
      <c r="Q31" s="20">
        <f t="shared" si="2"/>
        <v>336.95087205446197</v>
      </c>
      <c r="R31" s="59">
        <f t="shared" si="0"/>
        <v>630.28420538779528</v>
      </c>
      <c r="S31" s="59">
        <f ca="1">AVERAGE(OFFSET($R$3,0,0,'Données projet'!$E$9+1,1))-AVERAGE(OFFSET($H$3,0,0,'Données projet'!$E$9+1,1))</f>
        <v>269.77739619445515</v>
      </c>
      <c r="T31" s="59">
        <f t="shared" si="34"/>
        <v>347.56964743629885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64.238511825251351</v>
      </c>
      <c r="AB31" s="21">
        <f>EXP(-LN(2)/2)*AB30+(1-EXP(-LN(2)/2))/(LN(2)/2)*V31*Y31*VLOOKUP('Données projet'!$B$9,Paramètres!$A$1:$I$89,3,0)*0.475*44/12</f>
        <v>4.9676692053973709E-2</v>
      </c>
      <c r="AC31" s="22">
        <f t="shared" si="3"/>
        <v>64.288188517305329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25.6</v>
      </c>
      <c r="AI31" s="13">
        <f>IF('Données projet'!$A$62&gt;35,AI30+AH31-AQ30,IF(A31&lt;'Données projet'!$A$62,$AF$205^A31,IF(A31='Données projet'!$A$62,'Données projet'!$B$62,AI30+AH31-AQ30)))</f>
        <v>256.80000000000007</v>
      </c>
      <c r="AJ31" s="13">
        <f>AI31*VLOOKUP('Données projet'!$B$10,Paramètres!$A$1:$I$89,3,0)*VLOOKUP('Données projet'!$B$10,Paramètres!$A$1:$I$89,5,0)</f>
        <v>120.18240000000003</v>
      </c>
      <c r="AK31" s="13">
        <f t="shared" si="35"/>
        <v>31.717537337483854</v>
      </c>
      <c r="AL31" s="20">
        <f t="shared" si="4"/>
        <v>264.55905752945108</v>
      </c>
      <c r="AM31" s="59">
        <f t="shared" si="5"/>
        <v>557.8923908627844</v>
      </c>
      <c r="AN31" s="59">
        <f ca="1">AVERAGE(OFFSET($AM$3,0,0,'Données projet'!$E$10+1,1))-AVERAGE(OFFSET($H$3,0,0,'Données projet'!$E$10+1,1))</f>
        <v>342.49944586217674</v>
      </c>
      <c r="AO31" s="59">
        <f t="shared" si="36"/>
        <v>282.29766600872563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19.716984309610329</v>
      </c>
      <c r="AW31" s="21">
        <f>EXP(-LN(2)/2)*AW30+(1-EXP(-LN(2)/2))/(LN(2)/2)*AQ31*AT31*VLOOKUP('Données projet'!$B$10,Paramètres!$A$1:$I$89,3,0)*0.475*44/12</f>
        <v>0.16558897351324572</v>
      </c>
      <c r="AX31" s="21">
        <f t="shared" si="6"/>
        <v>19.882573283123573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118.22615999999996</v>
      </c>
      <c r="BF31" s="13">
        <f t="shared" si="37"/>
        <v>31.260922342884676</v>
      </c>
      <c r="BG31" s="20">
        <f t="shared" si="7"/>
        <v>260.35666841385739</v>
      </c>
      <c r="BH31" s="59">
        <f t="shared" si="8"/>
        <v>553.69000174719076</v>
      </c>
      <c r="BI31" s="59">
        <f ca="1">AVERAGE(OFFSET($BH$3,0,0,'Données projet'!$E$11+1,1))-AVERAGE(OFFSET($H$3,0,0,'Données projet'!$E$11+1,1))</f>
        <v>279.49721661620544</v>
      </c>
      <c r="BJ31" s="59">
        <f t="shared" si="38"/>
        <v>275.18739333988754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25.4</v>
      </c>
      <c r="BY31" s="12">
        <f>IF('Données projet'!$A$114&gt;35,BY30+BX31-CG30,IF(A31&lt;'Données projet'!$A$114,$BV$205^A31,IF(A31='Données projet'!$A$114,'Données projet'!$B$114,BY30+BX31-CG30)))</f>
        <v>258.2</v>
      </c>
      <c r="BZ31" s="13">
        <f>BY31*VLOOKUP('Données projet'!$B$12,Paramètres!$A$1:$I$89,3,0)*VLOOKUP('Données projet'!$B$12,Paramètres!$A$1:$I$89,5,0)</f>
        <v>124.1942</v>
      </c>
      <c r="CA31" s="13">
        <f t="shared" si="39"/>
        <v>32.65126308183558</v>
      </c>
      <c r="CB31" s="20">
        <f t="shared" si="10"/>
        <v>273.17251486753031</v>
      </c>
      <c r="CC31" s="59">
        <f t="shared" si="11"/>
        <v>566.50584820086362</v>
      </c>
      <c r="CD31" s="59">
        <f ca="1">AVERAGE(OFFSET($CC$3,0,0,'Données projet'!$E$12+1,1))-AVERAGE(OFFSET($H$3,0,0,'Données projet'!$E$12+1,1))</f>
        <v>349.65790906807746</v>
      </c>
      <c r="CE31" s="59">
        <f t="shared" si="40"/>
        <v>291.88925884278888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20.264678318210613</v>
      </c>
      <c r="CM31" s="21">
        <f>EXP(-LN(2)/2)*CM30+(1-EXP(-LN(2)/2))/(LN(2)/2)*CG31*CJ31*VLOOKUP('Données projet'!$B$12,Paramètres!$A$1:$I$89,3,0)*0.475*44/12</f>
        <v>0.10211320033316819</v>
      </c>
      <c r="CN31" s="22">
        <f t="shared" si="12"/>
        <v>20.366791518543781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103.60000000000001</v>
      </c>
      <c r="CU31" s="17">
        <f>CT31*VLOOKUP('Données projet'!$B$13,Paramètres!$A$1:$I$89,3,0)*VLOOKUP('Données projet'!$B$13,Paramètres!$A$1:$I$89,5,0)</f>
        <v>80.808000000000007</v>
      </c>
      <c r="CV31" s="13">
        <f t="shared" si="41"/>
        <v>22.334628633536209</v>
      </c>
      <c r="CW31" s="20">
        <f t="shared" si="13"/>
        <v>179.64007820340893</v>
      </c>
      <c r="CX31" s="59">
        <f t="shared" si="14"/>
        <v>472.97341153674222</v>
      </c>
      <c r="CY31" s="59">
        <f ca="1">AVERAGE(OFFSET($CX$3,0,0,'Données projet'!$E$13+1,1))-AVERAGE(OFFSET($H$3,0,0,'Données projet'!$E$13+1,1))</f>
        <v>215.84581110302656</v>
      </c>
      <c r="CZ31" s="59">
        <f t="shared" si="42"/>
        <v>193.88588526156104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16.616666666666664</v>
      </c>
      <c r="N32" s="13">
        <f>IF('Données projet'!$A$36&gt;35,N31+M32-V31,IF(A32&lt;'Données projet'!$A$36,$K$205^A32,IF(A32='Données projet'!$A$36,'Données projet'!$B$36,N31+M32-V31)))</f>
        <v>263.38333333333338</v>
      </c>
      <c r="O32" s="13">
        <f>N32*VLOOKUP('Données projet'!$B$9,Paramètres!$A$1:$I$89,3,0)*VLOOKUP('Données projet'!$B$9,Paramètres!$A$1:$I$89,5,0)</f>
        <v>164.35120000000003</v>
      </c>
      <c r="P32" s="13">
        <f t="shared" si="33"/>
        <v>41.822402860152515</v>
      </c>
      <c r="Q32" s="20">
        <f t="shared" si="2"/>
        <v>359.08569164809904</v>
      </c>
      <c r="R32" s="59">
        <f t="shared" si="0"/>
        <v>652.41902498143236</v>
      </c>
      <c r="S32" s="59">
        <f ca="1">AVERAGE(OFFSET($R$3,0,0,'Données projet'!$E$9+1,1))-AVERAGE(OFFSET($H$3,0,0,'Données projet'!$E$9+1,1))</f>
        <v>269.77739619445515</v>
      </c>
      <c r="T32" s="59">
        <f t="shared" si="34"/>
        <v>347.56964743629885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62.481906341233334</v>
      </c>
      <c r="AB32" s="21">
        <f>EXP(-LN(2)/2)*AB31+(1-EXP(-LN(2)/2))/(LN(2)/2)*V32*Y32*VLOOKUP('Données projet'!$B$9,Paramètres!$A$1:$I$89,3,0)*0.475*44/12</f>
        <v>3.5126725818280691E-2</v>
      </c>
      <c r="AC32" s="22">
        <f t="shared" si="3"/>
        <v>62.517033067051614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25.6</v>
      </c>
      <c r="AI32" s="13">
        <f>IF('Données projet'!$A$62&gt;35,AI31+AH32-AQ31,IF(A32&lt;'Données projet'!$A$62,$AF$205^A32,IF(A32='Données projet'!$A$62,'Données projet'!$B$62,AI31+AH32-AQ31)))</f>
        <v>282.40000000000009</v>
      </c>
      <c r="AJ32" s="13">
        <f>AI32*VLOOKUP('Données projet'!$B$10,Paramètres!$A$1:$I$89,3,0)*VLOOKUP('Données projet'!$B$10,Paramètres!$A$1:$I$89,5,0)</f>
        <v>132.16320000000005</v>
      </c>
      <c r="AK32" s="13">
        <f t="shared" si="35"/>
        <v>34.495730230009791</v>
      </c>
      <c r="AL32" s="20">
        <f t="shared" si="4"/>
        <v>290.26430348393382</v>
      </c>
      <c r="AM32" s="59">
        <f t="shared" si="5"/>
        <v>583.59763681726713</v>
      </c>
      <c r="AN32" s="59">
        <f ca="1">AVERAGE(OFFSET($AM$3,0,0,'Données projet'!$E$10+1,1))-AVERAGE(OFFSET($H$3,0,0,'Données projet'!$E$10+1,1))</f>
        <v>342.49944586217674</v>
      </c>
      <c r="AO32" s="59">
        <f t="shared" si="36"/>
        <v>282.29766600872563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19.177822336792893</v>
      </c>
      <c r="AW32" s="21">
        <f>EXP(-LN(2)/2)*AW31+(1-EXP(-LN(2)/2))/(LN(2)/2)*AQ32*AT32*VLOOKUP('Données projet'!$B$10,Paramètres!$A$1:$I$89,3,0)*0.475*44/12</f>
        <v>0.11708908606093567</v>
      </c>
      <c r="AX32" s="21">
        <f t="shared" si="6"/>
        <v>19.294911422853829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129.52367999999996</v>
      </c>
      <c r="BF32" s="13">
        <f t="shared" si="37"/>
        <v>33.886272262901727</v>
      </c>
      <c r="BG32" s="20">
        <f t="shared" si="7"/>
        <v>284.60566685788712</v>
      </c>
      <c r="BH32" s="59">
        <f t="shared" si="8"/>
        <v>577.93900019122043</v>
      </c>
      <c r="BI32" s="59">
        <f ca="1">AVERAGE(OFFSET($BH$3,0,0,'Données projet'!$E$11+1,1))-AVERAGE(OFFSET($H$3,0,0,'Données projet'!$E$11+1,1))</f>
        <v>279.49721661620544</v>
      </c>
      <c r="BJ32" s="59">
        <f t="shared" si="38"/>
        <v>275.18739333988754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25.4</v>
      </c>
      <c r="BY32" s="12">
        <f>IF('Données projet'!$A$114&gt;35,BY31+BX32-CG31,IF(A32&lt;'Données projet'!$A$114,$BV$205^A32,IF(A32='Données projet'!$A$114,'Données projet'!$B$114,BY31+BX32-CG31)))</f>
        <v>283.59999999999997</v>
      </c>
      <c r="BZ32" s="13">
        <f>BY32*VLOOKUP('Données projet'!$B$12,Paramètres!$A$1:$I$89,3,0)*VLOOKUP('Données projet'!$B$12,Paramètres!$A$1:$I$89,5,0)</f>
        <v>136.41159999999999</v>
      </c>
      <c r="CA32" s="13">
        <f t="shared" si="39"/>
        <v>35.473715291544508</v>
      </c>
      <c r="CB32" s="20">
        <f t="shared" si="10"/>
        <v>299.36692413277325</v>
      </c>
      <c r="CC32" s="59">
        <f t="shared" si="11"/>
        <v>592.70025746610656</v>
      </c>
      <c r="CD32" s="59">
        <f ca="1">AVERAGE(OFFSET($CC$3,0,0,'Données projet'!$E$12+1,1))-AVERAGE(OFFSET($H$3,0,0,'Données projet'!$E$12+1,1))</f>
        <v>349.65790906807746</v>
      </c>
      <c r="CE32" s="59">
        <f t="shared" si="40"/>
        <v>291.88925884278888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19.710539623926028</v>
      </c>
      <c r="CM32" s="21">
        <f>EXP(-LN(2)/2)*CM31+(1-EXP(-LN(2)/2))/(LN(2)/2)*CG32*CJ32*VLOOKUP('Données projet'!$B$12,Paramètres!$A$1:$I$89,3,0)*0.475*44/12</f>
        <v>7.220493640424365E-2</v>
      </c>
      <c r="CN32" s="22">
        <f t="shared" si="12"/>
        <v>19.782744560330272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117.80000000000001</v>
      </c>
      <c r="CU32" s="17">
        <f>CT32*VLOOKUP('Données projet'!$B$13,Paramètres!$A$1:$I$89,3,0)*VLOOKUP('Données projet'!$B$13,Paramètres!$A$1:$I$89,5,0)</f>
        <v>91.884000000000015</v>
      </c>
      <c r="CV32" s="13">
        <f t="shared" si="41"/>
        <v>25.019051117801563</v>
      </c>
      <c r="CW32" s="20">
        <f t="shared" si="13"/>
        <v>203.60614736350442</v>
      </c>
      <c r="CX32" s="59">
        <f t="shared" si="14"/>
        <v>496.93948069683773</v>
      </c>
      <c r="CY32" s="59">
        <f ca="1">AVERAGE(OFFSET($CX$3,0,0,'Données projet'!$E$13+1,1))-AVERAGE(OFFSET($H$3,0,0,'Données projet'!$E$13+1,1))</f>
        <v>215.84581110302656</v>
      </c>
      <c r="CZ32" s="59">
        <f t="shared" si="42"/>
        <v>193.88588526156104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280</v>
      </c>
      <c r="L33" s="12">
        <f>VLOOKUP(A33,'Données projet'!$A$35:$I$55,9,0)</f>
        <v>16.616666666666664</v>
      </c>
      <c r="M33" s="12">
        <f t="array" ref="M33">INDEX(L:L,MIN(IF(ISNUMBER(L33:L229),ROW(L33:L229),"")))</f>
        <v>16.616666666666664</v>
      </c>
      <c r="N33" s="13">
        <f>IF('Données projet'!$A$36&gt;35,N32+M33-V32,IF(A33&lt;'Données projet'!$A$36,$K$205^A33,IF(A33='Données projet'!$A$36,'Données projet'!$B$36,N32+M33-V32)))</f>
        <v>280.00000000000006</v>
      </c>
      <c r="O33" s="13">
        <f>N33*VLOOKUP('Données projet'!$B$9,Paramètres!$A$1:$I$89,3,0)*VLOOKUP('Données projet'!$B$9,Paramètres!$A$1:$I$89,5,0)</f>
        <v>174.72000000000006</v>
      </c>
      <c r="P33" s="13">
        <f t="shared" si="33"/>
        <v>44.145455754865246</v>
      </c>
      <c r="Q33" s="20">
        <f t="shared" si="2"/>
        <v>381.19066877305704</v>
      </c>
      <c r="R33" s="59">
        <f t="shared" si="0"/>
        <v>674.5240021063903</v>
      </c>
      <c r="S33" s="59">
        <f ca="1">AVERAGE(OFFSET($R$3,0,0,'Données projet'!$E$9+1,1))-AVERAGE(OFFSET($H$3,0,0,'Données projet'!$E$9+1,1))</f>
        <v>269.77739619445515</v>
      </c>
      <c r="T33" s="59">
        <f t="shared" si="34"/>
        <v>347.56964743629885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62.6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0.6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91.742191961336417</v>
      </c>
      <c r="AB33" s="21">
        <f>EXP(-LN(2)/2)*AB32+(1-EXP(-LN(2)/2))/(LN(2)/2)*V33*Y33*VLOOKUP('Données projet'!$B$9,Paramètres!$A$1:$I$89,3,0)*0.475*44/12</f>
        <v>2.4838346026986854E-2</v>
      </c>
      <c r="AC33" s="22">
        <f t="shared" si="3"/>
        <v>91.767030307363399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308</v>
      </c>
      <c r="AG33" s="12">
        <f>VLOOKUP(A33,'Données projet'!$A$61:$I$81,9,0)</f>
        <v>25.6</v>
      </c>
      <c r="AH33" s="12">
        <f t="array" ref="AH33">INDEX(AG:AG,MIN(IF(ISNUMBER(AG33:AG229),ROW(AG33:AG229),"")))</f>
        <v>25.6</v>
      </c>
      <c r="AI33" s="13">
        <f>IF('Données projet'!$A$62&gt;35,AI32+AH33-AQ32,IF(A33&lt;'Données projet'!$A$62,$AF$205^A33,IF(A33='Données projet'!$A$62,'Données projet'!$B$62,AI32+AH33-AQ32)))</f>
        <v>308.00000000000011</v>
      </c>
      <c r="AJ33" s="13">
        <f>AI33*VLOOKUP('Données projet'!$B$10,Paramètres!$A$1:$I$89,3,0)*VLOOKUP('Données projet'!$B$10,Paramètres!$A$1:$I$89,5,0)</f>
        <v>144.14400000000006</v>
      </c>
      <c r="AK33" s="13">
        <f t="shared" si="35"/>
        <v>37.244720006976252</v>
      </c>
      <c r="AL33" s="20">
        <f t="shared" si="4"/>
        <v>315.91868734548376</v>
      </c>
      <c r="AM33" s="59">
        <f t="shared" si="5"/>
        <v>609.25202067881708</v>
      </c>
      <c r="AN33" s="59">
        <f ca="1">AVERAGE(OFFSET($AM$3,0,0,'Données projet'!$E$10+1,1))-AVERAGE(OFFSET($H$3,0,0,'Données projet'!$E$10+1,1))</f>
        <v>342.49944586217674</v>
      </c>
      <c r="AO33" s="59">
        <f t="shared" si="36"/>
        <v>282.29766600872563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0.55000000000000004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40.080538009608269</v>
      </c>
      <c r="AW33" s="21">
        <f>EXP(-LN(2)/2)*AW32+(1-EXP(-LN(2)/2))/(LN(2)/2)*AQ33*AT33*VLOOKUP('Données projet'!$B$10,Paramètres!$A$1:$I$89,3,0)*0.475*44/12</f>
        <v>8.2794486756622876E-2</v>
      </c>
      <c r="AX33" s="21">
        <f t="shared" si="6"/>
        <v>40.163332496364895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140.82119999999992</v>
      </c>
      <c r="BF33" s="13">
        <f t="shared" si="37"/>
        <v>36.485066799987997</v>
      </c>
      <c r="BG33" s="20">
        <f t="shared" si="7"/>
        <v>308.80841467664561</v>
      </c>
      <c r="BH33" s="59">
        <f t="shared" si="8"/>
        <v>602.14174800997898</v>
      </c>
      <c r="BI33" s="59">
        <f ca="1">AVERAGE(OFFSET($BH$3,0,0,'Données projet'!$E$11+1,1))-AVERAGE(OFFSET($H$3,0,0,'Données projet'!$E$11+1,1))</f>
        <v>279.49721661620544</v>
      </c>
      <c r="BJ33" s="59">
        <f t="shared" si="38"/>
        <v>275.18739333988754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309</v>
      </c>
      <c r="BW33" s="12">
        <f>VLOOKUP(A33,'Données projet'!$A$113:$I$133,9,0)</f>
        <v>25.4</v>
      </c>
      <c r="BX33" s="12">
        <f t="array" ref="BX33">INDEX(BW:BW,MIN(IF(ISNUMBER(BW33:BW229),ROW(BW33:BW229),"")))</f>
        <v>25.4</v>
      </c>
      <c r="BY33" s="12">
        <f>IF('Données projet'!$A$114&gt;35,BY32+BX33-CG32,IF(A33&lt;'Données projet'!$A$114,$BV$205^A33,IF(A33='Données projet'!$A$114,'Données projet'!$B$114,BY32+BX33-CG32)))</f>
        <v>308.99999999999994</v>
      </c>
      <c r="BZ33" s="13">
        <f>BY33*VLOOKUP('Données projet'!$B$12,Paramètres!$A$1:$I$89,3,0)*VLOOKUP('Données projet'!$B$12,Paramètres!$A$1:$I$89,5,0)</f>
        <v>148.62899999999999</v>
      </c>
      <c r="CA33" s="13">
        <f t="shared" si="39"/>
        <v>38.266854648543763</v>
      </c>
      <c r="CB33" s="20">
        <f t="shared" si="10"/>
        <v>325.51028017954701</v>
      </c>
      <c r="CC33" s="59">
        <f t="shared" si="11"/>
        <v>618.84361351288032</v>
      </c>
      <c r="CD33" s="59">
        <f ca="1">AVERAGE(OFFSET($CC$3,0,0,'Données projet'!$E$12+1,1))-AVERAGE(OFFSET($H$3,0,0,'Données projet'!$E$12+1,1))</f>
        <v>349.65790906807746</v>
      </c>
      <c r="CE33" s="59">
        <f t="shared" si="40"/>
        <v>291.88925884278888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63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0.55000000000000004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41.193886287652944</v>
      </c>
      <c r="CM33" s="21">
        <f>EXP(-LN(2)/2)*CM32+(1-EXP(-LN(2)/2))/(LN(2)/2)*CG33*CJ33*VLOOKUP('Données projet'!$B$12,Paramètres!$A$1:$I$89,3,0)*0.475*44/12</f>
        <v>5.1056600166584094E-2</v>
      </c>
      <c r="CN33" s="22">
        <f t="shared" si="12"/>
        <v>41.244942887819526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132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132</v>
      </c>
      <c r="CU33" s="17">
        <f>CT33*VLOOKUP('Données projet'!$B$13,Paramètres!$A$1:$I$89,3,0)*VLOOKUP('Données projet'!$B$13,Paramètres!$A$1:$I$89,5,0)</f>
        <v>102.96000000000001</v>
      </c>
      <c r="CV33" s="13">
        <f t="shared" si="41"/>
        <v>27.665975080374633</v>
      </c>
      <c r="CW33" s="20">
        <f t="shared" si="13"/>
        <v>227.50690659831915</v>
      </c>
      <c r="CX33" s="59">
        <f t="shared" si="14"/>
        <v>520.84023993165249</v>
      </c>
      <c r="CY33" s="59">
        <f ca="1">AVERAGE(OFFSET($CX$3,0,0,'Données projet'!$E$13+1,1))-AVERAGE(OFFSET($H$3,0,0,'Données projet'!$E$13+1,1))</f>
        <v>215.84581110302656</v>
      </c>
      <c r="CZ33" s="59">
        <f t="shared" si="42"/>
        <v>193.88588526156104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24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14.6</v>
      </c>
      <c r="N34" s="13">
        <f>IF('Données projet'!$A$36&gt;35,N33+M34-V33,IF(A34&lt;'Données projet'!$A$36,$K$205^A34,IF(A34='Données projet'!$A$36,'Données projet'!$B$36,N33+M34-V33)))</f>
        <v>232.00000000000009</v>
      </c>
      <c r="O34" s="13">
        <f>N34*VLOOKUP('Données projet'!$B$9,Paramètres!$A$1:$I$89,3,0)*VLOOKUP('Données projet'!$B$9,Paramètres!$A$1:$I$89,5,0)</f>
        <v>144.76800000000006</v>
      </c>
      <c r="P34" s="13">
        <f t="shared" si="33"/>
        <v>37.387149255707826</v>
      </c>
      <c r="Q34" s="20">
        <f t="shared" si="2"/>
        <v>317.25355162035788</v>
      </c>
      <c r="R34" s="59">
        <f t="shared" si="0"/>
        <v>610.5868849536912</v>
      </c>
      <c r="S34" s="59">
        <f ca="1">AVERAGE(OFFSET($R$3,0,0,'Données projet'!$E$9+1,1))-AVERAGE(OFFSET($H$3,0,0,'Données projet'!$E$9+1,1))</f>
        <v>269.77739619445515</v>
      </c>
      <c r="T34" s="59">
        <f t="shared" si="34"/>
        <v>347.56964743629885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89.233496897641473</v>
      </c>
      <c r="AB34" s="21">
        <f>EXP(-LN(2)/2)*AB33+(1-EXP(-LN(2)/2))/(LN(2)/2)*V34*Y34*VLOOKUP('Données projet'!$B$9,Paramètres!$A$1:$I$89,3,0)*0.475*44/12</f>
        <v>1.7563362909140345E-2</v>
      </c>
      <c r="AC34" s="22">
        <f t="shared" si="3"/>
        <v>89.251060260550616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26.2</v>
      </c>
      <c r="AI34" s="13">
        <f>IF('Données projet'!$A$62&gt;35,AI33+AH34-AQ33,IF(A34&lt;'Données projet'!$A$62,$AF$205^A34,IF(A34='Données projet'!$A$62,'Données projet'!$B$62,AI33+AH34-AQ33)))</f>
        <v>271.2000000000001</v>
      </c>
      <c r="AJ34" s="13">
        <f>AI34*VLOOKUP('Données projet'!$B$10,Paramètres!$A$1:$I$89,3,0)*VLOOKUP('Données projet'!$B$10,Paramètres!$A$1:$I$89,5,0)</f>
        <v>126.92160000000005</v>
      </c>
      <c r="AK34" s="13">
        <f t="shared" si="35"/>
        <v>33.284042392731578</v>
      </c>
      <c r="AL34" s="20">
        <f t="shared" si="4"/>
        <v>279.0248271673409</v>
      </c>
      <c r="AM34" s="59">
        <f t="shared" si="5"/>
        <v>572.35816050067422</v>
      </c>
      <c r="AN34" s="59">
        <f ca="1">AVERAGE(OFFSET($AM$3,0,0,'Données projet'!$E$10+1,1))-AVERAGE(OFFSET($H$3,0,0,'Données projet'!$E$10+1,1))</f>
        <v>342.49944586217674</v>
      </c>
      <c r="AO34" s="59">
        <f t="shared" si="36"/>
        <v>282.29766600872563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38.984533589991642</v>
      </c>
      <c r="AW34" s="21">
        <f>EXP(-LN(2)/2)*AW33+(1-EXP(-LN(2)/2))/(LN(2)/2)*AQ34*AT34*VLOOKUP('Données projet'!$B$10,Paramètres!$A$1:$I$89,3,0)*0.475*44/12</f>
        <v>5.8544543030467841E-2</v>
      </c>
      <c r="AX34" s="21">
        <f t="shared" si="6"/>
        <v>39.043078133022107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123.15887999999995</v>
      </c>
      <c r="BF34" s="13">
        <f t="shared" si="37"/>
        <v>32.410638331814873</v>
      </c>
      <c r="BG34" s="20">
        <f t="shared" si="7"/>
        <v>270.95024442791083</v>
      </c>
      <c r="BH34" s="59">
        <f t="shared" si="8"/>
        <v>564.28357776124415</v>
      </c>
      <c r="BI34" s="59">
        <f ca="1">AVERAGE(OFFSET($BH$3,0,0,'Données projet'!$E$11+1,1))-AVERAGE(OFFSET($H$3,0,0,'Données projet'!$E$11+1,1))</f>
        <v>279.49721661620544</v>
      </c>
      <c r="BJ34" s="59">
        <f t="shared" si="38"/>
        <v>275.18739333988754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25.6</v>
      </c>
      <c r="BY34" s="12">
        <f>IF('Données projet'!$A$114&gt;35,BY33+BX34-CG33,IF(A34&lt;'Données projet'!$A$114,$BV$205^A34,IF(A34='Données projet'!$A$114,'Données projet'!$B$114,BY33+BX34-CG33)))</f>
        <v>271.59999999999997</v>
      </c>
      <c r="BZ34" s="13">
        <f>BY34*VLOOKUP('Données projet'!$B$12,Paramètres!$A$1:$I$89,3,0)*VLOOKUP('Données projet'!$B$12,Paramètres!$A$1:$I$89,5,0)</f>
        <v>130.6396</v>
      </c>
      <c r="CA34" s="13">
        <f t="shared" si="39"/>
        <v>34.1441098709372</v>
      </c>
      <c r="CB34" s="20">
        <f t="shared" si="10"/>
        <v>286.99829469188228</v>
      </c>
      <c r="CC34" s="59">
        <f t="shared" si="11"/>
        <v>580.33162802521565</v>
      </c>
      <c r="CD34" s="59">
        <f ca="1">AVERAGE(OFFSET($CC$3,0,0,'Données projet'!$E$12+1,1))-AVERAGE(OFFSET($H$3,0,0,'Données projet'!$E$12+1,1))</f>
        <v>349.65790906807746</v>
      </c>
      <c r="CE34" s="59">
        <f t="shared" si="40"/>
        <v>291.88925884278888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40.067437300824743</v>
      </c>
      <c r="CM34" s="21">
        <f>EXP(-LN(2)/2)*CM33+(1-EXP(-LN(2)/2))/(LN(2)/2)*CG34*CJ34*VLOOKUP('Données projet'!$B$12,Paramètres!$A$1:$I$89,3,0)*0.475*44/12</f>
        <v>3.6102468202121825E-2</v>
      </c>
      <c r="CN34" s="22">
        <f t="shared" si="12"/>
        <v>40.103539769026867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13</v>
      </c>
      <c r="CT34" s="12">
        <f>IF('Données projet'!$A$140&gt;35,CT33+CS34-DB33,IF(A34&lt;'Données projet'!$A$140,$CQ$205^A34,IF(A34='Données projet'!$A$140,'Données projet'!$B$140,CT33+CS34-DB33)))</f>
        <v>121</v>
      </c>
      <c r="CU34" s="17">
        <f>CT34*VLOOKUP('Données projet'!$B$13,Paramètres!$A$1:$I$89,3,0)*VLOOKUP('Données projet'!$B$13,Paramètres!$A$1:$I$89,5,0)</f>
        <v>94.38000000000001</v>
      </c>
      <c r="CV34" s="13">
        <f t="shared" si="41"/>
        <v>25.618636348883211</v>
      </c>
      <c r="CW34" s="20">
        <f t="shared" si="13"/>
        <v>208.99762497430493</v>
      </c>
      <c r="CX34" s="59">
        <f t="shared" si="14"/>
        <v>502.33095830763824</v>
      </c>
      <c r="CY34" s="59">
        <f ca="1">AVERAGE(OFFSET($CX$3,0,0,'Données projet'!$E$13+1,1))-AVERAGE(OFFSET($H$3,0,0,'Données projet'!$E$13+1,1))</f>
        <v>215.84581110302656</v>
      </c>
      <c r="CZ34" s="59">
        <f t="shared" si="42"/>
        <v>193.88588526156104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14.6</v>
      </c>
      <c r="N35" s="13">
        <f>IF('Données projet'!$A$36&gt;35,N34+M35-V34,IF(A35&lt;'Données projet'!$A$36,$K$205^A35,IF(A35='Données projet'!$A$36,'Données projet'!$B$36,N34+M35-V34)))</f>
        <v>246.60000000000008</v>
      </c>
      <c r="O35" s="13">
        <f>N35*VLOOKUP('Données projet'!$B$9,Paramètres!$A$1:$I$89,3,0)*VLOOKUP('Données projet'!$B$9,Paramètres!$A$1:$I$89,5,0)</f>
        <v>153.87840000000006</v>
      </c>
      <c r="P35" s="13">
        <f t="shared" si="33"/>
        <v>39.458652209792398</v>
      </c>
      <c r="Q35" s="20">
        <f t="shared" ref="Q35:Q66" si="53">(O35+P35)*0.475*44/12</f>
        <v>336.72869926538851</v>
      </c>
      <c r="R35" s="59">
        <f t="shared" si="0"/>
        <v>630.06203259872177</v>
      </c>
      <c r="S35" s="59">
        <f ca="1">AVERAGE(OFFSET($R$3,0,0,'Données projet'!$E$9+1,1))-AVERAGE(OFFSET($H$3,0,0,'Données projet'!$E$9+1,1))</f>
        <v>269.77739619445515</v>
      </c>
      <c r="T35" s="59">
        <f t="shared" si="34"/>
        <v>347.56964743629885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86.793402232389809</v>
      </c>
      <c r="AB35" s="21">
        <f>EXP(-LN(2)/2)*AB34+(1-EXP(-LN(2)/2))/(LN(2)/2)*V35*Y35*VLOOKUP('Données projet'!$B$9,Paramètres!$A$1:$I$89,3,0)*0.475*44/12</f>
        <v>1.2419173013493427E-2</v>
      </c>
      <c r="AC35" s="22">
        <f t="shared" si="3"/>
        <v>86.805821405403307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26.2</v>
      </c>
      <c r="AI35" s="13">
        <f>IF('Données projet'!$A$62&gt;35,AI34+AH35-AQ34,IF(A35&lt;'Données projet'!$A$62,$AF$205^A35,IF(A35='Données projet'!$A$62,'Données projet'!$B$62,AI34+AH35-AQ34)))</f>
        <v>297.40000000000009</v>
      </c>
      <c r="AJ35" s="13">
        <f>AI35*VLOOKUP('Données projet'!$B$10,Paramètres!$A$1:$I$89,3,0)*VLOOKUP('Données projet'!$B$10,Paramètres!$A$1:$I$89,5,0)</f>
        <v>139.18320000000006</v>
      </c>
      <c r="AK35" s="13">
        <f t="shared" si="35"/>
        <v>36.109824409784167</v>
      </c>
      <c r="AL35" s="20">
        <f t="shared" si="4"/>
        <v>305.30201751370748</v>
      </c>
      <c r="AM35" s="59">
        <f t="shared" si="5"/>
        <v>598.63535084704085</v>
      </c>
      <c r="AN35" s="59">
        <f ca="1">AVERAGE(OFFSET($AM$3,0,0,'Données projet'!$E$10+1,1))-AVERAGE(OFFSET($H$3,0,0,'Données projet'!$E$10+1,1))</f>
        <v>342.49944586217674</v>
      </c>
      <c r="AO35" s="59">
        <f t="shared" si="36"/>
        <v>282.29766600872563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37.918499468865797</v>
      </c>
      <c r="AW35" s="21">
        <f>EXP(-LN(2)/2)*AW34+(1-EXP(-LN(2)/2))/(LN(2)/2)*AQ35*AT35*VLOOKUP('Données projet'!$B$10,Paramètres!$A$1:$I$89,3,0)*0.475*44/12</f>
        <v>4.1397243378311445E-2</v>
      </c>
      <c r="AX35" s="21">
        <f t="shared" si="6"/>
        <v>37.95989671224411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133.34255999999996</v>
      </c>
      <c r="BF35" s="13">
        <f t="shared" si="37"/>
        <v>34.767581918978188</v>
      </c>
      <c r="BG35" s="20">
        <f t="shared" si="7"/>
        <v>292.7918305088869</v>
      </c>
      <c r="BH35" s="59">
        <f t="shared" si="8"/>
        <v>586.12516384222022</v>
      </c>
      <c r="BI35" s="59">
        <f ca="1">AVERAGE(OFFSET($BH$3,0,0,'Données projet'!$E$11+1,1))-AVERAGE(OFFSET($H$3,0,0,'Données projet'!$E$11+1,1))</f>
        <v>279.49721661620544</v>
      </c>
      <c r="BJ35" s="59">
        <f t="shared" si="38"/>
        <v>275.18739333988754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25.6</v>
      </c>
      <c r="BY35" s="12">
        <f>IF('Données projet'!$A$114&gt;35,BY34+BX35-CG34,IF(A35&lt;'Données projet'!$A$114,$BV$205^A35,IF(A35='Données projet'!$A$114,'Données projet'!$B$114,BY34+BX35-CG34)))</f>
        <v>297.2</v>
      </c>
      <c r="BZ35" s="13">
        <f>BY35*VLOOKUP('Données projet'!$B$12,Paramètres!$A$1:$I$89,3,0)*VLOOKUP('Données projet'!$B$12,Paramètres!$A$1:$I$89,5,0)</f>
        <v>142.95320000000001</v>
      </c>
      <c r="CA35" s="13">
        <f t="shared" si="39"/>
        <v>36.97271801736909</v>
      </c>
      <c r="CB35" s="20">
        <f t="shared" si="10"/>
        <v>313.37097388025114</v>
      </c>
      <c r="CC35" s="59">
        <f t="shared" si="11"/>
        <v>606.70430721358446</v>
      </c>
      <c r="CD35" s="59">
        <f ca="1">AVERAGE(OFFSET($CC$3,0,0,'Données projet'!$E$12+1,1))-AVERAGE(OFFSET($H$3,0,0,'Données projet'!$E$12+1,1))</f>
        <v>349.65790906807746</v>
      </c>
      <c r="CE35" s="59">
        <f t="shared" si="40"/>
        <v>291.88925884278888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38.97179112077874</v>
      </c>
      <c r="CM35" s="21">
        <f>EXP(-LN(2)/2)*CM34+(1-EXP(-LN(2)/2))/(LN(2)/2)*CG35*CJ35*VLOOKUP('Données projet'!$B$12,Paramètres!$A$1:$I$89,3,0)*0.475*44/12</f>
        <v>2.5528300083292047E-2</v>
      </c>
      <c r="CN35" s="22">
        <f t="shared" si="12"/>
        <v>38.997319420862034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13</v>
      </c>
      <c r="CT35" s="12">
        <f>IF('Données projet'!$A$140&gt;35,CT34+CS35-DB34,IF(A35&lt;'Données projet'!$A$140,$CQ$205^A35,IF(A35='Données projet'!$A$140,'Données projet'!$B$140,CT34+CS35-DB34)))</f>
        <v>134</v>
      </c>
      <c r="CU35" s="17">
        <f>CT35*VLOOKUP('Données projet'!$B$13,Paramètres!$A$1:$I$89,3,0)*VLOOKUP('Données projet'!$B$13,Paramètres!$A$1:$I$89,5,0)</f>
        <v>104.52000000000001</v>
      </c>
      <c r="CV35" s="13">
        <f t="shared" si="41"/>
        <v>28.036039012748962</v>
      </c>
      <c r="CW35" s="20">
        <f t="shared" si="13"/>
        <v>230.86843461387113</v>
      </c>
      <c r="CX35" s="59">
        <f t="shared" si="14"/>
        <v>524.20176794720442</v>
      </c>
      <c r="CY35" s="59">
        <f ca="1">AVERAGE(OFFSET($CX$3,0,0,'Données projet'!$E$13+1,1))-AVERAGE(OFFSET($H$3,0,0,'Données projet'!$E$13+1,1))</f>
        <v>215.84581110302656</v>
      </c>
      <c r="CZ35" s="59">
        <f t="shared" si="42"/>
        <v>193.88588526156104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14.6</v>
      </c>
      <c r="N36" s="13">
        <f>IF('Données projet'!$A$36&gt;35,N35+M36-V35,IF(A36&lt;'Données projet'!$A$36,$K$205^A36,IF(A36='Données projet'!$A$36,'Données projet'!$B$36,N35+M36-V35)))</f>
        <v>261.2000000000001</v>
      </c>
      <c r="O36" s="13">
        <f>N36*VLOOKUP('Données projet'!$B$9,Paramètres!$A$1:$I$89,3,0)*VLOOKUP('Données projet'!$B$9,Paramètres!$A$1:$I$89,5,0)</f>
        <v>162.98880000000005</v>
      </c>
      <c r="P36" s="13">
        <f t="shared" si="33"/>
        <v>41.515919734048659</v>
      </c>
      <c r="Q36" s="20">
        <f t="shared" si="53"/>
        <v>356.17905353680152</v>
      </c>
      <c r="R36" s="59">
        <f t="shared" si="0"/>
        <v>649.51238687013483</v>
      </c>
      <c r="S36" s="59">
        <f ca="1">AVERAGE(OFFSET($R$3,0,0,'Données projet'!$E$9+1,1))-AVERAGE(OFFSET($H$3,0,0,'Données projet'!$E$9+1,1))</f>
        <v>269.77739619445515</v>
      </c>
      <c r="T36" s="59">
        <f t="shared" si="34"/>
        <v>347.56964743629885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84.420032084078457</v>
      </c>
      <c r="AB36" s="21">
        <f>EXP(-LN(2)/2)*AB35+(1-EXP(-LN(2)/2))/(LN(2)/2)*V36*Y36*VLOOKUP('Données projet'!$B$9,Paramètres!$A$1:$I$89,3,0)*0.475*44/12</f>
        <v>8.7816814545701727E-3</v>
      </c>
      <c r="AC36" s="22">
        <f t="shared" si="3"/>
        <v>84.428813765533022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26.2</v>
      </c>
      <c r="AI36" s="13">
        <f>IF('Données projet'!$A$62&gt;35,AI35+AH36-AQ35,IF(A36&lt;'Données projet'!$A$62,$AF$205^A36,IF(A36='Données projet'!$A$62,'Données projet'!$B$62,AI35+AH36-AQ35)))</f>
        <v>323.60000000000008</v>
      </c>
      <c r="AJ36" s="13">
        <f>AI36*VLOOKUP('Données projet'!$B$10,Paramètres!$A$1:$I$89,3,0)*VLOOKUP('Données projet'!$B$10,Paramètres!$A$1:$I$89,5,0)</f>
        <v>151.44480000000004</v>
      </c>
      <c r="AK36" s="13">
        <f t="shared" si="35"/>
        <v>38.906738202345764</v>
      </c>
      <c r="AL36" s="20">
        <f t="shared" si="4"/>
        <v>331.52892903575224</v>
      </c>
      <c r="AM36" s="59">
        <f t="shared" si="5"/>
        <v>624.86226236908556</v>
      </c>
      <c r="AN36" s="59">
        <f ca="1">AVERAGE(OFFSET($AM$3,0,0,'Données projet'!$E$10+1,1))-AVERAGE(OFFSET($H$3,0,0,'Données projet'!$E$10+1,1))</f>
        <v>342.49944586217674</v>
      </c>
      <c r="AO36" s="59">
        <f t="shared" si="36"/>
        <v>282.29766600872563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36.881616106842436</v>
      </c>
      <c r="AW36" s="21">
        <f>EXP(-LN(2)/2)*AW35+(1-EXP(-LN(2)/2))/(LN(2)/2)*AQ36*AT36*VLOOKUP('Données projet'!$B$10,Paramètres!$A$1:$I$89,3,0)*0.475*44/12</f>
        <v>2.9272271515233927E-2</v>
      </c>
      <c r="AX36" s="21">
        <f t="shared" si="6"/>
        <v>36.910888378357669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143.52623999999997</v>
      </c>
      <c r="BF36" s="13">
        <f t="shared" si="37"/>
        <v>37.103644337236275</v>
      </c>
      <c r="BG36" s="20">
        <f t="shared" si="7"/>
        <v>314.59704855401981</v>
      </c>
      <c r="BH36" s="59">
        <f t="shared" si="8"/>
        <v>607.93038188735318</v>
      </c>
      <c r="BI36" s="59">
        <f ca="1">AVERAGE(OFFSET($BH$3,0,0,'Données projet'!$E$11+1,1))-AVERAGE(OFFSET($H$3,0,0,'Données projet'!$E$11+1,1))</f>
        <v>279.49721661620544</v>
      </c>
      <c r="BJ36" s="59">
        <f t="shared" si="38"/>
        <v>275.18739333988754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25.6</v>
      </c>
      <c r="BY36" s="12">
        <f>IF('Données projet'!$A$114&gt;35,BY35+BX36-CG35,IF(A36&lt;'Données projet'!$A$114,$BV$205^A36,IF(A36='Données projet'!$A$114,'Données projet'!$B$114,BY35+BX36-CG35)))</f>
        <v>322.8</v>
      </c>
      <c r="BZ36" s="13">
        <f>BY36*VLOOKUP('Données projet'!$B$12,Paramètres!$A$1:$I$89,3,0)*VLOOKUP('Données projet'!$B$12,Paramètres!$A$1:$I$89,5,0)</f>
        <v>155.26680000000002</v>
      </c>
      <c r="CA36" s="13">
        <f t="shared" si="39"/>
        <v>39.773070312263521</v>
      </c>
      <c r="CB36" s="20">
        <f t="shared" si="10"/>
        <v>339.69444079385897</v>
      </c>
      <c r="CC36" s="59">
        <f t="shared" si="11"/>
        <v>633.02777412719229</v>
      </c>
      <c r="CD36" s="59">
        <f ca="1">AVERAGE(OFFSET($CC$3,0,0,'Données projet'!$E$12+1,1))-AVERAGE(OFFSET($H$3,0,0,'Données projet'!$E$12+1,1))</f>
        <v>349.65790906807746</v>
      </c>
      <c r="CE36" s="59">
        <f t="shared" si="40"/>
        <v>291.88925884278888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37.906105443143623</v>
      </c>
      <c r="CM36" s="21">
        <f>EXP(-LN(2)/2)*CM35+(1-EXP(-LN(2)/2))/(LN(2)/2)*CG36*CJ36*VLOOKUP('Données projet'!$B$12,Paramètres!$A$1:$I$89,3,0)*0.475*44/12</f>
        <v>1.8051234101060912E-2</v>
      </c>
      <c r="CN36" s="22">
        <f t="shared" si="12"/>
        <v>37.924156677244682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13</v>
      </c>
      <c r="CT36" s="12">
        <f>IF('Données projet'!$A$140&gt;35,CT35+CS36-DB35,IF(A36&lt;'Données projet'!$A$140,$CQ$205^A36,IF(A36='Données projet'!$A$140,'Données projet'!$B$140,CT35+CS36-DB35)))</f>
        <v>147</v>
      </c>
      <c r="CU36" s="17">
        <f>CT36*VLOOKUP('Données projet'!$B$13,Paramètres!$A$1:$I$89,3,0)*VLOOKUP('Données projet'!$B$13,Paramètres!$A$1:$I$89,5,0)</f>
        <v>114.66000000000001</v>
      </c>
      <c r="CV36" s="13">
        <f t="shared" si="41"/>
        <v>30.426251641117418</v>
      </c>
      <c r="CW36" s="20">
        <f t="shared" si="13"/>
        <v>252.69188827494614</v>
      </c>
      <c r="CX36" s="59">
        <f t="shared" si="14"/>
        <v>546.02522160827948</v>
      </c>
      <c r="CY36" s="59">
        <f ca="1">AVERAGE(OFFSET($CX$3,0,0,'Données projet'!$E$13+1,1))-AVERAGE(OFFSET($H$3,0,0,'Données projet'!$E$13+1,1))</f>
        <v>215.84581110302656</v>
      </c>
      <c r="CZ36" s="59">
        <f t="shared" si="42"/>
        <v>193.88588526156104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14.6</v>
      </c>
      <c r="N37" s="13">
        <f>IF('Données projet'!$A$36&gt;35,N36+M37-V36,IF(A37&lt;'Données projet'!$A$36,$K$205^A37,IF(A37='Données projet'!$A$36,'Données projet'!$B$36,N36+M37-V36)))</f>
        <v>275.80000000000013</v>
      </c>
      <c r="O37" s="13">
        <f>N37*VLOOKUP('Données projet'!$B$9,Paramètres!$A$1:$I$89,3,0)*VLOOKUP('Données projet'!$B$9,Paramètres!$A$1:$I$89,5,0)</f>
        <v>172.09920000000005</v>
      </c>
      <c r="P37" s="13">
        <f t="shared" si="33"/>
        <v>43.559838214506989</v>
      </c>
      <c r="Q37" s="20">
        <f t="shared" si="53"/>
        <v>375.60615822359978</v>
      </c>
      <c r="R37" s="59">
        <f t="shared" si="0"/>
        <v>668.93949155693304</v>
      </c>
      <c r="S37" s="59">
        <f ca="1">AVERAGE(OFFSET($R$3,0,0,'Données projet'!$E$9+1,1))-AVERAGE(OFFSET($H$3,0,0,'Données projet'!$E$9+1,1))</f>
        <v>269.77739619445515</v>
      </c>
      <c r="T37" s="59">
        <f t="shared" si="34"/>
        <v>347.56964743629885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82.111561867282788</v>
      </c>
      <c r="AB37" s="21">
        <f>EXP(-LN(2)/2)*AB36+(1-EXP(-LN(2)/2))/(LN(2)/2)*V37*Y37*VLOOKUP('Données projet'!$B$9,Paramètres!$A$1:$I$89,3,0)*0.475*44/12</f>
        <v>6.2095865067467136E-3</v>
      </c>
      <c r="AC37" s="22">
        <f t="shared" si="3"/>
        <v>82.11777145378953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26.2</v>
      </c>
      <c r="AI37" s="13">
        <f>IF('Données projet'!$A$62&gt;35,AI36+AH37-AQ36,IF(A37&lt;'Données projet'!$A$62,$AF$205^A37,IF(A37='Données projet'!$A$62,'Données projet'!$B$62,AI36+AH37-AQ36)))</f>
        <v>349.80000000000007</v>
      </c>
      <c r="AJ37" s="13">
        <f>AI37*VLOOKUP('Données projet'!$B$10,Paramètres!$A$1:$I$89,3,0)*VLOOKUP('Données projet'!$B$10,Paramètres!$A$1:$I$89,5,0)</f>
        <v>163.70640000000003</v>
      </c>
      <c r="AK37" s="13">
        <f t="shared" si="35"/>
        <v>41.677386788386109</v>
      </c>
      <c r="AL37" s="20">
        <f t="shared" si="4"/>
        <v>357.71009532310586</v>
      </c>
      <c r="AM37" s="59">
        <f t="shared" si="5"/>
        <v>651.04342865643912</v>
      </c>
      <c r="AN37" s="59">
        <f ca="1">AVERAGE(OFFSET($AM$3,0,0,'Données projet'!$E$10+1,1))-AVERAGE(OFFSET($H$3,0,0,'Données projet'!$E$10+1,1))</f>
        <v>342.49944586217674</v>
      </c>
      <c r="AO37" s="59">
        <f t="shared" si="36"/>
        <v>282.29766600872563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35.873086374880934</v>
      </c>
      <c r="AW37" s="21">
        <f>EXP(-LN(2)/2)*AW36+(1-EXP(-LN(2)/2))/(LN(2)/2)*AQ37*AT37*VLOOKUP('Données projet'!$B$10,Paramètres!$A$1:$I$89,3,0)*0.475*44/12</f>
        <v>2.0698621689155726E-2</v>
      </c>
      <c r="AX37" s="21">
        <f t="shared" si="6"/>
        <v>35.893784996570091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153.70991999999998</v>
      </c>
      <c r="BF37" s="13">
        <f t="shared" si="37"/>
        <v>39.420475690379831</v>
      </c>
      <c r="BG37" s="20">
        <f t="shared" si="7"/>
        <v>336.3687724940782</v>
      </c>
      <c r="BH37" s="59">
        <f t="shared" si="8"/>
        <v>629.70210582741151</v>
      </c>
      <c r="BI37" s="59">
        <f ca="1">AVERAGE(OFFSET($BH$3,0,0,'Données projet'!$E$11+1,1))-AVERAGE(OFFSET($H$3,0,0,'Données projet'!$E$11+1,1))</f>
        <v>279.49721661620544</v>
      </c>
      <c r="BJ37" s="59">
        <f t="shared" si="38"/>
        <v>275.18739333988754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25.6</v>
      </c>
      <c r="BY37" s="12">
        <f>IF('Données projet'!$A$114&gt;35,BY36+BX37-CG36,IF(A37&lt;'Données projet'!$A$114,$BV$205^A37,IF(A37='Données projet'!$A$114,'Données projet'!$B$114,BY36+BX37-CG36)))</f>
        <v>348.40000000000003</v>
      </c>
      <c r="BZ37" s="13">
        <f>BY37*VLOOKUP('Données projet'!$B$12,Paramètres!$A$1:$I$89,3,0)*VLOOKUP('Données projet'!$B$12,Paramètres!$A$1:$I$89,5,0)</f>
        <v>167.58040000000003</v>
      </c>
      <c r="CA37" s="13">
        <f t="shared" si="39"/>
        <v>42.547662384248028</v>
      </c>
      <c r="CB37" s="20">
        <f t="shared" si="10"/>
        <v>365.97304198589865</v>
      </c>
      <c r="CC37" s="59">
        <f t="shared" si="11"/>
        <v>659.30637531923196</v>
      </c>
      <c r="CD37" s="59">
        <f ca="1">AVERAGE(OFFSET($CC$3,0,0,'Données projet'!$E$12+1,1))-AVERAGE(OFFSET($H$3,0,0,'Données projet'!$E$12+1,1))</f>
        <v>349.65790906807746</v>
      </c>
      <c r="CE37" s="59">
        <f t="shared" si="40"/>
        <v>291.88925884278888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36.869560996405411</v>
      </c>
      <c r="CM37" s="21">
        <f>EXP(-LN(2)/2)*CM36+(1-EXP(-LN(2)/2))/(LN(2)/2)*CG37*CJ37*VLOOKUP('Données projet'!$B$12,Paramètres!$A$1:$I$89,3,0)*0.475*44/12</f>
        <v>1.2764150041646024E-2</v>
      </c>
      <c r="CN37" s="22">
        <f t="shared" si="12"/>
        <v>36.882325146447059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13</v>
      </c>
      <c r="CT37" s="12">
        <f>IF('Données projet'!$A$140&gt;35,CT36+CS37-DB36,IF(A37&lt;'Données projet'!$A$140,$CQ$205^A37,IF(A37='Données projet'!$A$140,'Données projet'!$B$140,CT36+CS37-DB36)))</f>
        <v>160</v>
      </c>
      <c r="CU37" s="17">
        <f>CT37*VLOOKUP('Données projet'!$B$13,Paramètres!$A$1:$I$89,3,0)*VLOOKUP('Données projet'!$B$13,Paramètres!$A$1:$I$89,5,0)</f>
        <v>124.80000000000001</v>
      </c>
      <c r="CV37" s="13">
        <f t="shared" si="41"/>
        <v>32.791952217579265</v>
      </c>
      <c r="CW37" s="20">
        <f t="shared" si="13"/>
        <v>274.47265011228387</v>
      </c>
      <c r="CX37" s="59">
        <f t="shared" si="14"/>
        <v>567.80598344561713</v>
      </c>
      <c r="CY37" s="59">
        <f ca="1">AVERAGE(OFFSET($CX$3,0,0,'Données projet'!$E$13+1,1))-AVERAGE(OFFSET($H$3,0,0,'Données projet'!$E$13+1,1))</f>
        <v>215.84581110302656</v>
      </c>
      <c r="CZ37" s="59">
        <f t="shared" si="42"/>
        <v>193.88588526156104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14.6</v>
      </c>
      <c r="N38" s="13">
        <f>IF('Données projet'!$A$36&gt;35,N37+M38-V37,IF(A38&lt;'Données projet'!$A$36,$K$205^A38,IF(A38='Données projet'!$A$36,'Données projet'!$B$36,N37+M38-V37)))</f>
        <v>290.40000000000015</v>
      </c>
      <c r="O38" s="13">
        <f>N38*VLOOKUP('Données projet'!$B$9,Paramètres!$A$1:$I$89,3,0)*VLOOKUP('Données projet'!$B$9,Paramètres!$A$1:$I$89,5,0)</f>
        <v>181.20960000000008</v>
      </c>
      <c r="P38" s="13">
        <f t="shared" si="33"/>
        <v>45.591194891830348</v>
      </c>
      <c r="Q38" s="20">
        <f t="shared" si="53"/>
        <v>395.01138443660466</v>
      </c>
      <c r="R38" s="59">
        <f t="shared" si="0"/>
        <v>688.34471776993792</v>
      </c>
      <c r="S38" s="59">
        <f ca="1">AVERAGE(OFFSET($R$3,0,0,'Données projet'!$E$9+1,1))-AVERAGE(OFFSET($H$3,0,0,'Données projet'!$E$9+1,1))</f>
        <v>269.77739619445515</v>
      </c>
      <c r="T38" s="59">
        <f t="shared" si="34"/>
        <v>347.56964743629885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79.866216889962573</v>
      </c>
      <c r="AB38" s="21">
        <f>EXP(-LN(2)/2)*AB37+(1-EXP(-LN(2)/2))/(LN(2)/2)*V38*Y38*VLOOKUP('Données projet'!$B$9,Paramètres!$A$1:$I$89,3,0)*0.475*44/12</f>
        <v>4.3908407272850863E-3</v>
      </c>
      <c r="AC38" s="22">
        <f t="shared" si="3"/>
        <v>79.870607730689855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376</v>
      </c>
      <c r="AG38" s="12">
        <f>VLOOKUP(A38,'Données projet'!$A$61:$I$81,9,0)</f>
        <v>26.2</v>
      </c>
      <c r="AH38" s="12">
        <f t="array" ref="AH38">INDEX(AG:AG,MIN(IF(ISNUMBER(AG38:AG234),ROW(AG38:AG234),"")))</f>
        <v>26.2</v>
      </c>
      <c r="AI38" s="13">
        <f>IF('Données projet'!$A$62&gt;35,AI37+AH38-AQ37,IF(A38&lt;'Données projet'!$A$62,$AF$205^A38,IF(A38='Données projet'!$A$62,'Données projet'!$B$62,AI37+AH38-AQ37)))</f>
        <v>376.00000000000006</v>
      </c>
      <c r="AJ38" s="13">
        <f>AI38*VLOOKUP('Données projet'!$B$10,Paramètres!$A$1:$I$89,3,0)*VLOOKUP('Données projet'!$B$10,Paramètres!$A$1:$I$89,5,0)</f>
        <v>175.96800000000002</v>
      </c>
      <c r="AK38" s="13">
        <f t="shared" si="35"/>
        <v>44.423961125650585</v>
      </c>
      <c r="AL38" s="20">
        <f t="shared" si="4"/>
        <v>383.84933229384143</v>
      </c>
      <c r="AM38" s="59">
        <f t="shared" si="5"/>
        <v>677.18266562717474</v>
      </c>
      <c r="AN38" s="59">
        <f ca="1">AVERAGE(OFFSET($AM$3,0,0,'Données projet'!$E$10+1,1))-AVERAGE(OFFSET($H$3,0,0,'Données projet'!$E$10+1,1))</f>
        <v>342.49944586217674</v>
      </c>
      <c r="AO38" s="59">
        <f t="shared" si="36"/>
        <v>282.29766600872563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63</v>
      </c>
      <c r="AR38" s="16">
        <f>IF(ISNA(VLOOKUP(A38,'Données projet'!$A$61:$I$81,5,0)),0%,VLOOKUP(A38,'Données projet'!$A$61:$I$81,5,0)*VLOOKUP('Données projet'!$B$10,Paramètres!$A$1:$I$89,7,0))</f>
        <v>0.55000000000000004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21.511834522298674</v>
      </c>
      <c r="AV38" s="21">
        <f>EXP(-LN(2)/25)*AV37+(1-EXP(-LN(2)/25))/(LN(2)/25)*Calculateur!AQ38*Calculateur!AS38*VLOOKUP('Données projet'!$B$10,Paramètres!$A$1:$I$89,3,0)*0.475*44/12</f>
        <v>34.892134941476193</v>
      </c>
      <c r="AW38" s="21">
        <f>EXP(-LN(2)/2)*AW37+(1-EXP(-LN(2)/2))/(LN(2)/2)*AQ38*AT38*VLOOKUP('Données projet'!$B$10,Paramètres!$A$1:$I$89,3,0)*0.475*44/12</f>
        <v>1.4636135757616965E-2</v>
      </c>
      <c r="AX38" s="21">
        <f t="shared" si="6"/>
        <v>56.418605599532491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163.89359999999999</v>
      </c>
      <c r="BF38" s="13">
        <f t="shared" si="37"/>
        <v>41.71949506642347</v>
      </c>
      <c r="BG38" s="20">
        <f t="shared" si="7"/>
        <v>358.10947390735419</v>
      </c>
      <c r="BH38" s="59">
        <f t="shared" si="8"/>
        <v>651.44280724068744</v>
      </c>
      <c r="BI38" s="59">
        <f ca="1">AVERAGE(OFFSET($BH$3,0,0,'Données projet'!$E$11+1,1))-AVERAGE(OFFSET($H$3,0,0,'Données projet'!$E$11+1,1))</f>
        <v>279.49721661620544</v>
      </c>
      <c r="BJ38" s="59">
        <f t="shared" si="38"/>
        <v>275.18739333988754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16.314951939891504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16.314951939891504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374</v>
      </c>
      <c r="BW38" s="12">
        <f>VLOOKUP(A38,'Données projet'!$A$113:$I$133,9,0)</f>
        <v>25.6</v>
      </c>
      <c r="BX38" s="12">
        <f t="array" ref="BX38">INDEX(BW:BW,MIN(IF(ISNUMBER(BW38:BW234),ROW(BW38:BW234),"")))</f>
        <v>25.6</v>
      </c>
      <c r="BY38" s="12">
        <f>IF('Données projet'!$A$114&gt;35,BY37+BX38-CG37,IF(A38&lt;'Données projet'!$A$114,$BV$205^A38,IF(A38='Données projet'!$A$114,'Données projet'!$B$114,BY37+BX38-CG37)))</f>
        <v>374.00000000000006</v>
      </c>
      <c r="BZ38" s="13">
        <f>BY38*VLOOKUP('Données projet'!$B$12,Paramètres!$A$1:$I$89,3,0)*VLOOKUP('Données projet'!$B$12,Paramètres!$A$1:$I$89,5,0)</f>
        <v>179.89400000000003</v>
      </c>
      <c r="CA38" s="13">
        <f t="shared" si="39"/>
        <v>45.29860231105134</v>
      </c>
      <c r="CB38" s="20">
        <f t="shared" si="10"/>
        <v>392.21044902508112</v>
      </c>
      <c r="CC38" s="59">
        <f t="shared" si="11"/>
        <v>685.54378235841443</v>
      </c>
      <c r="CD38" s="59">
        <f ca="1">AVERAGE(OFFSET($CC$3,0,0,'Données projet'!$E$12+1,1))-AVERAGE(OFFSET($H$3,0,0,'Données projet'!$E$12+1,1))</f>
        <v>349.65790906807746</v>
      </c>
      <c r="CE38" s="59">
        <f t="shared" si="40"/>
        <v>291.88925884278888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63</v>
      </c>
      <c r="CH38" s="16">
        <f>IF(ISNA(VLOOKUP(A38,'Données projet'!$A$113:$I$133,5,0)),0%,VLOOKUP(A38,'Données projet'!$A$113:$I$133,5,0)*VLOOKUP('Données projet'!$B$12,Paramètres!$A$1:$I$89,7,0))</f>
        <v>0.55000000000000004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22.109385481251412</v>
      </c>
      <c r="CL38" s="21">
        <f>EXP(-LN(2)/25)*CL37+(1-EXP(-LN(2)/25))/(LN(2)/25)*Calculateur!CG38*Calculateur!CI38*VLOOKUP('Données projet'!$B$12,Paramètres!$A$1:$I$89,3,0)*0.475*44/12</f>
        <v>35.861360912072762</v>
      </c>
      <c r="CM38" s="21">
        <f>EXP(-LN(2)/2)*CM37+(1-EXP(-LN(2)/2))/(LN(2)/2)*CG38*CJ38*VLOOKUP('Données projet'!$B$12,Paramètres!$A$1:$I$89,3,0)*0.475*44/12</f>
        <v>9.0256170505304562E-3</v>
      </c>
      <c r="CN38" s="22">
        <f t="shared" si="12"/>
        <v>57.97977201037471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173</v>
      </c>
      <c r="CR38" s="12">
        <f>VLOOKUP(A38,'Données projet'!$A$139:$I$159,9,0)</f>
        <v>13</v>
      </c>
      <c r="CS38" s="12">
        <f t="array" ref="CS38">INDEX(CR:CR,MIN(IF(ISNUMBER(CR38:CR234),ROW(CR38:CR234),"")))</f>
        <v>13</v>
      </c>
      <c r="CT38" s="12">
        <f>IF('Données projet'!$A$140&gt;35,CT37+CS38-DB37,IF(A38&lt;'Données projet'!$A$140,$CQ$205^A38,IF(A38='Données projet'!$A$140,'Données projet'!$B$140,CT37+CS38-DB37)))</f>
        <v>173</v>
      </c>
      <c r="CU38" s="17">
        <f>CT38*VLOOKUP('Données projet'!$B$13,Paramètres!$A$1:$I$89,3,0)*VLOOKUP('Données projet'!$B$13,Paramètres!$A$1:$I$89,5,0)</f>
        <v>134.94</v>
      </c>
      <c r="CV38" s="13">
        <f t="shared" si="41"/>
        <v>35.135358771568036</v>
      </c>
      <c r="CW38" s="20">
        <f t="shared" si="13"/>
        <v>296.21458319381429</v>
      </c>
      <c r="CX38" s="59">
        <f t="shared" si="14"/>
        <v>589.54791652714766</v>
      </c>
      <c r="CY38" s="59">
        <f ca="1">AVERAGE(OFFSET($CX$3,0,0,'Données projet'!$E$13+1,1))-AVERAGE(OFFSET($H$3,0,0,'Données projet'!$E$13+1,1))</f>
        <v>215.84581110302656</v>
      </c>
      <c r="CZ38" s="59">
        <f t="shared" si="42"/>
        <v>193.88588526156104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27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10.01091866297449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10.01091866297449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305</v>
      </c>
      <c r="L39" s="12">
        <f>VLOOKUP(A39,'Données projet'!$A$35:$I$55,9,0)</f>
        <v>14.6</v>
      </c>
      <c r="M39" s="12">
        <f t="array" ref="M39">INDEX(L:L,MIN(IF(ISNUMBER(L39:L235),ROW(L39:L235),"")))</f>
        <v>14.6</v>
      </c>
      <c r="N39" s="13">
        <f>IF('Données projet'!$A$36&gt;35,N38+M39-V38,IF(A39&lt;'Données projet'!$A$36,$K$205^A39,IF(A39='Données projet'!$A$36,'Données projet'!$B$36,N38+M39-V38)))</f>
        <v>305.00000000000017</v>
      </c>
      <c r="O39" s="13">
        <f>N39*VLOOKUP('Données projet'!$B$9,Paramètres!$A$1:$I$89,3,0)*VLOOKUP('Données projet'!$B$9,Paramètres!$A$1:$I$89,5,0)</f>
        <v>190.32000000000008</v>
      </c>
      <c r="P39" s="13">
        <f t="shared" si="33"/>
        <v>47.610693377401923</v>
      </c>
      <c r="Q39" s="20">
        <f t="shared" si="53"/>
        <v>414.39595763230847</v>
      </c>
      <c r="R39" s="59">
        <f t="shared" si="0"/>
        <v>707.72929096564178</v>
      </c>
      <c r="S39" s="59">
        <f ca="1">AVERAGE(OFFSET($R$3,0,0,'Données projet'!$E$9+1,1))-AVERAGE(OFFSET($H$3,0,0,'Données projet'!$E$9+1,1))</f>
        <v>269.77739619445515</v>
      </c>
      <c r="T39" s="59">
        <f t="shared" si="34"/>
        <v>347.56964743629885</v>
      </c>
      <c r="U39" s="15">
        <f>IF(ISNA(VLOOKUP(A39,'Données projet'!$A$35:$I$55,3,0)),0,VLOOKUP(A39,'Données projet'!$A$35:$I$55,3,0))</f>
        <v>5</v>
      </c>
      <c r="V39" s="15">
        <f>IF(ISNA(VLOOKUP(A39,'Données projet'!$A$35:$I$55,4,0)),0,VLOOKUP(A39,'Données projet'!$A$35:$I$55,4,0))</f>
        <v>58.4</v>
      </c>
      <c r="W39" s="16">
        <f>IF(ISNA(VLOOKUP(A39,'Données projet'!$A$35:$I$55,5,0)),0%,VLOOKUP(A39,'Données projet'!$A$35:$I$55,5,0)*VLOOKUP('Données projet'!$B$9,Paramètres!$A$1:$I$89,7,0))</f>
        <v>0.6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29.005278755607325</v>
      </c>
      <c r="AA39" s="21">
        <f>EXP(-LN(2)/25)*AA38+(1-EXP(-LN(2)/25))/(LN(2)/25)*Calculateur!V39*Calculateur!X39*VLOOKUP('Données projet'!$B$9,Paramètres!$A$1:$I$89,3,0)*0.475*44/12</f>
        <v>77.682270989124731</v>
      </c>
      <c r="AB39" s="21">
        <f>EXP(-LN(2)/2)*AB38+(1-EXP(-LN(2)/2))/(LN(2)/2)*V39*Y39*VLOOKUP('Données projet'!$B$9,Paramètres!$A$1:$I$89,3,0)*0.475*44/12</f>
        <v>3.1047932533733568E-3</v>
      </c>
      <c r="AC39" s="22">
        <f t="shared" si="3"/>
        <v>106.69065453798542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25.4</v>
      </c>
      <c r="AI39" s="13">
        <f>IF('Données projet'!$A$62&gt;35,AI38+AH39-AQ38,IF(A39&lt;'Données projet'!$A$62,$AF$205^A39,IF(A39='Données projet'!$A$62,'Données projet'!$B$62,AI38+AH39-AQ38)))</f>
        <v>338.40000000000003</v>
      </c>
      <c r="AJ39" s="13">
        <f>AI39*VLOOKUP('Données projet'!$B$10,Paramètres!$A$1:$I$89,3,0)*VLOOKUP('Données projet'!$B$10,Paramètres!$A$1:$I$89,5,0)</f>
        <v>158.37120000000002</v>
      </c>
      <c r="AK39" s="13">
        <f t="shared" si="35"/>
        <v>40.474916527059669</v>
      </c>
      <c r="AL39" s="20">
        <f t="shared" si="4"/>
        <v>346.32365295129557</v>
      </c>
      <c r="AM39" s="59">
        <f t="shared" si="5"/>
        <v>639.65698628462883</v>
      </c>
      <c r="AN39" s="59">
        <f ca="1">AVERAGE(OFFSET($AM$3,0,0,'Données projet'!$E$10+1,1))-AVERAGE(OFFSET($H$3,0,0,'Données projet'!$E$10+1,1))</f>
        <v>342.49944586217674</v>
      </c>
      <c r="AO39" s="59">
        <f t="shared" si="36"/>
        <v>282.29766600872563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21.090000568239873</v>
      </c>
      <c r="AV39" s="21">
        <f>EXP(-LN(2)/25)*AV38+(1-EXP(-LN(2)/25))/(LN(2)/25)*Calculateur!AQ39*Calculateur!AS39*VLOOKUP('Données projet'!$B$10,Paramètres!$A$1:$I$89,3,0)*0.475*44/12</f>
        <v>33.938007676603895</v>
      </c>
      <c r="AW39" s="21">
        <f>EXP(-LN(2)/2)*AW38+(1-EXP(-LN(2)/2))/(LN(2)/2)*AQ39*AT39*VLOOKUP('Données projet'!$B$10,Paramètres!$A$1:$I$89,3,0)*0.475*44/12</f>
        <v>1.0349310844577865E-2</v>
      </c>
      <c r="AX39" s="21">
        <f t="shared" si="6"/>
        <v>55.038357555688343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145.11743999999999</v>
      </c>
      <c r="BF39" s="13">
        <f t="shared" si="37"/>
        <v>37.466878406916173</v>
      </c>
      <c r="BG39" s="20">
        <f t="shared" si="7"/>
        <v>318.00102122537896</v>
      </c>
      <c r="BH39" s="59">
        <f t="shared" si="8"/>
        <v>611.33435455871222</v>
      </c>
      <c r="BI39" s="59">
        <f ca="1">AVERAGE(OFFSET($BH$3,0,0,'Données projet'!$E$11+1,1))-AVERAGE(OFFSET($H$3,0,0,'Données projet'!$E$11+1,1))</f>
        <v>279.49721661620544</v>
      </c>
      <c r="BJ39" s="59">
        <f t="shared" si="38"/>
        <v>275.18739333988754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15.995025683488322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15.995025683488322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25</v>
      </c>
      <c r="BY39" s="12">
        <f>IF('Données projet'!$A$114&gt;35,BY38+BX39-CG38,IF(A39&lt;'Données projet'!$A$114,$BV$205^A39,IF(A39='Données projet'!$A$114,'Données projet'!$B$114,BY38+BX39-CG38)))</f>
        <v>336.00000000000006</v>
      </c>
      <c r="BZ39" s="13">
        <f>BY39*VLOOKUP('Données projet'!$B$12,Paramètres!$A$1:$I$89,3,0)*VLOOKUP('Données projet'!$B$12,Paramètres!$A$1:$I$89,5,0)</f>
        <v>161.61600000000004</v>
      </c>
      <c r="CA39" s="13">
        <f t="shared" si="39"/>
        <v>41.20679526204917</v>
      </c>
      <c r="CB39" s="20">
        <f t="shared" si="10"/>
        <v>353.24970174806907</v>
      </c>
      <c r="CC39" s="59">
        <f t="shared" si="11"/>
        <v>646.58303508140239</v>
      </c>
      <c r="CD39" s="59">
        <f ca="1">AVERAGE(OFFSET($CC$3,0,0,'Données projet'!$E$12+1,1))-AVERAGE(OFFSET($H$3,0,0,'Données projet'!$E$12+1,1))</f>
        <v>349.65790906807746</v>
      </c>
      <c r="CE39" s="59">
        <f t="shared" si="40"/>
        <v>291.88925884278888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21.675833917357643</v>
      </c>
      <c r="CL39" s="21">
        <f>EXP(-LN(2)/25)*CL38+(1-EXP(-LN(2)/25))/(LN(2)/25)*Calculateur!CG39*Calculateur!CI39*VLOOKUP('Données projet'!$B$12,Paramètres!$A$1:$I$89,3,0)*0.475*44/12</f>
        <v>34.880730112065123</v>
      </c>
      <c r="CM39" s="21">
        <f>EXP(-LN(2)/2)*CM38+(1-EXP(-LN(2)/2))/(LN(2)/2)*CG39*CJ39*VLOOKUP('Données projet'!$B$12,Paramètres!$A$1:$I$89,3,0)*0.475*44/12</f>
        <v>6.3820750208230118E-3</v>
      </c>
      <c r="CN39" s="22">
        <f t="shared" si="12"/>
        <v>56.56294610444359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12.4</v>
      </c>
      <c r="CT39" s="12">
        <f>IF('Données projet'!$A$140&gt;35,CT38+CS39-DB38,IF(A39&lt;'Données projet'!$A$140,$CQ$205^A39,IF(A39='Données projet'!$A$140,'Données projet'!$B$140,CT38+CS39-DB38)))</f>
        <v>158.4</v>
      </c>
      <c r="CU39" s="17">
        <f>CT39*VLOOKUP('Données projet'!$B$13,Paramètres!$A$1:$I$89,3,0)*VLOOKUP('Données projet'!$B$13,Paramètres!$A$1:$I$89,5,0)</f>
        <v>123.55200000000001</v>
      </c>
      <c r="CV39" s="13">
        <f t="shared" si="41"/>
        <v>32.502033262579566</v>
      </c>
      <c r="CW39" s="20">
        <f t="shared" si="13"/>
        <v>271.79410793232609</v>
      </c>
      <c r="CX39" s="59">
        <f t="shared" si="14"/>
        <v>565.1274412656594</v>
      </c>
      <c r="CY39" s="59">
        <f ca="1">AVERAGE(OFFSET($CX$3,0,0,'Données projet'!$E$13+1,1))-AVERAGE(OFFSET($H$3,0,0,'Données projet'!$E$13+1,1))</f>
        <v>215.84581110302656</v>
      </c>
      <c r="CZ39" s="59">
        <f t="shared" si="42"/>
        <v>193.88588526156104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9.8146106540510214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9.8146106540510214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13.9</v>
      </c>
      <c r="N40" s="13">
        <f>IF('Données projet'!$A$36&gt;35,N39+M40-V39,IF(A40&lt;'Données projet'!$A$36,$K$205^A40,IF(A40='Données projet'!$A$36,'Données projet'!$B$36,N39+M40-V39)))</f>
        <v>260.50000000000017</v>
      </c>
      <c r="O40" s="13">
        <f>N40*VLOOKUP('Données projet'!$B$9,Paramètres!$A$1:$I$89,3,0)*VLOOKUP('Données projet'!$B$9,Paramètres!$A$1:$I$89,5,0)</f>
        <v>162.55200000000011</v>
      </c>
      <c r="P40" s="13">
        <f t="shared" si="33"/>
        <v>41.417594941550192</v>
      </c>
      <c r="Q40" s="20">
        <f t="shared" si="53"/>
        <v>355.24704452320003</v>
      </c>
      <c r="R40" s="59">
        <f t="shared" si="0"/>
        <v>648.58037785653335</v>
      </c>
      <c r="S40" s="59">
        <f ca="1">AVERAGE(OFFSET($R$3,0,0,'Données projet'!$E$9+1,1))-AVERAGE(OFFSET($H$3,0,0,'Données projet'!$E$9+1,1))</f>
        <v>269.77739619445515</v>
      </c>
      <c r="T40" s="59">
        <f t="shared" si="34"/>
        <v>347.56964743629885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28.436502930683019</v>
      </c>
      <c r="AA40" s="21">
        <f>EXP(-LN(2)/25)*AA39+(1-EXP(-LN(2)/25))/(LN(2)/25)*Calculateur!V40*Calculateur!X40*VLOOKUP('Données projet'!$B$9,Paramètres!$A$1:$I$89,3,0)*0.475*44/12</f>
        <v>75.558045203794023</v>
      </c>
      <c r="AB40" s="21">
        <f>EXP(-LN(2)/2)*AB39+(1-EXP(-LN(2)/2))/(LN(2)/2)*V40*Y40*VLOOKUP('Données projet'!$B$9,Paramètres!$A$1:$I$89,3,0)*0.475*44/12</f>
        <v>2.1954203636425432E-3</v>
      </c>
      <c r="AC40" s="22">
        <f t="shared" si="3"/>
        <v>103.99674355484069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25.4</v>
      </c>
      <c r="AI40" s="13">
        <f>IF('Données projet'!$A$62&gt;35,AI39+AH40-AQ39,IF(A40&lt;'Données projet'!$A$62,$AF$205^A40,IF(A40='Données projet'!$A$62,'Données projet'!$B$62,AI39+AH40-AQ39)))</f>
        <v>363.8</v>
      </c>
      <c r="AJ40" s="13">
        <f>AI40*VLOOKUP('Données projet'!$B$10,Paramètres!$A$1:$I$89,3,0)*VLOOKUP('Données projet'!$B$10,Paramètres!$A$1:$I$89,5,0)</f>
        <v>170.25839999999999</v>
      </c>
      <c r="AK40" s="13">
        <f t="shared" si="35"/>
        <v>43.147891472685053</v>
      </c>
      <c r="AL40" s="20">
        <f t="shared" si="4"/>
        <v>371.68262431492644</v>
      </c>
      <c r="AM40" s="59">
        <f t="shared" si="5"/>
        <v>665.0159576482597</v>
      </c>
      <c r="AN40" s="59">
        <f ca="1">AVERAGE(OFFSET($AM$3,0,0,'Données projet'!$E$10+1,1))-AVERAGE(OFFSET($H$3,0,0,'Données projet'!$E$10+1,1))</f>
        <v>342.49944586217674</v>
      </c>
      <c r="AO40" s="59">
        <f t="shared" si="36"/>
        <v>282.29766600872563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20.676438520726858</v>
      </c>
      <c r="AV40" s="21">
        <f>EXP(-LN(2)/25)*AV39+(1-EXP(-LN(2)/25))/(LN(2)/25)*Calculateur!AQ40*Calculateur!AS40*VLOOKUP('Données projet'!$B$10,Paramètres!$A$1:$I$89,3,0)*0.475*44/12</f>
        <v>33.009971071964905</v>
      </c>
      <c r="AW40" s="21">
        <f>EXP(-LN(2)/2)*AW39+(1-EXP(-LN(2)/2))/(LN(2)/2)*AQ40*AT40*VLOOKUP('Données projet'!$B$10,Paramètres!$A$1:$I$89,3,0)*0.475*44/12</f>
        <v>7.3180678788084836E-3</v>
      </c>
      <c r="AX40" s="21">
        <f t="shared" si="6"/>
        <v>53.693727660570566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154.18727999999999</v>
      </c>
      <c r="BF40" s="13">
        <f t="shared" si="37"/>
        <v>39.528629863903078</v>
      </c>
      <c r="BG40" s="20">
        <f t="shared" si="7"/>
        <v>337.38854301296448</v>
      </c>
      <c r="BH40" s="59">
        <f t="shared" si="8"/>
        <v>630.72187634629779</v>
      </c>
      <c r="BI40" s="59">
        <f ca="1">AVERAGE(OFFSET($BH$3,0,0,'Données projet'!$E$11+1,1))-AVERAGE(OFFSET($H$3,0,0,'Données projet'!$E$11+1,1))</f>
        <v>279.49721661620544</v>
      </c>
      <c r="BJ40" s="59">
        <f t="shared" si="38"/>
        <v>275.18739333988754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15.681372985837458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15.681372985837458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25</v>
      </c>
      <c r="BY40" s="12">
        <f>IF('Données projet'!$A$114&gt;35,BY39+BX40-CG39,IF(A40&lt;'Données projet'!$A$114,$BV$205^A40,IF(A40='Données projet'!$A$114,'Données projet'!$B$114,BY39+BX40-CG39)))</f>
        <v>361.00000000000006</v>
      </c>
      <c r="BZ40" s="13">
        <f>BY40*VLOOKUP('Données projet'!$B$12,Paramètres!$A$1:$I$89,3,0)*VLOOKUP('Données projet'!$B$12,Paramètres!$A$1:$I$89,5,0)</f>
        <v>173.64100000000005</v>
      </c>
      <c r="CA40" s="13">
        <f t="shared" si="39"/>
        <v>43.90447799582666</v>
      </c>
      <c r="CB40" s="20">
        <f t="shared" si="10"/>
        <v>378.8917075093982</v>
      </c>
      <c r="CC40" s="59">
        <f t="shared" si="11"/>
        <v>672.22504084273146</v>
      </c>
      <c r="CD40" s="59">
        <f ca="1">AVERAGE(OFFSET($CC$3,0,0,'Données projet'!$E$12+1,1))-AVERAGE(OFFSET($H$3,0,0,'Données projet'!$E$12+1,1))</f>
        <v>349.65790906807746</v>
      </c>
      <c r="CE40" s="59">
        <f t="shared" si="40"/>
        <v>291.88925884278888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21.25078403519149</v>
      </c>
      <c r="CL40" s="21">
        <f>EXP(-LN(2)/25)*CL39+(1-EXP(-LN(2)/25))/(LN(2)/25)*Calculateur!CG40*Calculateur!CI40*VLOOKUP('Données projet'!$B$12,Paramètres!$A$1:$I$89,3,0)*0.475*44/12</f>
        <v>33.926914712852827</v>
      </c>
      <c r="CM40" s="21">
        <f>EXP(-LN(2)/2)*CM39+(1-EXP(-LN(2)/2))/(LN(2)/2)*CG40*CJ40*VLOOKUP('Données projet'!$B$12,Paramètres!$A$1:$I$89,3,0)*0.475*44/12</f>
        <v>4.5128085252652281E-3</v>
      </c>
      <c r="CN40" s="22">
        <f t="shared" si="12"/>
        <v>55.182211556569584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12.4</v>
      </c>
      <c r="CT40" s="12">
        <f>IF('Données projet'!$A$140&gt;35,CT39+CS40-DB39,IF(A40&lt;'Données projet'!$A$140,$CQ$205^A40,IF(A40='Données projet'!$A$140,'Données projet'!$B$140,CT39+CS40-DB39)))</f>
        <v>170.8</v>
      </c>
      <c r="CU40" s="17">
        <f>CT40*VLOOKUP('Données projet'!$B$13,Paramètres!$A$1:$I$89,3,0)*VLOOKUP('Données projet'!$B$13,Paramètres!$A$1:$I$89,5,0)</f>
        <v>133.22400000000002</v>
      </c>
      <c r="CV40" s="13">
        <f t="shared" si="41"/>
        <v>34.740265606230608</v>
      </c>
      <c r="CW40" s="20">
        <f t="shared" si="13"/>
        <v>292.53776259751834</v>
      </c>
      <c r="CX40" s="59">
        <f t="shared" si="14"/>
        <v>585.87109593085165</v>
      </c>
      <c r="CY40" s="59">
        <f ca="1">AVERAGE(OFFSET($CX$3,0,0,'Données projet'!$E$13+1,1))-AVERAGE(OFFSET($H$3,0,0,'Données projet'!$E$13+1,1))</f>
        <v>215.84581110302656</v>
      </c>
      <c r="CZ40" s="59">
        <f t="shared" si="42"/>
        <v>193.88588526156104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9.6221521254464797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9.6221521254464797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</v>
      </c>
      <c r="N41" s="13">
        <f>IF('Données projet'!$A$36&gt;35,N40+M41-V40,IF(A41&lt;'Données projet'!$A$36,$K$205^A41,IF(A41='Données projet'!$A$36,'Données projet'!$B$36,N40+M41-V40)))</f>
        <v>274.40000000000015</v>
      </c>
      <c r="O41" s="13">
        <f>N41*VLOOKUP('Données projet'!$B$9,Paramètres!$A$1:$I$89,3,0)*VLOOKUP('Données projet'!$B$9,Paramètres!$A$1:$I$89,5,0)</f>
        <v>171.2256000000001</v>
      </c>
      <c r="P41" s="13">
        <f t="shared" si="33"/>
        <v>43.364402348589557</v>
      </c>
      <c r="Q41" s="20">
        <f t="shared" si="53"/>
        <v>373.74425409046029</v>
      </c>
      <c r="R41" s="59">
        <f t="shared" si="0"/>
        <v>667.0775874237936</v>
      </c>
      <c r="S41" s="59">
        <f ca="1">AVERAGE(OFFSET($R$3,0,0,'Données projet'!$E$9+1,1))-AVERAGE(OFFSET($H$3,0,0,'Données projet'!$E$9+1,1))</f>
        <v>269.77739619445515</v>
      </c>
      <c r="T41" s="59">
        <f t="shared" si="34"/>
        <v>347.56964743629885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27.878880452766481</v>
      </c>
      <c r="AA41" s="21">
        <f>EXP(-LN(2)/25)*AA40+(1-EXP(-LN(2)/25))/(LN(2)/25)*Calculateur!V41*Calculateur!X41*VLOOKUP('Données projet'!$B$9,Paramètres!$A$1:$I$89,3,0)*0.475*44/12</f>
        <v>73.491906484271368</v>
      </c>
      <c r="AB41" s="21">
        <f>EXP(-LN(2)/2)*AB40+(1-EXP(-LN(2)/2))/(LN(2)/2)*V41*Y41*VLOOKUP('Données projet'!$B$9,Paramètres!$A$1:$I$89,3,0)*0.475*44/12</f>
        <v>1.5523966266866784E-3</v>
      </c>
      <c r="AC41" s="22">
        <f t="shared" si="3"/>
        <v>101.37233933366454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25.4</v>
      </c>
      <c r="AI41" s="13">
        <f>IF('Données projet'!$A$62&gt;35,AI40+AH41-AQ40,IF(A41&lt;'Données projet'!$A$62,$AF$205^A41,IF(A41='Données projet'!$A$62,'Données projet'!$B$62,AI40+AH41-AQ40)))</f>
        <v>389.2</v>
      </c>
      <c r="AJ41" s="13">
        <f>AI41*VLOOKUP('Données projet'!$B$10,Paramètres!$A$1:$I$89,3,0)*VLOOKUP('Données projet'!$B$10,Paramètres!$A$1:$I$89,5,0)</f>
        <v>182.1456</v>
      </c>
      <c r="AK41" s="13">
        <f t="shared" si="35"/>
        <v>45.799212932829867</v>
      </c>
      <c r="AL41" s="20">
        <f t="shared" si="4"/>
        <v>397.00388252467866</v>
      </c>
      <c r="AM41" s="59">
        <f t="shared" si="5"/>
        <v>690.33721585801197</v>
      </c>
      <c r="AN41" s="59">
        <f ca="1">AVERAGE(OFFSET($AM$3,0,0,'Données projet'!$E$10+1,1))-AVERAGE(OFFSET($H$3,0,0,'Données projet'!$E$10+1,1))</f>
        <v>342.49944586217674</v>
      </c>
      <c r="AO41" s="59">
        <f t="shared" si="36"/>
        <v>282.29766600872563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20.270986172717631</v>
      </c>
      <c r="AV41" s="21">
        <f>EXP(-LN(2)/25)*AV40+(1-EXP(-LN(2)/25))/(LN(2)/25)*Calculateur!AQ41*Calculateur!AS41*VLOOKUP('Données projet'!$B$10,Paramètres!$A$1:$I$89,3,0)*0.475*44/12</f>
        <v>32.107311677083089</v>
      </c>
      <c r="AW41" s="21">
        <f>EXP(-LN(2)/2)*AW40+(1-EXP(-LN(2)/2))/(LN(2)/2)*AQ41*AT41*VLOOKUP('Données projet'!$B$10,Paramètres!$A$1:$I$89,3,0)*0.475*44/12</f>
        <v>5.1746554222889323E-3</v>
      </c>
      <c r="AX41" s="21">
        <f t="shared" si="6"/>
        <v>52.383472505223004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163.25712000000001</v>
      </c>
      <c r="BF41" s="13">
        <f t="shared" si="37"/>
        <v>41.576304038313076</v>
      </c>
      <c r="BG41" s="20">
        <f t="shared" si="7"/>
        <v>356.75154686672863</v>
      </c>
      <c r="BH41" s="59">
        <f t="shared" si="8"/>
        <v>650.08488020006189</v>
      </c>
      <c r="BI41" s="59">
        <f ca="1">AVERAGE(OFFSET($BH$3,0,0,'Données projet'!$E$11+1,1))-AVERAGE(OFFSET($H$3,0,0,'Données projet'!$E$11+1,1))</f>
        <v>279.49721661620544</v>
      </c>
      <c r="BJ41" s="59">
        <f t="shared" si="38"/>
        <v>275.18739333988754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15.373870826278271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15.373870826278271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25</v>
      </c>
      <c r="BY41" s="12">
        <f>IF('Données projet'!$A$114&gt;35,BY40+BX41-CG40,IF(A41&lt;'Données projet'!$A$114,$BV$205^A41,IF(A41='Données projet'!$A$114,'Données projet'!$B$114,BY40+BX41-CG40)))</f>
        <v>386.00000000000006</v>
      </c>
      <c r="BZ41" s="13">
        <f>BY41*VLOOKUP('Données projet'!$B$12,Paramètres!$A$1:$I$89,3,0)*VLOOKUP('Données projet'!$B$12,Paramètres!$A$1:$I$89,5,0)</f>
        <v>185.66600000000003</v>
      </c>
      <c r="CA41" s="13">
        <f t="shared" si="39"/>
        <v>46.580483994788317</v>
      </c>
      <c r="CB41" s="20">
        <f t="shared" si="10"/>
        <v>404.49595962425639</v>
      </c>
      <c r="CC41" s="59">
        <f t="shared" si="11"/>
        <v>697.8292929575897</v>
      </c>
      <c r="CD41" s="59">
        <f ca="1">AVERAGE(OFFSET($CC$3,0,0,'Données projet'!$E$12+1,1))-AVERAGE(OFFSET($H$3,0,0,'Données projet'!$E$12+1,1))</f>
        <v>349.65790906807746</v>
      </c>
      <c r="CE41" s="59">
        <f t="shared" si="40"/>
        <v>291.88925884278888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20.834069121959786</v>
      </c>
      <c r="CL41" s="21">
        <f>EXP(-LN(2)/25)*CL40+(1-EXP(-LN(2)/25))/(LN(2)/25)*Calculateur!CG41*Calculateur!CI41*VLOOKUP('Données projet'!$B$12,Paramètres!$A$1:$I$89,3,0)*0.475*44/12</f>
        <v>32.999181445890962</v>
      </c>
      <c r="CM41" s="21">
        <f>EXP(-LN(2)/2)*CM40+(1-EXP(-LN(2)/2))/(LN(2)/2)*CG41*CJ41*VLOOKUP('Données projet'!$B$12,Paramètres!$A$1:$I$89,3,0)*0.475*44/12</f>
        <v>3.1910375104115059E-3</v>
      </c>
      <c r="CN41" s="22">
        <f t="shared" si="12"/>
        <v>53.836441605361159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12.4</v>
      </c>
      <c r="CT41" s="12">
        <f>IF('Données projet'!$A$140&gt;35,CT40+CS41-DB40,IF(A41&lt;'Données projet'!$A$140,$CQ$205^A41,IF(A41='Données projet'!$A$140,'Données projet'!$B$140,CT40+CS41-DB40)))</f>
        <v>183.20000000000002</v>
      </c>
      <c r="CU41" s="17">
        <f>CT41*VLOOKUP('Données projet'!$B$13,Paramètres!$A$1:$I$89,3,0)*VLOOKUP('Données projet'!$B$13,Paramètres!$A$1:$I$89,5,0)</f>
        <v>142.89600000000002</v>
      </c>
      <c r="CV41" s="13">
        <f t="shared" si="41"/>
        <v>36.959645797372403</v>
      </c>
      <c r="CW41" s="20">
        <f t="shared" si="13"/>
        <v>313.24858309709026</v>
      </c>
      <c r="CX41" s="59">
        <f t="shared" si="14"/>
        <v>606.58191643042358</v>
      </c>
      <c r="CY41" s="59">
        <f ca="1">AVERAGE(OFFSET($CX$3,0,0,'Données projet'!$E$13+1,1))-AVERAGE(OFFSET($H$3,0,0,'Données projet'!$E$13+1,1))</f>
        <v>215.84581110302656</v>
      </c>
      <c r="CZ41" s="59">
        <f t="shared" si="42"/>
        <v>193.88588526156104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9.4334675911997614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9.4334675911997614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</v>
      </c>
      <c r="N42" s="13">
        <f>IF('Données projet'!$A$36&gt;35,N41+M42-V41,IF(A42&lt;'Données projet'!$A$36,$K$205^A42,IF(A42='Données projet'!$A$36,'Données projet'!$B$36,N41+M42-V41)))</f>
        <v>288.30000000000013</v>
      </c>
      <c r="O42" s="13">
        <f>N42*VLOOKUP('Données projet'!$B$9,Paramètres!$A$1:$I$89,3,0)*VLOOKUP('Données projet'!$B$9,Paramètres!$A$1:$I$89,5,0)</f>
        <v>179.89920000000006</v>
      </c>
      <c r="P42" s="13">
        <f t="shared" si="33"/>
        <v>45.299759292628629</v>
      </c>
      <c r="Q42" s="20">
        <f t="shared" si="53"/>
        <v>392.22152076799495</v>
      </c>
      <c r="R42" s="59">
        <f t="shared" si="0"/>
        <v>685.55485410132826</v>
      </c>
      <c r="S42" s="59">
        <f ca="1">AVERAGE(OFFSET($R$3,0,0,'Données projet'!$E$9+1,1))-AVERAGE(OFFSET($H$3,0,0,'Données projet'!$E$9+1,1))</f>
        <v>269.77739619445515</v>
      </c>
      <c r="T42" s="59">
        <f t="shared" si="34"/>
        <v>347.56964743629885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27.332192611525759</v>
      </c>
      <c r="AA42" s="21">
        <f>EXP(-LN(2)/25)*AA41+(1-EXP(-LN(2)/25))/(LN(2)/25)*Calculateur!V42*Calculateur!X42*VLOOKUP('Données projet'!$B$9,Paramètres!$A$1:$I$89,3,0)*0.475*44/12</f>
        <v>71.482266436687567</v>
      </c>
      <c r="AB42" s="21">
        <f>EXP(-LN(2)/2)*AB41+(1-EXP(-LN(2)/2))/(LN(2)/2)*V42*Y42*VLOOKUP('Données projet'!$B$9,Paramètres!$A$1:$I$89,3,0)*0.475*44/12</f>
        <v>1.0977101818212716E-3</v>
      </c>
      <c r="AC42" s="22">
        <f t="shared" si="3"/>
        <v>98.815556758395147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25.4</v>
      </c>
      <c r="AI42" s="13">
        <f>IF('Données projet'!$A$62&gt;35,AI41+AH42-AQ41,IF(A42&lt;'Données projet'!$A$62,$AF$205^A42,IF(A42='Données projet'!$A$62,'Données projet'!$B$62,AI41+AH42-AQ41)))</f>
        <v>414.59999999999997</v>
      </c>
      <c r="AJ42" s="13">
        <f>AI42*VLOOKUP('Données projet'!$B$10,Paramètres!$A$1:$I$89,3,0)*VLOOKUP('Données projet'!$B$10,Paramètres!$A$1:$I$89,5,0)</f>
        <v>194.03279999999998</v>
      </c>
      <c r="AK42" s="13">
        <f t="shared" si="35"/>
        <v>48.430454879485566</v>
      </c>
      <c r="AL42" s="20">
        <f t="shared" si="4"/>
        <v>422.29016891510395</v>
      </c>
      <c r="AM42" s="59">
        <f t="shared" si="5"/>
        <v>715.62350224843726</v>
      </c>
      <c r="AN42" s="59">
        <f ca="1">AVERAGE(OFFSET($AM$3,0,0,'Données projet'!$E$10+1,1))-AVERAGE(OFFSET($H$3,0,0,'Données projet'!$E$10+1,1))</f>
        <v>342.49944586217674</v>
      </c>
      <c r="AO42" s="59">
        <f t="shared" si="36"/>
        <v>282.29766600872563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19.873484497951353</v>
      </c>
      <c r="AV42" s="21">
        <f>EXP(-LN(2)/25)*AV41+(1-EXP(-LN(2)/25))/(LN(2)/25)*Calculateur!AQ42*Calculateur!AS42*VLOOKUP('Données projet'!$B$10,Paramètres!$A$1:$I$89,3,0)*0.475*44/12</f>
        <v>31.229335550823112</v>
      </c>
      <c r="AW42" s="21">
        <f>EXP(-LN(2)/2)*AW41+(1-EXP(-LN(2)/2))/(LN(2)/2)*AQ42*AT42*VLOOKUP('Données projet'!$B$10,Paramètres!$A$1:$I$89,3,0)*0.475*44/12</f>
        <v>3.6590339394042418E-3</v>
      </c>
      <c r="AX42" s="21">
        <f t="shared" si="6"/>
        <v>51.106479082713868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172.32695999999999</v>
      </c>
      <c r="BF42" s="13">
        <f t="shared" si="37"/>
        <v>43.61077213808133</v>
      </c>
      <c r="BG42" s="20">
        <f t="shared" si="7"/>
        <v>376.09155014049156</v>
      </c>
      <c r="BH42" s="59">
        <f t="shared" si="8"/>
        <v>669.42488347382482</v>
      </c>
      <c r="BI42" s="59">
        <f ca="1">AVERAGE(OFFSET($BH$3,0,0,'Données projet'!$E$11+1,1))-AVERAGE(OFFSET($H$3,0,0,'Données projet'!$E$11+1,1))</f>
        <v>279.49721661620544</v>
      </c>
      <c r="BJ42" s="59">
        <f t="shared" si="38"/>
        <v>275.18739333988754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15.072398596510244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15.072398596510244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25</v>
      </c>
      <c r="BY42" s="12">
        <f>IF('Données projet'!$A$114&gt;35,BY41+BX42-CG41,IF(A42&lt;'Données projet'!$A$114,$BV$205^A42,IF(A42='Données projet'!$A$114,'Données projet'!$B$114,BY41+BX42-CG41)))</f>
        <v>411.00000000000006</v>
      </c>
      <c r="BZ42" s="13">
        <f>BY42*VLOOKUP('Données projet'!$B$12,Paramètres!$A$1:$I$89,3,0)*VLOOKUP('Données projet'!$B$12,Paramètres!$A$1:$I$89,5,0)</f>
        <v>197.69100000000003</v>
      </c>
      <c r="CA42" s="13">
        <f t="shared" si="39"/>
        <v>49.236376973807644</v>
      </c>
      <c r="CB42" s="20">
        <f t="shared" si="10"/>
        <v>430.065181562715</v>
      </c>
      <c r="CC42" s="59">
        <f t="shared" si="11"/>
        <v>723.39851489604825</v>
      </c>
      <c r="CD42" s="59">
        <f ca="1">AVERAGE(OFFSET($CC$3,0,0,'Données projet'!$E$12+1,1))-AVERAGE(OFFSET($H$3,0,0,'Données projet'!$E$12+1,1))</f>
        <v>349.65790906807746</v>
      </c>
      <c r="CE42" s="59">
        <f t="shared" si="40"/>
        <v>291.88925884278888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20.425525734005554</v>
      </c>
      <c r="CL42" s="21">
        <f>EXP(-LN(2)/25)*CL41+(1-EXP(-LN(2)/25))/(LN(2)/25)*Calculateur!CG42*Calculateur!CI42*VLOOKUP('Données projet'!$B$12,Paramètres!$A$1:$I$89,3,0)*0.475*44/12</f>
        <v>32.096817093901542</v>
      </c>
      <c r="CM42" s="21">
        <f>EXP(-LN(2)/2)*CM41+(1-EXP(-LN(2)/2))/(LN(2)/2)*CG42*CJ42*VLOOKUP('Données projet'!$B$12,Paramètres!$A$1:$I$89,3,0)*0.475*44/12</f>
        <v>2.2564042626326141E-3</v>
      </c>
      <c r="CN42" s="22">
        <f t="shared" si="12"/>
        <v>52.524599232169727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12.4</v>
      </c>
      <c r="CT42" s="12">
        <f>IF('Données projet'!$A$140&gt;35,CT41+CS42-DB41,IF(A42&lt;'Données projet'!$A$140,$CQ$205^A42,IF(A42='Données projet'!$A$140,'Données projet'!$B$140,CT41+CS42-DB41)))</f>
        <v>195.60000000000002</v>
      </c>
      <c r="CU42" s="17">
        <f>CT42*VLOOKUP('Données projet'!$B$13,Paramètres!$A$1:$I$89,3,0)*VLOOKUP('Données projet'!$B$13,Paramètres!$A$1:$I$89,5,0)</f>
        <v>152.56800000000001</v>
      </c>
      <c r="CV42" s="13">
        <f t="shared" si="41"/>
        <v>39.161595030150863</v>
      </c>
      <c r="CW42" s="20">
        <f t="shared" si="13"/>
        <v>333.92904467751276</v>
      </c>
      <c r="CX42" s="59">
        <f t="shared" si="14"/>
        <v>627.26237801084608</v>
      </c>
      <c r="CY42" s="59">
        <f ca="1">AVERAGE(OFFSET($CX$3,0,0,'Données projet'!$E$13+1,1))-AVERAGE(OFFSET($H$3,0,0,'Données projet'!$E$13+1,1))</f>
        <v>215.84581110302656</v>
      </c>
      <c r="CZ42" s="59">
        <f t="shared" si="42"/>
        <v>193.88588526156104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9.2484830455834199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9.2484830455834199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</v>
      </c>
      <c r="N43" s="13">
        <f>IF('Données projet'!$A$36&gt;35,N42+M43-V42,IF(A43&lt;'Données projet'!$A$36,$K$205^A43,IF(A43='Données projet'!$A$36,'Données projet'!$B$36,N42+M43-V42)))</f>
        <v>302.2000000000001</v>
      </c>
      <c r="O43" s="13">
        <f>N43*VLOOKUP('Données projet'!$B$9,Paramètres!$A$1:$I$89,3,0)*VLOOKUP('Données projet'!$B$9,Paramètres!$A$1:$I$89,5,0)</f>
        <v>188.57280000000006</v>
      </c>
      <c r="P43" s="13">
        <f t="shared" si="33"/>
        <v>47.224280864708376</v>
      </c>
      <c r="Q43" s="20">
        <f t="shared" si="53"/>
        <v>410.6799158393672</v>
      </c>
      <c r="R43" s="59">
        <f t="shared" si="0"/>
        <v>704.01324917270051</v>
      </c>
      <c r="S43" s="59">
        <f ca="1">AVERAGE(OFFSET($R$3,0,0,'Données projet'!$E$9+1,1))-AVERAGE(OFFSET($H$3,0,0,'Données projet'!$E$9+1,1))</f>
        <v>269.77739619445515</v>
      </c>
      <c r="T43" s="59">
        <f t="shared" si="34"/>
        <v>347.56964743629885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26.796224985405107</v>
      </c>
      <c r="AA43" s="21">
        <f>EXP(-LN(2)/25)*AA42+(1-EXP(-LN(2)/25))/(LN(2)/25)*Calculateur!V43*Calculateur!X43*VLOOKUP('Données projet'!$B$9,Paramètres!$A$1:$I$89,3,0)*0.475*44/12</f>
        <v>69.527580101887324</v>
      </c>
      <c r="AB43" s="21">
        <f>EXP(-LN(2)/2)*AB42+(1-EXP(-LN(2)/2))/(LN(2)/2)*V43*Y43*VLOOKUP('Données projet'!$B$9,Paramètres!$A$1:$I$89,3,0)*0.475*44/12</f>
        <v>7.761983133433392E-4</v>
      </c>
      <c r="AC43" s="22">
        <f t="shared" si="3"/>
        <v>96.324581285605774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440</v>
      </c>
      <c r="AG43" s="12">
        <f>VLOOKUP(A43,'Données projet'!$A$61:$I$81,9,0)</f>
        <v>25.4</v>
      </c>
      <c r="AH43" s="12">
        <f t="array" ref="AH43">INDEX(AG:AG,MIN(IF(ISNUMBER(AG43:AG239),ROW(AG43:AG239),"")))</f>
        <v>25.4</v>
      </c>
      <c r="AI43" s="13">
        <f>IF('Données projet'!$A$62&gt;35,AI42+AH43-AQ42,IF(A43&lt;'Données projet'!$A$62,$AF$205^A43,IF(A43='Données projet'!$A$62,'Données projet'!$B$62,AI42+AH43-AQ42)))</f>
        <v>439.99999999999994</v>
      </c>
      <c r="AJ43" s="13">
        <f>AI43*VLOOKUP('Données projet'!$B$10,Paramètres!$A$1:$I$89,3,0)*VLOOKUP('Données projet'!$B$10,Paramètres!$A$1:$I$89,5,0)</f>
        <v>205.92</v>
      </c>
      <c r="AK43" s="13">
        <f t="shared" si="35"/>
        <v>51.042987531485686</v>
      </c>
      <c r="AL43" s="20">
        <f t="shared" si="4"/>
        <v>447.54386995067085</v>
      </c>
      <c r="AM43" s="59">
        <f t="shared" si="5"/>
        <v>740.87720328400417</v>
      </c>
      <c r="AN43" s="59">
        <f ca="1">AVERAGE(OFFSET($AM$3,0,0,'Données projet'!$E$10+1,1))-AVERAGE(OFFSET($H$3,0,0,'Données projet'!$E$10+1,1))</f>
        <v>342.49944586217674</v>
      </c>
      <c r="AO43" s="59">
        <f t="shared" si="36"/>
        <v>282.29766600872563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63</v>
      </c>
      <c r="AR43" s="16">
        <f>IF(ISNA(VLOOKUP(A43,'Données projet'!$A$61:$I$81,5,0)),0%,VLOOKUP(A43,'Données projet'!$A$61:$I$81,5,0)*VLOOKUP('Données projet'!$B$10,Paramètres!$A$1:$I$89,7,0))</f>
        <v>0.55000000000000004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40.995612110873836</v>
      </c>
      <c r="AV43" s="21">
        <f>EXP(-LN(2)/25)*AV42+(1-EXP(-LN(2)/25))/(LN(2)/25)*Calculateur!AQ43*Calculateur!AS43*VLOOKUP('Données projet'!$B$10,Paramètres!$A$1:$I$89,3,0)*0.475*44/12</f>
        <v>30.375367727906472</v>
      </c>
      <c r="AW43" s="21">
        <f>EXP(-LN(2)/2)*AW42+(1-EXP(-LN(2)/2))/(LN(2)/2)*AQ43*AT43*VLOOKUP('Données projet'!$B$10,Paramètres!$A$1:$I$89,3,0)*0.475*44/12</f>
        <v>2.5873277111444662E-3</v>
      </c>
      <c r="AX43" s="21">
        <f t="shared" si="6"/>
        <v>71.373567166491441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181.39680000000001</v>
      </c>
      <c r="BF43" s="13">
        <f t="shared" si="37"/>
        <v>45.63280848550832</v>
      </c>
      <c r="BG43" s="20">
        <f t="shared" si="7"/>
        <v>395.40990144559368</v>
      </c>
      <c r="BH43" s="59">
        <f t="shared" si="8"/>
        <v>688.74323477892699</v>
      </c>
      <c r="BI43" s="59">
        <f ca="1">AVERAGE(OFFSET($BH$3,0,0,'Données projet'!$E$11+1,1))-AVERAGE(OFFSET($H$3,0,0,'Données projet'!$E$11+1,1))</f>
        <v>279.49721661620544</v>
      </c>
      <c r="BJ43" s="59">
        <f t="shared" si="38"/>
        <v>275.18739333988754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31.091789993179567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31.091789993179567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436</v>
      </c>
      <c r="BW43" s="12">
        <f>VLOOKUP(A43,'Données projet'!$A$113:$I$133,9,0)</f>
        <v>25</v>
      </c>
      <c r="BX43" s="12">
        <f t="array" ref="BX43">INDEX(BW:BW,MIN(IF(ISNUMBER(BW43:BW239),ROW(BW43:BW239),"")))</f>
        <v>25</v>
      </c>
      <c r="BY43" s="12">
        <f>IF('Données projet'!$A$114&gt;35,BY42+BX43-CG42,IF(A43&lt;'Données projet'!$A$114,$BV$205^A43,IF(A43='Données projet'!$A$114,'Données projet'!$B$114,BY42+BX43-CG42)))</f>
        <v>436.00000000000006</v>
      </c>
      <c r="BZ43" s="13">
        <f>BY43*VLOOKUP('Données projet'!$B$12,Paramètres!$A$1:$I$89,3,0)*VLOOKUP('Données projet'!$B$12,Paramètres!$A$1:$I$89,5,0)</f>
        <v>209.71600000000004</v>
      </c>
      <c r="CA43" s="13">
        <f t="shared" si="39"/>
        <v>51.873519665760895</v>
      </c>
      <c r="CB43" s="20">
        <f t="shared" si="10"/>
        <v>455.60174675120021</v>
      </c>
      <c r="CC43" s="59">
        <f t="shared" si="11"/>
        <v>748.93508008453352</v>
      </c>
      <c r="CD43" s="59">
        <f ca="1">AVERAGE(OFFSET($CC$3,0,0,'Données projet'!$E$12+1,1))-AVERAGE(OFFSET($H$3,0,0,'Données projet'!$E$12+1,1))</f>
        <v>349.65790906807746</v>
      </c>
      <c r="CE43" s="59">
        <f t="shared" si="40"/>
        <v>291.88925884278888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63</v>
      </c>
      <c r="CH43" s="16">
        <f>IF(ISNA(VLOOKUP(A43,'Données projet'!$A$113:$I$133,5,0)),0%,VLOOKUP(A43,'Données projet'!$A$113:$I$133,5,0)*VLOOKUP('Données projet'!$B$12,Paramètres!$A$1:$I$89,7,0))</f>
        <v>0.55000000000000004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42.134379113953656</v>
      </c>
      <c r="CL43" s="21">
        <f>EXP(-LN(2)/25)*CL42+(1-EXP(-LN(2)/25))/(LN(2)/25)*Calculateur!CG43*Calculateur!CI43*VLOOKUP('Données projet'!$B$12,Paramètres!$A$1:$I$89,3,0)*0.475*44/12</f>
        <v>31.219127942570552</v>
      </c>
      <c r="CM43" s="21">
        <f>EXP(-LN(2)/2)*CM42+(1-EXP(-LN(2)/2))/(LN(2)/2)*CG43*CJ43*VLOOKUP('Données projet'!$B$12,Paramètres!$A$1:$I$89,3,0)*0.475*44/12</f>
        <v>1.5955187552057529E-3</v>
      </c>
      <c r="CN43" s="22">
        <f t="shared" si="12"/>
        <v>73.355102575279417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208</v>
      </c>
      <c r="CR43" s="12">
        <f>VLOOKUP(A43,'Données projet'!$A$139:$I$159,9,0)</f>
        <v>12.4</v>
      </c>
      <c r="CS43" s="12">
        <f t="array" ref="CS43">INDEX(CR:CR,MIN(IF(ISNUMBER(CR43:CR239),ROW(CR43:CR239),"")))</f>
        <v>12.4</v>
      </c>
      <c r="CT43" s="12">
        <f>IF('Données projet'!$A$140&gt;35,CT42+CS43-DB42,IF(A43&lt;'Données projet'!$A$140,$CQ$205^A43,IF(A43='Données projet'!$A$140,'Données projet'!$B$140,CT42+CS43-DB42)))</f>
        <v>208.00000000000003</v>
      </c>
      <c r="CU43" s="17">
        <f>CT43*VLOOKUP('Données projet'!$B$13,Paramètres!$A$1:$I$89,3,0)*VLOOKUP('Données projet'!$B$13,Paramètres!$A$1:$I$89,5,0)</f>
        <v>162.24000000000004</v>
      </c>
      <c r="CV43" s="13">
        <f t="shared" si="41"/>
        <v>41.347344120141088</v>
      </c>
      <c r="CW43" s="20">
        <f t="shared" si="13"/>
        <v>354.58129100924572</v>
      </c>
      <c r="CX43" s="59">
        <f t="shared" si="14"/>
        <v>647.91462434257903</v>
      </c>
      <c r="CY43" s="59">
        <f ca="1">AVERAGE(OFFSET($CX$3,0,0,'Données projet'!$E$13+1,1))-AVERAGE(OFFSET($H$3,0,0,'Données projet'!$E$13+1,1))</f>
        <v>215.84581110302656</v>
      </c>
      <c r="CZ43" s="59">
        <f t="shared" si="42"/>
        <v>193.88588526156104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32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20.93191842352843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20.93191842352843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</v>
      </c>
      <c r="N44" s="13">
        <f>IF('Données projet'!$A$36&gt;35,N43+M44-V43,IF(A44&lt;'Données projet'!$A$36,$K$205^A44,IF(A44='Données projet'!$A$36,'Données projet'!$B$36,N43+M44-V43)))</f>
        <v>316.10000000000008</v>
      </c>
      <c r="O44" s="13">
        <f>N44*VLOOKUP('Données projet'!$B$9,Paramètres!$A$1:$I$89,3,0)*VLOOKUP('Données projet'!$B$9,Paramètres!$A$1:$I$89,5,0)</f>
        <v>197.24640000000005</v>
      </c>
      <c r="P44" s="13">
        <f t="shared" si="33"/>
        <v>49.138522374247245</v>
      </c>
      <c r="Q44" s="20">
        <f t="shared" si="53"/>
        <v>429.12040646848072</v>
      </c>
      <c r="R44" s="59">
        <f t="shared" si="0"/>
        <v>722.45373980181398</v>
      </c>
      <c r="S44" s="59">
        <f ca="1">AVERAGE(OFFSET($R$3,0,0,'Données projet'!$E$9+1,1))-AVERAGE(OFFSET($H$3,0,0,'Données projet'!$E$9+1,1))</f>
        <v>269.77739619445515</v>
      </c>
      <c r="T44" s="59">
        <f t="shared" si="34"/>
        <v>347.56964743629885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26.270767357524711</v>
      </c>
      <c r="AA44" s="21">
        <f>EXP(-LN(2)/25)*AA43+(1-EXP(-LN(2)/25))/(LN(2)/25)*Calculateur!V44*Calculateur!X44*VLOOKUP('Données projet'!$B$9,Paramètres!$A$1:$I$89,3,0)*0.475*44/12</f>
        <v>67.62634476770468</v>
      </c>
      <c r="AB44" s="21">
        <f>EXP(-LN(2)/2)*AB43+(1-EXP(-LN(2)/2))/(LN(2)/2)*V44*Y44*VLOOKUP('Données projet'!$B$9,Paramètres!$A$1:$I$89,3,0)*0.475*44/12</f>
        <v>5.4885509091063579E-4</v>
      </c>
      <c r="AC44" s="22">
        <f t="shared" si="3"/>
        <v>93.89766098032031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24.2</v>
      </c>
      <c r="AI44" s="13">
        <f>IF('Données projet'!$A$62&gt;35,AI43+AH44-AQ43,IF(A44&lt;'Données projet'!$A$62,$AF$205^A44,IF(A44='Données projet'!$A$62,'Données projet'!$B$62,AI43+AH44-AQ43)))</f>
        <v>401.19999999999993</v>
      </c>
      <c r="AJ44" s="13">
        <f>AI44*VLOOKUP('Données projet'!$B$10,Paramètres!$A$1:$I$89,3,0)*VLOOKUP('Données projet'!$B$10,Paramètres!$A$1:$I$89,5,0)</f>
        <v>187.76159999999996</v>
      </c>
      <c r="AK44" s="13">
        <f t="shared" si="35"/>
        <v>47.04473357855187</v>
      </c>
      <c r="AL44" s="20">
        <f t="shared" si="4"/>
        <v>408.95436431597773</v>
      </c>
      <c r="AM44" s="59">
        <f t="shared" si="5"/>
        <v>702.28769764931099</v>
      </c>
      <c r="AN44" s="59">
        <f ca="1">AVERAGE(OFFSET($AM$3,0,0,'Données projet'!$E$10+1,1))-AVERAGE(OFFSET($H$3,0,0,'Données projet'!$E$10+1,1))</f>
        <v>342.49944586217674</v>
      </c>
      <c r="AO44" s="59">
        <f t="shared" si="36"/>
        <v>282.29766600872563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40.191713162233967</v>
      </c>
      <c r="AV44" s="21">
        <f>EXP(-LN(2)/25)*AV43+(1-EXP(-LN(2)/25))/(LN(2)/25)*Calculateur!AQ44*Calculateur!AS44*VLOOKUP('Données projet'!$B$10,Paramètres!$A$1:$I$89,3,0)*0.475*44/12</f>
        <v>29.544751700015706</v>
      </c>
      <c r="AW44" s="21">
        <f>EXP(-LN(2)/2)*AW43+(1-EXP(-LN(2)/2))/(LN(2)/2)*AQ44*AT44*VLOOKUP('Données projet'!$B$10,Paramètres!$A$1:$I$89,3,0)*0.475*44/12</f>
        <v>1.8295169697021209E-3</v>
      </c>
      <c r="AX44" s="21">
        <f t="shared" si="6"/>
        <v>69.738294379219383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161.34768000000003</v>
      </c>
      <c r="BF44" s="13">
        <f t="shared" si="37"/>
        <v>41.146339844316657</v>
      </c>
      <c r="BG44" s="20">
        <f t="shared" si="7"/>
        <v>352.6770845621848</v>
      </c>
      <c r="BH44" s="59">
        <f t="shared" si="8"/>
        <v>646.01041789551812</v>
      </c>
      <c r="BI44" s="59">
        <f ca="1">AVERAGE(OFFSET($BH$3,0,0,'Données projet'!$E$11+1,1))-AVERAGE(OFFSET($H$3,0,0,'Données projet'!$E$11+1,1))</f>
        <v>279.49721661620544</v>
      </c>
      <c r="BJ44" s="59">
        <f t="shared" si="38"/>
        <v>275.18739333988754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30.48209895553266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30.48209895553266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24.2</v>
      </c>
      <c r="BY44" s="12">
        <f>IF('Données projet'!$A$114&gt;35,BY43+BX44-CG43,IF(A44&lt;'Données projet'!$A$114,$BV$205^A44,IF(A44='Données projet'!$A$114,'Données projet'!$B$114,BY43+BX44-CG43)))</f>
        <v>397.20000000000005</v>
      </c>
      <c r="BZ44" s="13">
        <f>BY44*VLOOKUP('Données projet'!$B$12,Paramètres!$A$1:$I$89,3,0)*VLOOKUP('Données projet'!$B$12,Paramètres!$A$1:$I$89,5,0)</f>
        <v>191.05320000000003</v>
      </c>
      <c r="CA44" s="13">
        <f t="shared" si="39"/>
        <v>47.772725452801886</v>
      </c>
      <c r="CB44" s="20">
        <f t="shared" si="10"/>
        <v>415.95515349696331</v>
      </c>
      <c r="CC44" s="59">
        <f t="shared" si="11"/>
        <v>709.28848683029662</v>
      </c>
      <c r="CD44" s="59">
        <f ca="1">AVERAGE(OFFSET($CC$3,0,0,'Données projet'!$E$12+1,1))-AVERAGE(OFFSET($H$3,0,0,'Données projet'!$E$12+1,1))</f>
        <v>349.65790906807746</v>
      </c>
      <c r="CE44" s="59">
        <f t="shared" si="40"/>
        <v>291.88925884278888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41.308149638962675</v>
      </c>
      <c r="CL44" s="21">
        <f>EXP(-LN(2)/25)*CL43+(1-EXP(-LN(2)/25))/(LN(2)/25)*Calculateur!CG44*Calculateur!CI44*VLOOKUP('Données projet'!$B$12,Paramètres!$A$1:$I$89,3,0)*0.475*44/12</f>
        <v>30.365439247238374</v>
      </c>
      <c r="CM44" s="21">
        <f>EXP(-LN(2)/2)*CM43+(1-EXP(-LN(2)/2))/(LN(2)/2)*CG44*CJ44*VLOOKUP('Données projet'!$B$12,Paramètres!$A$1:$I$89,3,0)*0.475*44/12</f>
        <v>1.128202131316307E-3</v>
      </c>
      <c r="CN44" s="22">
        <f t="shared" si="12"/>
        <v>71.674717088332358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187.40000000000003</v>
      </c>
      <c r="CU44" s="17">
        <f>CT44*VLOOKUP('Données projet'!$B$13,Paramètres!$A$1:$I$89,3,0)*VLOOKUP('Données projet'!$B$13,Paramètres!$A$1:$I$89,5,0)</f>
        <v>146.17200000000003</v>
      </c>
      <c r="CV44" s="13">
        <f t="shared" si="41"/>
        <v>37.707354374771185</v>
      </c>
      <c r="CW44" s="20">
        <f t="shared" si="13"/>
        <v>320.25654220272645</v>
      </c>
      <c r="CX44" s="59">
        <f t="shared" si="14"/>
        <v>613.58987553605971</v>
      </c>
      <c r="CY44" s="59">
        <f ca="1">AVERAGE(OFFSET($CX$3,0,0,'Données projet'!$E$13+1,1))-AVERAGE(OFFSET($H$3,0,0,'Données projet'!$E$13+1,1))</f>
        <v>215.84581110302656</v>
      </c>
      <c r="CZ44" s="59">
        <f t="shared" si="42"/>
        <v>193.88588526156104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20.521456270452617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20.521456270452617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330</v>
      </c>
      <c r="L45" s="12">
        <f>VLOOKUP(A45,'Données projet'!$A$35:$I$55,9,0)</f>
        <v>13.9</v>
      </c>
      <c r="M45" s="12">
        <f t="array" ref="M45">INDEX(L:L,MIN(IF(ISNUMBER(L45:L241),ROW(L45:L241),"")))</f>
        <v>13.9</v>
      </c>
      <c r="N45" s="13">
        <f>IF('Données projet'!$A$36&gt;35,N44+M45-V44,IF(A45&lt;'Données projet'!$A$36,$K$205^A45,IF(A45='Données projet'!$A$36,'Données projet'!$B$36,N44+M45-V44)))</f>
        <v>330.00000000000006</v>
      </c>
      <c r="O45" s="13">
        <f>N45*VLOOKUP('Données projet'!$B$9,Paramètres!$A$1:$I$89,3,0)*VLOOKUP('Données projet'!$B$9,Paramètres!$A$1:$I$89,5,0)</f>
        <v>205.92000000000004</v>
      </c>
      <c r="P45" s="13">
        <f t="shared" si="33"/>
        <v>51.042987531485686</v>
      </c>
      <c r="Q45" s="20">
        <f t="shared" si="53"/>
        <v>447.54386995067097</v>
      </c>
      <c r="R45" s="59">
        <f t="shared" si="0"/>
        <v>740.87720328400428</v>
      </c>
      <c r="S45" s="59">
        <f ca="1">AVERAGE(OFFSET($R$3,0,0,'Données projet'!$E$9+1,1))-AVERAGE(OFFSET($H$3,0,0,'Données projet'!$E$9+1,1))</f>
        <v>269.77739619445515</v>
      </c>
      <c r="T45" s="59">
        <f t="shared" si="34"/>
        <v>347.56964743629885</v>
      </c>
      <c r="U45" s="15">
        <f>IF(ISNA(VLOOKUP(A45,'Données projet'!$A$35:$I$55,3,0)),0,VLOOKUP(A45,'Données projet'!$A$35:$I$55,3,0))</f>
        <v>6</v>
      </c>
      <c r="V45" s="15">
        <f>IF(ISNA(VLOOKUP(A45,'Données projet'!$A$35:$I$55,4,0)),0,VLOOKUP(A45,'Données projet'!$A$35:$I$55,4,0))</f>
        <v>54.6</v>
      </c>
      <c r="W45" s="16">
        <f>IF(ISNA(VLOOKUP(A45,'Données projet'!$A$35:$I$55,5,0)),0%,VLOOKUP(A45,'Données projet'!$A$35:$I$55,5,0)*VLOOKUP('Données projet'!$B$9,Paramètres!$A$1:$I$89,7,0))</f>
        <v>0.6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52.873562606793925</v>
      </c>
      <c r="AA45" s="21">
        <f>EXP(-LN(2)/25)*AA44+(1-EXP(-LN(2)/25))/(LN(2)/25)*Calculateur!V45*Calculateur!X45*VLOOKUP('Données projet'!$B$9,Paramètres!$A$1:$I$89,3,0)*0.475*44/12</f>
        <v>65.77709881371689</v>
      </c>
      <c r="AB45" s="21">
        <f>EXP(-LN(2)/2)*AB44+(1-EXP(-LN(2)/2))/(LN(2)/2)*V45*Y45*VLOOKUP('Données projet'!$B$9,Paramètres!$A$1:$I$89,3,0)*0.475*44/12</f>
        <v>3.880991566716696E-4</v>
      </c>
      <c r="AC45" s="22">
        <f t="shared" si="3"/>
        <v>118.65104951966748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24.2</v>
      </c>
      <c r="AI45" s="13">
        <f>IF('Données projet'!$A$62&gt;35,AI44+AH45-AQ44,IF(A45&lt;'Données projet'!$A$62,$AF$205^A45,IF(A45='Données projet'!$A$62,'Données projet'!$B$62,AI44+AH45-AQ44)))</f>
        <v>425.39999999999992</v>
      </c>
      <c r="AJ45" s="13">
        <f>AI45*VLOOKUP('Données projet'!$B$10,Paramètres!$A$1:$I$89,3,0)*VLOOKUP('Données projet'!$B$10,Paramètres!$A$1:$I$89,5,0)</f>
        <v>199.08719999999997</v>
      </c>
      <c r="AK45" s="13">
        <f t="shared" si="35"/>
        <v>49.543508536491395</v>
      </c>
      <c r="AL45" s="20">
        <f t="shared" si="4"/>
        <v>433.03181736772245</v>
      </c>
      <c r="AM45" s="59">
        <f t="shared" si="5"/>
        <v>726.36515070105577</v>
      </c>
      <c r="AN45" s="59">
        <f ca="1">AVERAGE(OFFSET($AM$3,0,0,'Données projet'!$E$10+1,1))-AVERAGE(OFFSET($H$3,0,0,'Données projet'!$E$10+1,1))</f>
        <v>342.49944586217674</v>
      </c>
      <c r="AO45" s="59">
        <f t="shared" si="36"/>
        <v>282.29766600872563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39.403578181646978</v>
      </c>
      <c r="AV45" s="21">
        <f>EXP(-LN(2)/25)*AV44+(1-EXP(-LN(2)/25))/(LN(2)/25)*Calculateur!AQ45*Calculateur!AS45*VLOOKUP('Données projet'!$B$10,Paramètres!$A$1:$I$89,3,0)*0.475*44/12</f>
        <v>28.736848911087808</v>
      </c>
      <c r="AW45" s="21">
        <f>EXP(-LN(2)/2)*AW44+(1-EXP(-LN(2)/2))/(LN(2)/2)*AQ45*AT45*VLOOKUP('Données projet'!$B$10,Paramètres!$A$1:$I$89,3,0)*0.475*44/12</f>
        <v>1.2936638555722331E-3</v>
      </c>
      <c r="AX45" s="21">
        <f t="shared" si="6"/>
        <v>68.14172075659036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169.14456000000004</v>
      </c>
      <c r="BF45" s="13">
        <f t="shared" si="37"/>
        <v>42.898377267189964</v>
      </c>
      <c r="BG45" s="20">
        <f t="shared" si="7"/>
        <v>369.30811574035596</v>
      </c>
      <c r="BH45" s="59">
        <f t="shared" si="8"/>
        <v>662.64144907368927</v>
      </c>
      <c r="BI45" s="59">
        <f ca="1">AVERAGE(OFFSET($BH$3,0,0,'Données projet'!$E$11+1,1))-AVERAGE(OFFSET($H$3,0,0,'Données projet'!$E$11+1,1))</f>
        <v>279.49721661620544</v>
      </c>
      <c r="BJ45" s="59">
        <f t="shared" si="38"/>
        <v>275.18739333988754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29.884363587259195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29.884363587259195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24.2</v>
      </c>
      <c r="BY45" s="12">
        <f>IF('Données projet'!$A$114&gt;35,BY44+BX45-CG44,IF(A45&lt;'Données projet'!$A$114,$BV$205^A45,IF(A45='Données projet'!$A$114,'Données projet'!$B$114,BY44+BX45-CG44)))</f>
        <v>421.40000000000003</v>
      </c>
      <c r="BZ45" s="13">
        <f>BY45*VLOOKUP('Données projet'!$B$12,Paramètres!$A$1:$I$89,3,0)*VLOOKUP('Données projet'!$B$12,Paramètres!$A$1:$I$89,5,0)</f>
        <v>202.69340000000003</v>
      </c>
      <c r="CA45" s="13">
        <f t="shared" si="39"/>
        <v>50.335633892078647</v>
      </c>
      <c r="CB45" s="20">
        <f t="shared" si="10"/>
        <v>440.69223402870369</v>
      </c>
      <c r="CC45" s="59">
        <f t="shared" si="11"/>
        <v>734.02556736203701</v>
      </c>
      <c r="CD45" s="59">
        <f ca="1">AVERAGE(OFFSET($CC$3,0,0,'Données projet'!$E$12+1,1))-AVERAGE(OFFSET($H$3,0,0,'Données projet'!$E$12+1,1))</f>
        <v>349.65790906807746</v>
      </c>
      <c r="CE45" s="59">
        <f t="shared" si="40"/>
        <v>291.88925884278888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40.498122020026052</v>
      </c>
      <c r="CL45" s="21">
        <f>EXP(-LN(2)/25)*CL44+(1-EXP(-LN(2)/25))/(LN(2)/25)*Calculateur!CG45*Calculateur!CI45*VLOOKUP('Données projet'!$B$12,Paramètres!$A$1:$I$89,3,0)*0.475*44/12</f>
        <v>29.535094714173592</v>
      </c>
      <c r="CM45" s="21">
        <f>EXP(-LN(2)/2)*CM44+(1-EXP(-LN(2)/2))/(LN(2)/2)*CG45*CJ45*VLOOKUP('Données projet'!$B$12,Paramètres!$A$1:$I$89,3,0)*0.475*44/12</f>
        <v>7.9775937760287647E-4</v>
      </c>
      <c r="CN45" s="22">
        <f t="shared" si="12"/>
        <v>70.034014493577246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198.80000000000004</v>
      </c>
      <c r="CU45" s="17">
        <f>CT45*VLOOKUP('Données projet'!$B$13,Paramètres!$A$1:$I$89,3,0)*VLOOKUP('Données projet'!$B$13,Paramètres!$A$1:$I$89,5,0)</f>
        <v>155.06400000000005</v>
      </c>
      <c r="CV45" s="13">
        <f t="shared" si="41"/>
        <v>39.727164550120094</v>
      </c>
      <c r="CW45" s="20">
        <f t="shared" si="13"/>
        <v>339.26127825812586</v>
      </c>
      <c r="CX45" s="59">
        <f t="shared" si="14"/>
        <v>632.59461159145917</v>
      </c>
      <c r="CY45" s="59">
        <f ca="1">AVERAGE(OFFSET($CX$3,0,0,'Données projet'!$E$13+1,1))-AVERAGE(OFFSET($H$3,0,0,'Données projet'!$E$13+1,1))</f>
        <v>215.84581110302656</v>
      </c>
      <c r="CZ45" s="59">
        <f t="shared" si="42"/>
        <v>193.88588526156104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20.119043029841428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20.119043029841428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12.933333333333337</v>
      </c>
      <c r="N46" s="13">
        <f>IF('Données projet'!$A$36&gt;35,N45+M46-V45,IF(A46&lt;'Données projet'!$A$36,$K$205^A46,IF(A46='Données projet'!$A$36,'Données projet'!$B$36,N45+M46-V45)))</f>
        <v>288.33333333333337</v>
      </c>
      <c r="O46" s="13">
        <f>N46*VLOOKUP('Données projet'!$B$9,Paramètres!$A$1:$I$89,3,0)*VLOOKUP('Données projet'!$B$9,Paramètres!$A$1:$I$89,5,0)</f>
        <v>179.92000000000002</v>
      </c>
      <c r="P46" s="13">
        <f t="shared" si="33"/>
        <v>45.304387180011844</v>
      </c>
      <c r="Q46" s="20">
        <f t="shared" si="53"/>
        <v>392.26580767185396</v>
      </c>
      <c r="R46" s="59">
        <f t="shared" si="0"/>
        <v>685.59914100518722</v>
      </c>
      <c r="S46" s="59">
        <f ca="1">AVERAGE(OFFSET($R$3,0,0,'Données projet'!$E$9+1,1))-AVERAGE(OFFSET($H$3,0,0,'Données projet'!$E$9+1,1))</f>
        <v>269.77739619445515</v>
      </c>
      <c r="T46" s="59">
        <f t="shared" si="34"/>
        <v>347.56964743629885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51.836744293763495</v>
      </c>
      <c r="AA46" s="21">
        <f>EXP(-LN(2)/25)*AA45+(1-EXP(-LN(2)/25))/(LN(2)/25)*Calculateur!V46*Calculateur!X46*VLOOKUP('Données projet'!$B$9,Paramètres!$A$1:$I$89,3,0)*0.475*44/12</f>
        <v>63.978420587588509</v>
      </c>
      <c r="AB46" s="21">
        <f>EXP(-LN(2)/2)*AB45+(1-EXP(-LN(2)/2))/(LN(2)/2)*V46*Y46*VLOOKUP('Données projet'!$B$9,Paramètres!$A$1:$I$89,3,0)*0.475*44/12</f>
        <v>2.744275454553179E-4</v>
      </c>
      <c r="AC46" s="22">
        <f t="shared" si="3"/>
        <v>115.81543930889745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24.2</v>
      </c>
      <c r="AI46" s="13">
        <f>IF('Données projet'!$A$62&gt;35,AI45+AH46-AQ45,IF(A46&lt;'Données projet'!$A$62,$AF$205^A46,IF(A46='Données projet'!$A$62,'Données projet'!$B$62,AI45+AH46-AQ45)))</f>
        <v>449.59999999999991</v>
      </c>
      <c r="AJ46" s="13">
        <f>AI46*VLOOKUP('Données projet'!$B$10,Paramètres!$A$1:$I$89,3,0)*VLOOKUP('Données projet'!$B$10,Paramètres!$A$1:$I$89,5,0)</f>
        <v>210.41279999999998</v>
      </c>
      <c r="AK46" s="13">
        <f t="shared" si="35"/>
        <v>52.025782571624553</v>
      </c>
      <c r="AL46" s="20">
        <f t="shared" si="4"/>
        <v>457.08053131224602</v>
      </c>
      <c r="AM46" s="59">
        <f t="shared" si="5"/>
        <v>750.41386464557934</v>
      </c>
      <c r="AN46" s="59">
        <f ca="1">AVERAGE(OFFSET($AM$3,0,0,'Données projet'!$E$10+1,1))-AVERAGE(OFFSET($H$3,0,0,'Données projet'!$E$10+1,1))</f>
        <v>342.49944586217674</v>
      </c>
      <c r="AO46" s="59">
        <f t="shared" si="36"/>
        <v>282.29766600872563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38.630898047314432</v>
      </c>
      <c r="AV46" s="21">
        <f>EXP(-LN(2)/25)*AV45+(1-EXP(-LN(2)/25))/(LN(2)/25)*Calculateur!AQ46*Calculateur!AS46*VLOOKUP('Données projet'!$B$10,Paramètres!$A$1:$I$89,3,0)*0.475*44/12</f>
        <v>27.951038266408908</v>
      </c>
      <c r="AW46" s="21">
        <f>EXP(-LN(2)/2)*AW45+(1-EXP(-LN(2)/2))/(LN(2)/2)*AQ46*AT46*VLOOKUP('Données projet'!$B$10,Paramètres!$A$1:$I$89,3,0)*0.475*44/12</f>
        <v>9.1475848485106045E-4</v>
      </c>
      <c r="AX46" s="21">
        <f t="shared" si="6"/>
        <v>66.582851072208186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176.94144000000003</v>
      </c>
      <c r="BF46" s="13">
        <f t="shared" si="37"/>
        <v>44.641035679901449</v>
      </c>
      <c r="BG46" s="20">
        <f t="shared" si="7"/>
        <v>385.92281180916171</v>
      </c>
      <c r="BH46" s="59">
        <f t="shared" si="8"/>
        <v>679.25614514249503</v>
      </c>
      <c r="BI46" s="59">
        <f ca="1">AVERAGE(OFFSET($BH$3,0,0,'Données projet'!$E$11+1,1))-AVERAGE(OFFSET($H$3,0,0,'Données projet'!$E$11+1,1))</f>
        <v>279.49721661620544</v>
      </c>
      <c r="BJ46" s="59">
        <f t="shared" si="38"/>
        <v>275.18739333988754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29.298349444974999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29.298349444974999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24.2</v>
      </c>
      <c r="BY46" s="12">
        <f>IF('Données projet'!$A$114&gt;35,BY45+BX46-CG45,IF(A46&lt;'Données projet'!$A$114,$BV$205^A46,IF(A46='Données projet'!$A$114,'Données projet'!$B$114,BY45+BX46-CG45)))</f>
        <v>445.6</v>
      </c>
      <c r="BZ46" s="13">
        <f>BY46*VLOOKUP('Données projet'!$B$12,Paramètres!$A$1:$I$89,3,0)*VLOOKUP('Données projet'!$B$12,Paramètres!$A$1:$I$89,5,0)</f>
        <v>214.33360000000002</v>
      </c>
      <c r="CA46" s="13">
        <f t="shared" si="39"/>
        <v>52.881457597635382</v>
      </c>
      <c r="CB46" s="20">
        <f t="shared" si="10"/>
        <v>465.39955864921495</v>
      </c>
      <c r="CC46" s="59">
        <f t="shared" si="11"/>
        <v>758.73289198254827</v>
      </c>
      <c r="CD46" s="59">
        <f ca="1">AVERAGE(OFFSET($CC$3,0,0,'Données projet'!$E$12+1,1))-AVERAGE(OFFSET($H$3,0,0,'Données projet'!$E$12+1,1))</f>
        <v>349.65790906807746</v>
      </c>
      <c r="CE46" s="59">
        <f t="shared" si="40"/>
        <v>291.88925884278888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39.703978548628712</v>
      </c>
      <c r="CL46" s="21">
        <f>EXP(-LN(2)/25)*CL45+(1-EXP(-LN(2)/25))/(LN(2)/25)*Calculateur!CG46*Calculateur!CI46*VLOOKUP('Données projet'!$B$12,Paramètres!$A$1:$I$89,3,0)*0.475*44/12</f>
        <v>28.727455996031388</v>
      </c>
      <c r="CM46" s="21">
        <f>EXP(-LN(2)/2)*CM45+(1-EXP(-LN(2)/2))/(LN(2)/2)*CG46*CJ46*VLOOKUP('Données projet'!$B$12,Paramètres!$A$1:$I$89,3,0)*0.475*44/12</f>
        <v>5.6410106565815351E-4</v>
      </c>
      <c r="CN46" s="22">
        <f t="shared" si="12"/>
        <v>68.43199864572577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210.20000000000005</v>
      </c>
      <c r="CU46" s="17">
        <f>CT46*VLOOKUP('Données projet'!$B$13,Paramètres!$A$1:$I$89,3,0)*VLOOKUP('Données projet'!$B$13,Paramètres!$A$1:$I$89,5,0)</f>
        <v>163.95600000000005</v>
      </c>
      <c r="CV46" s="13">
        <f t="shared" si="41"/>
        <v>41.733529914742604</v>
      </c>
      <c r="CW46" s="20">
        <f t="shared" si="13"/>
        <v>358.24259793484339</v>
      </c>
      <c r="CX46" s="59">
        <f t="shared" si="14"/>
        <v>651.57593126817665</v>
      </c>
      <c r="CY46" s="59">
        <f ca="1">AVERAGE(OFFSET($CX$3,0,0,'Données projet'!$E$13+1,1))-AVERAGE(OFFSET($H$3,0,0,'Données projet'!$E$13+1,1))</f>
        <v>215.84581110302656</v>
      </c>
      <c r="CZ46" s="59">
        <f t="shared" si="42"/>
        <v>193.88588526156104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19.724520867430787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19.724520867430787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12.933333333333337</v>
      </c>
      <c r="N47" s="13">
        <f>IF('Données projet'!$A$36&gt;35,N46+M47-V46,IF(A47&lt;'Données projet'!$A$36,$K$205^A47,IF(A47='Données projet'!$A$36,'Données projet'!$B$36,N46+M47-V46)))</f>
        <v>301.26666666666671</v>
      </c>
      <c r="O47" s="13">
        <f>N47*VLOOKUP('Données projet'!$B$9,Paramètres!$A$1:$I$89,3,0)*VLOOKUP('Données projet'!$B$9,Paramètres!$A$1:$I$89,5,0)</f>
        <v>187.99040000000002</v>
      </c>
      <c r="P47" s="13">
        <f t="shared" si="33"/>
        <v>47.095384246362833</v>
      </c>
      <c r="Q47" s="20">
        <f t="shared" si="53"/>
        <v>409.44107422908195</v>
      </c>
      <c r="R47" s="59">
        <f t="shared" si="0"/>
        <v>702.77440756241526</v>
      </c>
      <c r="S47" s="59">
        <f ca="1">AVERAGE(OFFSET($R$3,0,0,'Données projet'!$E$9+1,1))-AVERAGE(OFFSET($H$3,0,0,'Données projet'!$E$9+1,1))</f>
        <v>269.77739619445515</v>
      </c>
      <c r="T47" s="59">
        <f t="shared" si="34"/>
        <v>347.56964743629885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50.820257355454864</v>
      </c>
      <c r="AA47" s="21">
        <f>EXP(-LN(2)/25)*AA46+(1-EXP(-LN(2)/25))/(LN(2)/25)*Calculateur!V47*Calculateur!X47*VLOOKUP('Données projet'!$B$9,Paramètres!$A$1:$I$89,3,0)*0.475*44/12</f>
        <v>62.228927312141984</v>
      </c>
      <c r="AB47" s="21">
        <f>EXP(-LN(2)/2)*AB46+(1-EXP(-LN(2)/2))/(LN(2)/2)*V47*Y47*VLOOKUP('Données projet'!$B$9,Paramètres!$A$1:$I$89,3,0)*0.475*44/12</f>
        <v>1.940495783358348E-4</v>
      </c>
      <c r="AC47" s="22">
        <f t="shared" si="3"/>
        <v>113.04937871717519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24.2</v>
      </c>
      <c r="AI47" s="13">
        <f>IF('Données projet'!$A$62&gt;35,AI46+AH47-AQ46,IF(A47&lt;'Données projet'!$A$62,$AF$205^A47,IF(A47='Données projet'!$A$62,'Données projet'!$B$62,AI46+AH47-AQ46)))</f>
        <v>473.7999999999999</v>
      </c>
      <c r="AJ47" s="13">
        <f>AI47*VLOOKUP('Données projet'!$B$10,Paramètres!$A$1:$I$89,3,0)*VLOOKUP('Données projet'!$B$10,Paramètres!$A$1:$I$89,5,0)</f>
        <v>221.73839999999996</v>
      </c>
      <c r="AK47" s="13">
        <f t="shared" si="35"/>
        <v>54.492545120441747</v>
      </c>
      <c r="AL47" s="20">
        <f t="shared" si="4"/>
        <v>481.10222941810252</v>
      </c>
      <c r="AM47" s="59">
        <f t="shared" si="5"/>
        <v>774.43556275143578</v>
      </c>
      <c r="AN47" s="59">
        <f ca="1">AVERAGE(OFFSET($AM$3,0,0,'Données projet'!$E$10+1,1))-AVERAGE(OFFSET($H$3,0,0,'Données projet'!$E$10+1,1))</f>
        <v>342.49944586217674</v>
      </c>
      <c r="AO47" s="59">
        <f t="shared" si="36"/>
        <v>282.29766600872563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37.873369699127799</v>
      </c>
      <c r="AV47" s="21">
        <f>EXP(-LN(2)/25)*AV46+(1-EXP(-LN(2)/25))/(LN(2)/25)*Calculateur!AQ47*Calculateur!AS47*VLOOKUP('Données projet'!$B$10,Paramètres!$A$1:$I$89,3,0)*0.475*44/12</f>
        <v>27.186715655132737</v>
      </c>
      <c r="AW47" s="21">
        <f>EXP(-LN(2)/2)*AW46+(1-EXP(-LN(2)/2))/(LN(2)/2)*AQ47*AT47*VLOOKUP('Données projet'!$B$10,Paramètres!$A$1:$I$89,3,0)*0.475*44/12</f>
        <v>6.4683192778611654E-4</v>
      </c>
      <c r="AX47" s="21">
        <f t="shared" si="6"/>
        <v>65.060732186188318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184.73832000000004</v>
      </c>
      <c r="BF47" s="13">
        <f t="shared" si="37"/>
        <v>46.374775595471988</v>
      </c>
      <c r="BG47" s="20">
        <f t="shared" si="7"/>
        <v>402.52197482878046</v>
      </c>
      <c r="BH47" s="59">
        <f t="shared" si="8"/>
        <v>695.85530816211372</v>
      </c>
      <c r="BI47" s="59">
        <f ca="1">AVERAGE(OFFSET($BH$3,0,0,'Données projet'!$E$11+1,1))-AVERAGE(OFFSET($H$3,0,0,'Données projet'!$E$11+1,1))</f>
        <v>279.49721661620544</v>
      </c>
      <c r="BJ47" s="59">
        <f t="shared" si="38"/>
        <v>275.18739333988754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28.723826682587664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28.723826682587664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24.2</v>
      </c>
      <c r="BY47" s="12">
        <f>IF('Données projet'!$A$114&gt;35,BY46+BX47-CG46,IF(A47&lt;'Données projet'!$A$114,$BV$205^A47,IF(A47='Données projet'!$A$114,'Données projet'!$B$114,BY46+BX47-CG46)))</f>
        <v>469.8</v>
      </c>
      <c r="BZ47" s="13">
        <f>BY47*VLOOKUP('Données projet'!$B$12,Paramètres!$A$1:$I$89,3,0)*VLOOKUP('Données projet'!$B$12,Paramètres!$A$1:$I$89,5,0)</f>
        <v>225.97380000000001</v>
      </c>
      <c r="CA47" s="13">
        <f t="shared" si="39"/>
        <v>55.411230198517323</v>
      </c>
      <c r="CB47" s="20">
        <f t="shared" si="10"/>
        <v>490.07892759575094</v>
      </c>
      <c r="CC47" s="59">
        <f t="shared" si="11"/>
        <v>783.41226092908425</v>
      </c>
      <c r="CD47" s="59">
        <f ca="1">AVERAGE(OFFSET($CC$3,0,0,'Données projet'!$E$12+1,1))-AVERAGE(OFFSET($H$3,0,0,'Données projet'!$E$12+1,1))</f>
        <v>349.65790906807746</v>
      </c>
      <c r="CE47" s="59">
        <f t="shared" si="40"/>
        <v>291.88925884278888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38.925407746325781</v>
      </c>
      <c r="CL47" s="21">
        <f>EXP(-LN(2)/25)*CL46+(1-EXP(-LN(2)/25))/(LN(2)/25)*Calculateur!CG47*Calculateur!CI47*VLOOKUP('Données projet'!$B$12,Paramètres!$A$1:$I$89,3,0)*0.475*44/12</f>
        <v>27.941902201108658</v>
      </c>
      <c r="CM47" s="21">
        <f>EXP(-LN(2)/2)*CM46+(1-EXP(-LN(2)/2))/(LN(2)/2)*CG47*CJ47*VLOOKUP('Données projet'!$B$12,Paramètres!$A$1:$I$89,3,0)*0.475*44/12</f>
        <v>3.9887968880143824E-4</v>
      </c>
      <c r="CN47" s="22">
        <f t="shared" si="12"/>
        <v>66.867708827123238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221.60000000000005</v>
      </c>
      <c r="CU47" s="17">
        <f>CT47*VLOOKUP('Données projet'!$B$13,Paramètres!$A$1:$I$89,3,0)*VLOOKUP('Données projet'!$B$13,Paramètres!$A$1:$I$89,5,0)</f>
        <v>172.84800000000004</v>
      </c>
      <c r="CV47" s="13">
        <f t="shared" si="41"/>
        <v>43.727262763680358</v>
      </c>
      <c r="CW47" s="20">
        <f t="shared" si="13"/>
        <v>377.20191598007665</v>
      </c>
      <c r="CX47" s="59">
        <f t="shared" si="14"/>
        <v>670.53524931340996</v>
      </c>
      <c r="CY47" s="59">
        <f ca="1">AVERAGE(OFFSET($CX$3,0,0,'Données projet'!$E$13+1,1))-AVERAGE(OFFSET($H$3,0,0,'Données projet'!$E$13+1,1))</f>
        <v>215.84581110302656</v>
      </c>
      <c r="CZ47" s="59">
        <f t="shared" si="42"/>
        <v>193.88588526156104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19.337735043990257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19.337735043990257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12.933333333333337</v>
      </c>
      <c r="N48" s="13">
        <f>IF('Données projet'!$A$36&gt;35,N47+M48-V47,IF(A48&lt;'Données projet'!$A$36,$K$205^A48,IF(A48='Données projet'!$A$36,'Données projet'!$B$36,N47+M48-V47)))</f>
        <v>314.20000000000005</v>
      </c>
      <c r="O48" s="13">
        <f>N48*VLOOKUP('Données projet'!$B$9,Paramètres!$A$1:$I$89,3,0)*VLOOKUP('Données projet'!$B$9,Paramètres!$A$1:$I$89,5,0)</f>
        <v>196.0608</v>
      </c>
      <c r="P48" s="13">
        <f t="shared" si="33"/>
        <v>48.877451065142239</v>
      </c>
      <c r="Q48" s="20">
        <f t="shared" si="53"/>
        <v>426.60078727178939</v>
      </c>
      <c r="R48" s="59">
        <f t="shared" si="0"/>
        <v>719.93412060512264</v>
      </c>
      <c r="S48" s="59">
        <f ca="1">AVERAGE(OFFSET($R$3,0,0,'Données projet'!$E$9+1,1))-AVERAGE(OFFSET($H$3,0,0,'Données projet'!$E$9+1,1))</f>
        <v>269.77739619445515</v>
      </c>
      <c r="T48" s="59">
        <f t="shared" si="34"/>
        <v>347.56964743629885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49.823703106010655</v>
      </c>
      <c r="AA48" s="21">
        <f>EXP(-LN(2)/25)*AA47+(1-EXP(-LN(2)/25))/(LN(2)/25)*Calculateur!V48*Calculateur!X48*VLOOKUP('Données projet'!$B$9,Paramètres!$A$1:$I$89,3,0)*0.475*44/12</f>
        <v>60.527274022314401</v>
      </c>
      <c r="AB48" s="21">
        <f>EXP(-LN(2)/2)*AB47+(1-EXP(-LN(2)/2))/(LN(2)/2)*V48*Y48*VLOOKUP('Données projet'!$B$9,Paramètres!$A$1:$I$89,3,0)*0.475*44/12</f>
        <v>1.3721377272765895E-4</v>
      </c>
      <c r="AC48" s="22">
        <f t="shared" si="3"/>
        <v>110.35111434209779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498</v>
      </c>
      <c r="AG48" s="12">
        <f>VLOOKUP(A48,'Données projet'!$A$61:$I$81,9,0)</f>
        <v>24.2</v>
      </c>
      <c r="AH48" s="12">
        <f t="array" ref="AH48">INDEX(AG:AG,MIN(IF(ISNUMBER(AG48:AG244),ROW(AG48:AG244),"")))</f>
        <v>24.2</v>
      </c>
      <c r="AI48" s="13">
        <f>IF('Données projet'!$A$62&gt;35,AI47+AH48-AQ47,IF(A48&lt;'Données projet'!$A$62,$AF$205^A48,IF(A48='Données projet'!$A$62,'Données projet'!$B$62,AI47+AH48-AQ47)))</f>
        <v>497.99999999999989</v>
      </c>
      <c r="AJ48" s="13">
        <f>AI48*VLOOKUP('Données projet'!$B$10,Paramètres!$A$1:$I$89,3,0)*VLOOKUP('Données projet'!$B$10,Paramètres!$A$1:$I$89,5,0)</f>
        <v>233.06399999999994</v>
      </c>
      <c r="AK48" s="13">
        <f t="shared" si="35"/>
        <v>56.944678836622806</v>
      </c>
      <c r="AL48" s="20">
        <f t="shared" si="4"/>
        <v>505.09844897378457</v>
      </c>
      <c r="AM48" s="59">
        <f t="shared" si="5"/>
        <v>798.43178230711783</v>
      </c>
      <c r="AN48" s="59">
        <f ca="1">AVERAGE(OFFSET($AM$3,0,0,'Données projet'!$E$10+1,1))-AVERAGE(OFFSET($H$3,0,0,'Données projet'!$E$10+1,1))</f>
        <v>342.49944586217674</v>
      </c>
      <c r="AO48" s="59">
        <f t="shared" si="36"/>
        <v>282.29766600872563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63</v>
      </c>
      <c r="AR48" s="16">
        <f>IF(ISNA(VLOOKUP(A48,'Données projet'!$A$61:$I$81,5,0)),0%,VLOOKUP(A48,'Données projet'!$A$61:$I$81,5,0)*VLOOKUP('Données projet'!$B$10,Paramètres!$A$1:$I$89,7,0))</f>
        <v>0.55000000000000004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58.642530542101113</v>
      </c>
      <c r="AV48" s="21">
        <f>EXP(-LN(2)/25)*AV47+(1-EXP(-LN(2)/25))/(LN(2)/25)*Calculateur!AQ48*Calculateur!AS48*VLOOKUP('Données projet'!$B$10,Paramètres!$A$1:$I$89,3,0)*0.475*44/12</f>
        <v>26.443293485855893</v>
      </c>
      <c r="AW48" s="21">
        <f>EXP(-LN(2)/2)*AW47+(1-EXP(-LN(2)/2))/(LN(2)/2)*AQ48*AT48*VLOOKUP('Données projet'!$B$10,Paramètres!$A$1:$I$89,3,0)*0.475*44/12</f>
        <v>4.5737924242553022E-4</v>
      </c>
      <c r="AX48" s="21">
        <f t="shared" si="6"/>
        <v>85.086281407199422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192.53520000000006</v>
      </c>
      <c r="BF48" s="13">
        <f t="shared" si="37"/>
        <v>48.100016456123079</v>
      </c>
      <c r="BG48" s="20">
        <f t="shared" si="7"/>
        <v>419.10633532774779</v>
      </c>
      <c r="BH48" s="59">
        <f t="shared" si="8"/>
        <v>712.4396686610811</v>
      </c>
      <c r="BI48" s="59">
        <f ca="1">AVERAGE(OFFSET($BH$3,0,0,'Données projet'!$E$11+1,1))-AVERAGE(OFFSET($H$3,0,0,'Données projet'!$E$11+1,1))</f>
        <v>279.49721661620544</v>
      </c>
      <c r="BJ48" s="59">
        <f t="shared" si="38"/>
        <v>275.18739333988754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39.34796557707206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39.34796557707206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494</v>
      </c>
      <c r="BW48" s="12">
        <f>VLOOKUP(A48,'Données projet'!$A$113:$I$133,9,0)</f>
        <v>24.2</v>
      </c>
      <c r="BX48" s="12">
        <f t="array" ref="BX48">INDEX(BW:BW,MIN(IF(ISNUMBER(BW48:BW244),ROW(BW48:BW244),"")))</f>
        <v>24.2</v>
      </c>
      <c r="BY48" s="12">
        <f>IF('Données projet'!$A$114&gt;35,BY47+BX48-CG47,IF(A48&lt;'Données projet'!$A$114,$BV$205^A48,IF(A48='Données projet'!$A$114,'Données projet'!$B$114,BY47+BX48-CG47)))</f>
        <v>494</v>
      </c>
      <c r="BZ48" s="13">
        <f>BY48*VLOOKUP('Données projet'!$B$12,Paramètres!$A$1:$I$89,3,0)*VLOOKUP('Données projet'!$B$12,Paramètres!$A$1:$I$89,5,0)</f>
        <v>237.614</v>
      </c>
      <c r="CA48" s="13">
        <f t="shared" si="39"/>
        <v>57.92587282196115</v>
      </c>
      <c r="CB48" s="20">
        <f t="shared" si="10"/>
        <v>514.7319451649156</v>
      </c>
      <c r="CC48" s="59">
        <f t="shared" si="11"/>
        <v>808.06527849824897</v>
      </c>
      <c r="CD48" s="59">
        <f ca="1">AVERAGE(OFFSET($CC$3,0,0,'Données projet'!$E$12+1,1))-AVERAGE(OFFSET($H$3,0,0,'Données projet'!$E$12+1,1))</f>
        <v>349.65790906807746</v>
      </c>
      <c r="CE48" s="59">
        <f t="shared" si="40"/>
        <v>291.88925884278888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63</v>
      </c>
      <c r="CH48" s="16">
        <f>IF(ISNA(VLOOKUP(A48,'Données projet'!$A$113:$I$133,5,0)),0%,VLOOKUP(A48,'Données projet'!$A$113:$I$133,5,0)*VLOOKUP('Données projet'!$B$12,Paramètres!$A$1:$I$89,7,0))</f>
        <v>0.55000000000000004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60.271489723826122</v>
      </c>
      <c r="CL48" s="21">
        <f>EXP(-LN(2)/25)*CL47+(1-EXP(-LN(2)/25))/(LN(2)/25)*Calculateur!CG48*Calculateur!CI48*VLOOKUP('Données projet'!$B$12,Paramètres!$A$1:$I$89,3,0)*0.475*44/12</f>
        <v>27.177829416018568</v>
      </c>
      <c r="CM48" s="21">
        <f>EXP(-LN(2)/2)*CM47+(1-EXP(-LN(2)/2))/(LN(2)/2)*CG48*CJ48*VLOOKUP('Données projet'!$B$12,Paramètres!$A$1:$I$89,3,0)*0.475*44/12</f>
        <v>2.8205053282907676E-4</v>
      </c>
      <c r="CN48" s="22">
        <f t="shared" si="12"/>
        <v>87.449601190377521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233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233.00000000000006</v>
      </c>
      <c r="CU48" s="17">
        <f>CT48*VLOOKUP('Données projet'!$B$13,Paramètres!$A$1:$I$89,3,0)*VLOOKUP('Données projet'!$B$13,Paramètres!$A$1:$I$89,5,0)</f>
        <v>181.74000000000004</v>
      </c>
      <c r="CV48" s="13">
        <f t="shared" si="41"/>
        <v>45.709087095891377</v>
      </c>
      <c r="CW48" s="20">
        <f t="shared" si="13"/>
        <v>396.14049335867753</v>
      </c>
      <c r="CX48" s="59">
        <f t="shared" si="14"/>
        <v>689.47382669201079</v>
      </c>
      <c r="CY48" s="59">
        <f ca="1">AVERAGE(OFFSET($CX$3,0,0,'Données projet'!$E$13+1,1))-AVERAGE(OFFSET($H$3,0,0,'Données projet'!$E$13+1,1))</f>
        <v>215.84581110302656</v>
      </c>
      <c r="CZ48" s="59">
        <f t="shared" si="42"/>
        <v>193.88588526156104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31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30.452551578787237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30.452551578787237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12.933333333333337</v>
      </c>
      <c r="N49" s="13">
        <f>IF('Données projet'!$A$36&gt;35,N48+M49-V48,IF(A49&lt;'Données projet'!$A$36,$K$205^A49,IF(A49='Données projet'!$A$36,'Données projet'!$B$36,N48+M49-V48)))</f>
        <v>327.13333333333338</v>
      </c>
      <c r="O49" s="13">
        <f>N49*VLOOKUP('Données projet'!$B$9,Paramètres!$A$1:$I$89,3,0)*VLOOKUP('Données projet'!$B$9,Paramètres!$A$1:$I$89,5,0)</f>
        <v>204.13120000000004</v>
      </c>
      <c r="P49" s="13">
        <f t="shared" si="33"/>
        <v>50.650997272003906</v>
      </c>
      <c r="Q49" s="20">
        <f t="shared" si="53"/>
        <v>443.74566024874019</v>
      </c>
      <c r="R49" s="59">
        <f t="shared" si="0"/>
        <v>737.07899358207351</v>
      </c>
      <c r="S49" s="59">
        <f ca="1">AVERAGE(OFFSET($R$3,0,0,'Données projet'!$E$9+1,1))-AVERAGE(OFFSET($H$3,0,0,'Données projet'!$E$9+1,1))</f>
        <v>269.77739619445515</v>
      </c>
      <c r="T49" s="59">
        <f t="shared" si="34"/>
        <v>347.56964743629885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48.84669067755997</v>
      </c>
      <c r="AA49" s="21">
        <f>EXP(-LN(2)/25)*AA48+(1-EXP(-LN(2)/25))/(LN(2)/25)*Calculateur!V49*Calculateur!X49*VLOOKUP('Données projet'!$B$9,Paramètres!$A$1:$I$89,3,0)*0.475*44/12</f>
        <v>58.872152531183211</v>
      </c>
      <c r="AB49" s="21">
        <f>EXP(-LN(2)/2)*AB48+(1-EXP(-LN(2)/2))/(LN(2)/2)*V49*Y49*VLOOKUP('Données projet'!$B$9,Paramètres!$A$1:$I$89,3,0)*0.475*44/12</f>
        <v>9.70247891679174E-5</v>
      </c>
      <c r="AC49" s="22">
        <f t="shared" si="3"/>
        <v>107.71894023353235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22.8</v>
      </c>
      <c r="AI49" s="13">
        <f>IF('Données projet'!$A$62&gt;35,AI48+AH49-AQ48,IF(A49&lt;'Données projet'!$A$62,$AF$205^A49,IF(A49='Données projet'!$A$62,'Données projet'!$B$62,AI48+AH49-AQ48)))</f>
        <v>457.79999999999984</v>
      </c>
      <c r="AJ49" s="13">
        <f>AI49*VLOOKUP('Données projet'!$B$10,Paramètres!$A$1:$I$89,3,0)*VLOOKUP('Données projet'!$B$10,Paramètres!$A$1:$I$89,5,0)</f>
        <v>214.25039999999993</v>
      </c>
      <c r="AK49" s="13">
        <f t="shared" si="35"/>
        <v>52.863319071079268</v>
      </c>
      <c r="AL49" s="20">
        <f t="shared" si="4"/>
        <v>465.22306071546291</v>
      </c>
      <c r="AM49" s="59">
        <f t="shared" si="5"/>
        <v>758.55639404879616</v>
      </c>
      <c r="AN49" s="59">
        <f ca="1">AVERAGE(OFFSET($AM$3,0,0,'Données projet'!$E$10+1,1))-AVERAGE(OFFSET($H$3,0,0,'Données projet'!$E$10+1,1))</f>
        <v>342.49944586217674</v>
      </c>
      <c r="AO49" s="59">
        <f t="shared" si="36"/>
        <v>282.29766600872563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57.492586286582302</v>
      </c>
      <c r="AV49" s="21">
        <f>EXP(-LN(2)/25)*AV48+(1-EXP(-LN(2)/25))/(LN(2)/25)*Calculateur!AQ49*Calculateur!AS49*VLOOKUP('Données projet'!$B$10,Paramètres!$A$1:$I$89,3,0)*0.475*44/12</f>
        <v>25.720200234892797</v>
      </c>
      <c r="AW49" s="21">
        <f>EXP(-LN(2)/2)*AW48+(1-EXP(-LN(2)/2))/(LN(2)/2)*AQ49*AT49*VLOOKUP('Données projet'!$B$10,Paramètres!$A$1:$I$89,3,0)*0.475*44/12</f>
        <v>3.2341596389305827E-4</v>
      </c>
      <c r="AX49" s="21">
        <f t="shared" si="6"/>
        <v>83.213109937438986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180.28296000000006</v>
      </c>
      <c r="BF49" s="13">
        <f t="shared" si="37"/>
        <v>45.385133797071397</v>
      </c>
      <c r="BG49" s="20">
        <f t="shared" si="7"/>
        <v>393.03859669656612</v>
      </c>
      <c r="BH49" s="59">
        <f t="shared" si="8"/>
        <v>686.37193002989943</v>
      </c>
      <c r="BI49" s="59">
        <f ca="1">AVERAGE(OFFSET($BH$3,0,0,'Données projet'!$E$11+1,1))-AVERAGE(OFFSET($H$3,0,0,'Données projet'!$E$11+1,1))</f>
        <v>279.49721661620544</v>
      </c>
      <c r="BJ49" s="59">
        <f t="shared" si="38"/>
        <v>275.18739333988754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38.576375971994885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38.576375971994885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22.8</v>
      </c>
      <c r="BY49" s="12">
        <f>IF('Données projet'!$A$114&gt;35,BY48+BX49-CG48,IF(A49&lt;'Données projet'!$A$114,$BV$205^A49,IF(A49='Données projet'!$A$114,'Données projet'!$B$114,BY48+BX49-CG48)))</f>
        <v>453.79999999999995</v>
      </c>
      <c r="BZ49" s="13">
        <f>BY49*VLOOKUP('Données projet'!$B$12,Paramètres!$A$1:$I$89,3,0)*VLOOKUP('Données projet'!$B$12,Paramètres!$A$1:$I$89,5,0)</f>
        <v>218.27779999999998</v>
      </c>
      <c r="CA49" s="13">
        <f t="shared" si="39"/>
        <v>53.740403024328771</v>
      </c>
      <c r="CB49" s="20">
        <f t="shared" si="10"/>
        <v>473.76503693403919</v>
      </c>
      <c r="CC49" s="59">
        <f t="shared" si="11"/>
        <v>767.0983702673725</v>
      </c>
      <c r="CD49" s="59">
        <f ca="1">AVERAGE(OFFSET($CC$3,0,0,'Données projet'!$E$12+1,1))-AVERAGE(OFFSET($H$3,0,0,'Données projet'!$E$12+1,1))</f>
        <v>349.65790906807746</v>
      </c>
      <c r="CE49" s="59">
        <f t="shared" si="40"/>
        <v>291.88925884278888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59.089602572320679</v>
      </c>
      <c r="CL49" s="21">
        <f>EXP(-LN(2)/25)*CL48+(1-EXP(-LN(2)/25))/(LN(2)/25)*Calculateur!CG49*Calculateur!CI49*VLOOKUP('Données projet'!$B$12,Paramètres!$A$1:$I$89,3,0)*0.475*44/12</f>
        <v>26.434650241417607</v>
      </c>
      <c r="CM49" s="21">
        <f>EXP(-LN(2)/2)*CM48+(1-EXP(-LN(2)/2))/(LN(2)/2)*CG49*CJ49*VLOOKUP('Données projet'!$B$12,Paramètres!$A$1:$I$89,3,0)*0.475*44/12</f>
        <v>1.9943984440071912E-4</v>
      </c>
      <c r="CN49" s="22">
        <f t="shared" si="12"/>
        <v>85.52445225358268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10.199999999999999</v>
      </c>
      <c r="CT49" s="12">
        <f>IF('Données projet'!$A$140&gt;35,CT48+CS49-DB48,IF(A49&lt;'Données projet'!$A$140,$CQ$205^A49,IF(A49='Données projet'!$A$140,'Données projet'!$B$140,CT48+CS49-DB48)))</f>
        <v>212.20000000000005</v>
      </c>
      <c r="CU49" s="17">
        <f>CT49*VLOOKUP('Données projet'!$B$13,Paramètres!$A$1:$I$89,3,0)*VLOOKUP('Données projet'!$B$13,Paramètres!$A$1:$I$89,5,0)</f>
        <v>165.51600000000005</v>
      </c>
      <c r="CV49" s="13">
        <f t="shared" si="41"/>
        <v>42.084199740832013</v>
      </c>
      <c r="CW49" s="20">
        <f t="shared" si="13"/>
        <v>361.57034788194915</v>
      </c>
      <c r="CX49" s="59">
        <f t="shared" si="14"/>
        <v>654.9036812152824</v>
      </c>
      <c r="CY49" s="59">
        <f ca="1">AVERAGE(OFFSET($CX$3,0,0,'Données projet'!$E$13+1,1))-AVERAGE(OFFSET($H$3,0,0,'Données projet'!$E$13+1,1))</f>
        <v>215.84581110302656</v>
      </c>
      <c r="CZ49" s="59">
        <f t="shared" si="42"/>
        <v>193.88588526156104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29.855395616549629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29.855395616549629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12.933333333333337</v>
      </c>
      <c r="N50" s="13">
        <f>IF('Données projet'!$A$36&gt;35,N49+M50-V49,IF(A50&lt;'Données projet'!$A$36,$K$205^A50,IF(A50='Données projet'!$A$36,'Données projet'!$B$36,N49+M50-V49)))</f>
        <v>340.06666666666672</v>
      </c>
      <c r="O50" s="13">
        <f>N50*VLOOKUP('Données projet'!$B$9,Paramètres!$A$1:$I$89,3,0)*VLOOKUP('Données projet'!$B$9,Paramètres!$A$1:$I$89,5,0)</f>
        <v>212.20160000000004</v>
      </c>
      <c r="P50" s="13">
        <f t="shared" si="33"/>
        <v>52.416398278764817</v>
      </c>
      <c r="Q50" s="20">
        <f t="shared" si="53"/>
        <v>460.87634700218206</v>
      </c>
      <c r="R50" s="59">
        <f t="shared" si="0"/>
        <v>754.20968033551537</v>
      </c>
      <c r="S50" s="59">
        <f ca="1">AVERAGE(OFFSET($R$3,0,0,'Données projet'!$E$9+1,1))-AVERAGE(OFFSET($H$3,0,0,'Données projet'!$E$9+1,1))</f>
        <v>269.77739619445515</v>
      </c>
      <c r="T50" s="59">
        <f t="shared" si="34"/>
        <v>347.56964743629885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47.888836866912463</v>
      </c>
      <c r="AA50" s="21">
        <f>EXP(-LN(2)/25)*AA49+(1-EXP(-LN(2)/25))/(LN(2)/25)*Calculateur!V50*Calculateur!X50*VLOOKUP('Données projet'!$B$9,Paramètres!$A$1:$I$89,3,0)*0.475*44/12</f>
        <v>57.262290424266055</v>
      </c>
      <c r="AB50" s="21">
        <f>EXP(-LN(2)/2)*AB49+(1-EXP(-LN(2)/2))/(LN(2)/2)*V50*Y50*VLOOKUP('Données projet'!$B$9,Paramètres!$A$1:$I$89,3,0)*0.475*44/12</f>
        <v>6.8606886363829474E-5</v>
      </c>
      <c r="AC50" s="22">
        <f t="shared" si="3"/>
        <v>105.15119589806487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22.8</v>
      </c>
      <c r="AI50" s="13">
        <f>IF('Données projet'!$A$62&gt;35,AI49+AH50-AQ49,IF(A50&lt;'Données projet'!$A$62,$AF$205^A50,IF(A50='Données projet'!$A$62,'Données projet'!$B$62,AI49+AH50-AQ49)))</f>
        <v>480.59999999999985</v>
      </c>
      <c r="AJ50" s="13">
        <f>AI50*VLOOKUP('Données projet'!$B$10,Paramètres!$A$1:$I$89,3,0)*VLOOKUP('Données projet'!$B$10,Paramètres!$A$1:$I$89,5,0)</f>
        <v>224.92079999999993</v>
      </c>
      <c r="AK50" s="13">
        <f t="shared" si="35"/>
        <v>55.1830164775604</v>
      </c>
      <c r="AL50" s="20">
        <f t="shared" si="4"/>
        <v>487.84748036508421</v>
      </c>
      <c r="AM50" s="59">
        <f t="shared" si="5"/>
        <v>781.18081369841752</v>
      </c>
      <c r="AN50" s="59">
        <f ca="1">AVERAGE(OFFSET($AM$3,0,0,'Données projet'!$E$10+1,1))-AVERAGE(OFFSET($H$3,0,0,'Données projet'!$E$10+1,1))</f>
        <v>342.49944586217674</v>
      </c>
      <c r="AO50" s="59">
        <f t="shared" si="36"/>
        <v>282.29766600872563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56.365191736517481</v>
      </c>
      <c r="AV50" s="21">
        <f>EXP(-LN(2)/25)*AV49+(1-EXP(-LN(2)/25))/(LN(2)/25)*Calculateur!AQ50*Calculateur!AS50*VLOOKUP('Données projet'!$B$10,Paramètres!$A$1:$I$89,3,0)*0.475*44/12</f>
        <v>25.016880006903108</v>
      </c>
      <c r="AW50" s="21">
        <f>EXP(-LN(2)/2)*AW49+(1-EXP(-LN(2)/2))/(LN(2)/2)*AQ50*AT50*VLOOKUP('Données projet'!$B$10,Paramètres!$A$1:$I$89,3,0)*0.475*44/12</f>
        <v>2.2868962121276511E-4</v>
      </c>
      <c r="AX50" s="21">
        <f t="shared" si="6"/>
        <v>81.382300433041806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187.12512000000004</v>
      </c>
      <c r="BF50" s="13">
        <f t="shared" si="37"/>
        <v>46.903794805770545</v>
      </c>
      <c r="BG50" s="20">
        <f t="shared" si="7"/>
        <v>407.60035995338376</v>
      </c>
      <c r="BH50" s="59">
        <f t="shared" si="8"/>
        <v>700.93369328671702</v>
      </c>
      <c r="BI50" s="59">
        <f ca="1">AVERAGE(OFFSET($BH$3,0,0,'Données projet'!$E$11+1,1))-AVERAGE(OFFSET($H$3,0,0,'Données projet'!$E$11+1,1))</f>
        <v>279.49721661620544</v>
      </c>
      <c r="BJ50" s="59">
        <f t="shared" si="38"/>
        <v>275.18739333988754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37.819916768450085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37.819916768450085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22.8</v>
      </c>
      <c r="BY50" s="12">
        <f>IF('Données projet'!$A$114&gt;35,BY49+BX50-CG49,IF(A50&lt;'Données projet'!$A$114,$BV$205^A50,IF(A50='Données projet'!$A$114,'Données projet'!$B$114,BY49+BX50-CG49)))</f>
        <v>476.59999999999997</v>
      </c>
      <c r="BZ50" s="13">
        <f>BY50*VLOOKUP('Données projet'!$B$12,Paramètres!$A$1:$I$89,3,0)*VLOOKUP('Données projet'!$B$12,Paramètres!$A$1:$I$89,5,0)</f>
        <v>229.24459999999999</v>
      </c>
      <c r="CA50" s="13">
        <f t="shared" si="39"/>
        <v>56.119315130304294</v>
      </c>
      <c r="CB50" s="20">
        <f t="shared" si="10"/>
        <v>497.00881885194661</v>
      </c>
      <c r="CC50" s="59">
        <f t="shared" si="11"/>
        <v>790.34215218527993</v>
      </c>
      <c r="CD50" s="59">
        <f ca="1">AVERAGE(OFFSET($CC$3,0,0,'Données projet'!$E$12+1,1))-AVERAGE(OFFSET($H$3,0,0,'Données projet'!$E$12+1,1))</f>
        <v>349.65790906807746</v>
      </c>
      <c r="CE50" s="59">
        <f t="shared" si="40"/>
        <v>291.88925884278888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57.930891506976273</v>
      </c>
      <c r="CL50" s="21">
        <f>EXP(-LN(2)/25)*CL49+(1-EXP(-LN(2)/25))/(LN(2)/25)*Calculateur!CG50*Calculateur!CI50*VLOOKUP('Données projet'!$B$12,Paramètres!$A$1:$I$89,3,0)*0.475*44/12</f>
        <v>25.711793340428205</v>
      </c>
      <c r="CM50" s="21">
        <f>EXP(-LN(2)/2)*CM49+(1-EXP(-LN(2)/2))/(LN(2)/2)*CG50*CJ50*VLOOKUP('Données projet'!$B$12,Paramètres!$A$1:$I$89,3,0)*0.475*44/12</f>
        <v>1.4102526641453838E-4</v>
      </c>
      <c r="CN50" s="22">
        <f t="shared" si="12"/>
        <v>83.642825872670898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10.199999999999999</v>
      </c>
      <c r="CT50" s="12">
        <f>IF('Données projet'!$A$140&gt;35,CT49+CS50-DB49,IF(A50&lt;'Données projet'!$A$140,$CQ$205^A50,IF(A50='Données projet'!$A$140,'Données projet'!$B$140,CT49+CS50-DB49)))</f>
        <v>222.40000000000003</v>
      </c>
      <c r="CU50" s="17">
        <f>CT50*VLOOKUP('Données projet'!$B$13,Paramètres!$A$1:$I$89,3,0)*VLOOKUP('Données projet'!$B$13,Paramètres!$A$1:$I$89,5,0)</f>
        <v>173.47200000000004</v>
      </c>
      <c r="CV50" s="13">
        <f t="shared" si="41"/>
        <v>43.866718728383574</v>
      </c>
      <c r="CW50" s="20">
        <f t="shared" si="13"/>
        <v>378.53160178526809</v>
      </c>
      <c r="CX50" s="59">
        <f t="shared" si="14"/>
        <v>671.86493511860135</v>
      </c>
      <c r="CY50" s="59">
        <f ca="1">AVERAGE(OFFSET($CX$3,0,0,'Données projet'!$E$13+1,1))-AVERAGE(OFFSET($H$3,0,0,'Données projet'!$E$13+1,1))</f>
        <v>215.84581110302656</v>
      </c>
      <c r="CZ50" s="59">
        <f t="shared" si="42"/>
        <v>193.88588526156104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29.26994951850233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29.26994951850233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353</v>
      </c>
      <c r="L51" s="12">
        <f>VLOOKUP(A51,'Données projet'!$A$35:$I$55,9,0)</f>
        <v>12.933333333333337</v>
      </c>
      <c r="M51" s="12">
        <f t="array" ref="M51">INDEX(L:L,MIN(IF(ISNUMBER(L51:L247),ROW(L51:L247),"")))</f>
        <v>12.933333333333337</v>
      </c>
      <c r="N51" s="13">
        <f>IF('Données projet'!$A$36&gt;35,N50+M51-V50,IF(A51&lt;'Données projet'!$A$36,$K$205^A51,IF(A51='Données projet'!$A$36,'Données projet'!$B$36,N50+M51-V50)))</f>
        <v>353.00000000000006</v>
      </c>
      <c r="O51" s="13">
        <f>N51*VLOOKUP('Données projet'!$B$9,Paramètres!$A$1:$I$89,3,0)*VLOOKUP('Données projet'!$B$9,Paramètres!$A$1:$I$89,5,0)</f>
        <v>220.27200000000005</v>
      </c>
      <c r="P51" s="13">
        <f t="shared" si="33"/>
        <v>54.173999324746809</v>
      </c>
      <c r="Q51" s="20">
        <f t="shared" si="53"/>
        <v>477.99344882393416</v>
      </c>
      <c r="R51" s="59">
        <f t="shared" si="0"/>
        <v>771.32678215726742</v>
      </c>
      <c r="S51" s="59">
        <f ca="1">AVERAGE(OFFSET($R$3,0,0,'Données projet'!$E$9+1,1))-AVERAGE(OFFSET($H$3,0,0,'Données projet'!$E$9+1,1))</f>
        <v>269.77739619445515</v>
      </c>
      <c r="T51" s="59">
        <f t="shared" si="34"/>
        <v>347.56964743629885</v>
      </c>
      <c r="U51" s="15">
        <f>IF(ISNA(VLOOKUP(A51,'Données projet'!$A$35:$I$55,3,0)),0,VLOOKUP(A51,'Données projet'!$A$35:$I$55,3,0))</f>
        <v>7</v>
      </c>
      <c r="V51" s="15">
        <f>IF(ISNA(VLOOKUP(A51,'Données projet'!$A$35:$I$55,4,0)),0,VLOOKUP(A51,'Données projet'!$A$35:$I$55,4,0))</f>
        <v>48.2</v>
      </c>
      <c r="W51" s="16">
        <f>IF(ISNA(VLOOKUP(A51,'Données projet'!$A$35:$I$55,5,0)),0%,VLOOKUP(A51,'Données projet'!$A$35:$I$55,5,0)*VLOOKUP('Données projet'!$B$9,Paramètres!$A$1:$I$89,7,0))</f>
        <v>0.6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70.889054273276997</v>
      </c>
      <c r="AA51" s="21">
        <f>EXP(-LN(2)/25)*AA50+(1-EXP(-LN(2)/25))/(LN(2)/25)*Calculateur!V51*Calculateur!X51*VLOOKUP('Données projet'!$B$9,Paramètres!$A$1:$I$89,3,0)*0.475*44/12</f>
        <v>55.696450081321522</v>
      </c>
      <c r="AB51" s="21">
        <f>EXP(-LN(2)/2)*AB50+(1-EXP(-LN(2)/2))/(LN(2)/2)*V51*Y51*VLOOKUP('Données projet'!$B$9,Paramètres!$A$1:$I$89,3,0)*0.475*44/12</f>
        <v>4.85123945839587E-5</v>
      </c>
      <c r="AC51" s="22">
        <f t="shared" si="3"/>
        <v>126.58555286699311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22.8</v>
      </c>
      <c r="AI51" s="13">
        <f>IF('Données projet'!$A$62&gt;35,AI50+AH51-AQ50,IF(A51&lt;'Données projet'!$A$62,$AF$205^A51,IF(A51='Données projet'!$A$62,'Données projet'!$B$62,AI50+AH51-AQ50)))</f>
        <v>503.39999999999986</v>
      </c>
      <c r="AJ51" s="13">
        <f>AI51*VLOOKUP('Données projet'!$B$10,Paramètres!$A$1:$I$89,3,0)*VLOOKUP('Données projet'!$B$10,Paramètres!$A$1:$I$89,5,0)</f>
        <v>235.59119999999993</v>
      </c>
      <c r="AK51" s="13">
        <f t="shared" si="35"/>
        <v>57.489934530644327</v>
      </c>
      <c r="AL51" s="20">
        <f t="shared" si="4"/>
        <v>510.44964264087201</v>
      </c>
      <c r="AM51" s="59">
        <f t="shared" si="5"/>
        <v>803.78297597420533</v>
      </c>
      <c r="AN51" s="59">
        <f ca="1">AVERAGE(OFFSET($AM$3,0,0,'Données projet'!$E$10+1,1))-AVERAGE(OFFSET($H$3,0,0,'Données projet'!$E$10+1,1))</f>
        <v>342.49944586217674</v>
      </c>
      <c r="AO51" s="59">
        <f t="shared" si="36"/>
        <v>282.29766600872563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55.259904705936648</v>
      </c>
      <c r="AV51" s="21">
        <f>EXP(-LN(2)/25)*AV50+(1-EXP(-LN(2)/25))/(LN(2)/25)*Calculateur!AQ51*Calculateur!AS51*VLOOKUP('Données projet'!$B$10,Paramètres!$A$1:$I$89,3,0)*0.475*44/12</f>
        <v>24.332792107533798</v>
      </c>
      <c r="AW51" s="21">
        <f>EXP(-LN(2)/2)*AW50+(1-EXP(-LN(2)/2))/(LN(2)/2)*AQ51*AT51*VLOOKUP('Données projet'!$B$10,Paramètres!$A$1:$I$89,3,0)*0.475*44/12</f>
        <v>1.6170798194652914E-4</v>
      </c>
      <c r="AX51" s="21">
        <f t="shared" si="6"/>
        <v>79.592858521452385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193.96728000000004</v>
      </c>
      <c r="BF51" s="13">
        <f t="shared" si="37"/>
        <v>48.41600442423902</v>
      </c>
      <c r="BG51" s="20">
        <f t="shared" si="7"/>
        <v>422.15088703888301</v>
      </c>
      <c r="BH51" s="59">
        <f t="shared" si="8"/>
        <v>715.48422037221633</v>
      </c>
      <c r="BI51" s="59">
        <f ca="1">AVERAGE(OFFSET($BH$3,0,0,'Données projet'!$E$11+1,1))-AVERAGE(OFFSET($H$3,0,0,'Données projet'!$E$11+1,1))</f>
        <v>279.49721661620544</v>
      </c>
      <c r="BJ51" s="59">
        <f t="shared" si="38"/>
        <v>275.18739333988754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37.078291268492244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37.078291268492244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22.8</v>
      </c>
      <c r="BY51" s="12">
        <f>IF('Données projet'!$A$114&gt;35,BY50+BX51-CG50,IF(A51&lt;'Données projet'!$A$114,$BV$205^A51,IF(A51='Données projet'!$A$114,'Données projet'!$B$114,BY50+BX51-CG50)))</f>
        <v>499.4</v>
      </c>
      <c r="BZ51" s="13">
        <f>BY51*VLOOKUP('Données projet'!$B$12,Paramètres!$A$1:$I$89,3,0)*VLOOKUP('Données projet'!$B$12,Paramètres!$A$1:$I$89,5,0)</f>
        <v>240.2114</v>
      </c>
      <c r="CA51" s="13">
        <f t="shared" si="39"/>
        <v>58.485011891089606</v>
      </c>
      <c r="CB51" s="20">
        <f t="shared" si="10"/>
        <v>520.22958404364772</v>
      </c>
      <c r="CC51" s="59">
        <f t="shared" si="11"/>
        <v>813.56291737698098</v>
      </c>
      <c r="CD51" s="59">
        <f ca="1">AVERAGE(OFFSET($CC$3,0,0,'Données projet'!$E$12+1,1))-AVERAGE(OFFSET($H$3,0,0,'Données projet'!$E$12+1,1))</f>
        <v>349.65790906807746</v>
      </c>
      <c r="CE51" s="59">
        <f t="shared" si="40"/>
        <v>291.88925884278888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56.794902058879309</v>
      </c>
      <c r="CL51" s="21">
        <f>EXP(-LN(2)/25)*CL50+(1-EXP(-LN(2)/25))/(LN(2)/25)*Calculateur!CG51*Calculateur!CI51*VLOOKUP('Données projet'!$B$12,Paramètres!$A$1:$I$89,3,0)*0.475*44/12</f>
        <v>25.008702999409749</v>
      </c>
      <c r="CM51" s="21">
        <f>EXP(-LN(2)/2)*CM50+(1-EXP(-LN(2)/2))/(LN(2)/2)*CG51*CJ51*VLOOKUP('Données projet'!$B$12,Paramètres!$A$1:$I$89,3,0)*0.475*44/12</f>
        <v>9.9719922200359559E-5</v>
      </c>
      <c r="CN51" s="22">
        <f t="shared" si="12"/>
        <v>81.803704778211269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10.199999999999999</v>
      </c>
      <c r="CT51" s="12">
        <f>IF('Données projet'!$A$140&gt;35,CT50+CS51-DB50,IF(A51&lt;'Données projet'!$A$140,$CQ$205^A51,IF(A51='Données projet'!$A$140,'Données projet'!$B$140,CT50+CS51-DB50)))</f>
        <v>232.60000000000002</v>
      </c>
      <c r="CU51" s="17">
        <f>CT51*VLOOKUP('Données projet'!$B$13,Paramètres!$A$1:$I$89,3,0)*VLOOKUP('Données projet'!$B$13,Paramètres!$A$1:$I$89,5,0)</f>
        <v>181.42800000000003</v>
      </c>
      <c r="CV51" s="13">
        <f t="shared" si="41"/>
        <v>45.639743598335336</v>
      </c>
      <c r="CW51" s="20">
        <f t="shared" si="13"/>
        <v>395.47632010043407</v>
      </c>
      <c r="CX51" s="59">
        <f t="shared" si="14"/>
        <v>688.80965343376738</v>
      </c>
      <c r="CY51" s="59">
        <f ca="1">AVERAGE(OFFSET($CX$3,0,0,'Données projet'!$E$13+1,1))-AVERAGE(OFFSET($H$3,0,0,'Données projet'!$E$13+1,1))</f>
        <v>215.84581110302656</v>
      </c>
      <c r="CZ51" s="59">
        <f t="shared" si="42"/>
        <v>193.88588526156104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28.695983661350876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28.695983661350876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11.533333333333331</v>
      </c>
      <c r="N52" s="13">
        <f>IF('Données projet'!$A$36&gt;35,N51+M52-V51,IF(A52&lt;'Données projet'!$A$36,$K$205^A52,IF(A52='Données projet'!$A$36,'Données projet'!$B$36,N51+M52-V51)))</f>
        <v>316.33333333333343</v>
      </c>
      <c r="O52" s="13">
        <f>N52*VLOOKUP('Données projet'!$B$9,Paramètres!$A$1:$I$89,3,0)*VLOOKUP('Données projet'!$B$9,Paramètres!$A$1:$I$89,5,0)</f>
        <v>197.39200000000005</v>
      </c>
      <c r="P52" s="13">
        <f t="shared" si="33"/>
        <v>49.170571149417825</v>
      </c>
      <c r="Q52" s="20">
        <f t="shared" si="53"/>
        <v>429.42981141856944</v>
      </c>
      <c r="R52" s="59">
        <f t="shared" si="0"/>
        <v>722.7631447519027</v>
      </c>
      <c r="S52" s="59">
        <f ca="1">AVERAGE(OFFSET($R$3,0,0,'Données projet'!$E$9+1,1))-AVERAGE(OFFSET($H$3,0,0,'Données projet'!$E$9+1,1))</f>
        <v>269.77739619445515</v>
      </c>
      <c r="T52" s="59">
        <f t="shared" si="34"/>
        <v>347.56964743629885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69.498963157031739</v>
      </c>
      <c r="AA52" s="21">
        <f>EXP(-LN(2)/25)*AA51+(1-EXP(-LN(2)/25))/(LN(2)/25)*Calculateur!V52*Calculateur!X52*VLOOKUP('Données projet'!$B$9,Paramètres!$A$1:$I$89,3,0)*0.475*44/12</f>
        <v>54.173427724898772</v>
      </c>
      <c r="AB52" s="21">
        <f>EXP(-LN(2)/2)*AB51+(1-EXP(-LN(2)/2))/(LN(2)/2)*V52*Y52*VLOOKUP('Données projet'!$B$9,Paramètres!$A$1:$I$89,3,0)*0.475*44/12</f>
        <v>3.4303443181914737E-5</v>
      </c>
      <c r="AC52" s="22">
        <f t="shared" si="3"/>
        <v>123.6724251853737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22.8</v>
      </c>
      <c r="AI52" s="13">
        <f>IF('Données projet'!$A$62&gt;35,AI51+AH52-AQ51,IF(A52&lt;'Données projet'!$A$62,$AF$205^A52,IF(A52='Données projet'!$A$62,'Données projet'!$B$62,AI51+AH52-AQ51)))</f>
        <v>526.19999999999982</v>
      </c>
      <c r="AJ52" s="13">
        <f>AI52*VLOOKUP('Données projet'!$B$10,Paramètres!$A$1:$I$89,3,0)*VLOOKUP('Données projet'!$B$10,Paramètres!$A$1:$I$89,5,0)</f>
        <v>246.26159999999993</v>
      </c>
      <c r="AK52" s="13">
        <f t="shared" si="35"/>
        <v>59.784718155826617</v>
      </c>
      <c r="AL52" s="20">
        <f t="shared" si="4"/>
        <v>533.03067078806453</v>
      </c>
      <c r="AM52" s="59">
        <f t="shared" si="5"/>
        <v>826.36400412139778</v>
      </c>
      <c r="AN52" s="59">
        <f ca="1">AVERAGE(OFFSET($AM$3,0,0,'Données projet'!$E$10+1,1))-AVERAGE(OFFSET($H$3,0,0,'Données projet'!$E$10+1,1))</f>
        <v>342.49944586217674</v>
      </c>
      <c r="AO52" s="59">
        <f t="shared" si="36"/>
        <v>282.29766600872563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54.176291679866985</v>
      </c>
      <c r="AV52" s="21">
        <f>EXP(-LN(2)/25)*AV51+(1-EXP(-LN(2)/25))/(LN(2)/25)*Calculateur!AQ52*Calculateur!AS52*VLOOKUP('Données projet'!$B$10,Paramètres!$A$1:$I$89,3,0)*0.475*44/12</f>
        <v>23.667410627747362</v>
      </c>
      <c r="AW52" s="21">
        <f>EXP(-LN(2)/2)*AW51+(1-EXP(-LN(2)/2))/(LN(2)/2)*AQ52*AT52*VLOOKUP('Données projet'!$B$10,Paramètres!$A$1:$I$89,3,0)*0.475*44/12</f>
        <v>1.1434481060638256E-4</v>
      </c>
      <c r="AX52" s="21">
        <f t="shared" si="6"/>
        <v>77.843816652424962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200.80944000000002</v>
      </c>
      <c r="BF52" s="13">
        <f t="shared" si="37"/>
        <v>49.922016299484312</v>
      </c>
      <c r="BG52" s="20">
        <f t="shared" si="7"/>
        <v>436.69061972160188</v>
      </c>
      <c r="BH52" s="59">
        <f t="shared" si="8"/>
        <v>730.02395305493519</v>
      </c>
      <c r="BI52" s="59">
        <f ca="1">AVERAGE(OFFSET($BH$3,0,0,'Données projet'!$E$11+1,1))-AVERAGE(OFFSET($H$3,0,0,'Données projet'!$E$11+1,1))</f>
        <v>279.49721661620544</v>
      </c>
      <c r="BJ52" s="59">
        <f t="shared" si="38"/>
        <v>275.18739333988754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36.35120859224169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36.35120859224169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22.8</v>
      </c>
      <c r="BY52" s="12">
        <f>IF('Données projet'!$A$114&gt;35,BY51+BX52-CG51,IF(A52&lt;'Données projet'!$A$114,$BV$205^A52,IF(A52='Données projet'!$A$114,'Données projet'!$B$114,BY51+BX52-CG51)))</f>
        <v>522.19999999999993</v>
      </c>
      <c r="BZ52" s="13">
        <f>BY52*VLOOKUP('Données projet'!$B$12,Paramètres!$A$1:$I$89,3,0)*VLOOKUP('Données projet'!$B$12,Paramètres!$A$1:$I$89,5,0)</f>
        <v>251.17819999999998</v>
      </c>
      <c r="CA52" s="13">
        <f t="shared" si="39"/>
        <v>60.838165570334283</v>
      </c>
      <c r="CB52" s="20">
        <f t="shared" si="10"/>
        <v>543.42850336833214</v>
      </c>
      <c r="CC52" s="59">
        <f t="shared" si="11"/>
        <v>836.76183670166552</v>
      </c>
      <c r="CD52" s="59">
        <f ca="1">AVERAGE(OFFSET($CC$3,0,0,'Données projet'!$E$12+1,1))-AVERAGE(OFFSET($H$3,0,0,'Données projet'!$E$12+1,1))</f>
        <v>349.65790906807746</v>
      </c>
      <c r="CE52" s="59">
        <f t="shared" si="40"/>
        <v>291.88925884278888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55.681188670974379</v>
      </c>
      <c r="CL52" s="21">
        <f>EXP(-LN(2)/25)*CL51+(1-EXP(-LN(2)/25))/(LN(2)/25)*Calculateur!CG52*Calculateur!CI52*VLOOKUP('Données projet'!$B$12,Paramètres!$A$1:$I$89,3,0)*0.475*44/12</f>
        <v>24.324838700740358</v>
      </c>
      <c r="CM52" s="21">
        <f>EXP(-LN(2)/2)*CM51+(1-EXP(-LN(2)/2))/(LN(2)/2)*CG52*CJ52*VLOOKUP('Données projet'!$B$12,Paramètres!$A$1:$I$89,3,0)*0.475*44/12</f>
        <v>7.0512633207269189E-5</v>
      </c>
      <c r="CN52" s="22">
        <f t="shared" si="12"/>
        <v>80.006097884347938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10.199999999999999</v>
      </c>
      <c r="CT52" s="12">
        <f>IF('Données projet'!$A$140&gt;35,CT51+CS52-DB51,IF(A52&lt;'Données projet'!$A$140,$CQ$205^A52,IF(A52='Données projet'!$A$140,'Données projet'!$B$140,CT51+CS52-DB51)))</f>
        <v>242.8</v>
      </c>
      <c r="CU52" s="17">
        <f>CT52*VLOOKUP('Données projet'!$B$13,Paramètres!$A$1:$I$89,3,0)*VLOOKUP('Données projet'!$B$13,Paramètres!$A$1:$I$89,5,0)</f>
        <v>189.38400000000001</v>
      </c>
      <c r="CV52" s="13">
        <f t="shared" si="41"/>
        <v>47.403738268724076</v>
      </c>
      <c r="CW52" s="20">
        <f t="shared" si="13"/>
        <v>412.40531081802777</v>
      </c>
      <c r="CX52" s="59">
        <f t="shared" si="14"/>
        <v>705.73864415136109</v>
      </c>
      <c r="CY52" s="59">
        <f ca="1">AVERAGE(OFFSET($CX$3,0,0,'Données projet'!$E$13+1,1))-AVERAGE(OFFSET($H$3,0,0,'Données projet'!$E$13+1,1))</f>
        <v>215.84581110302656</v>
      </c>
      <c r="CZ52" s="59">
        <f t="shared" si="42"/>
        <v>193.88588526156104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28.133272924573561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28.133272924573561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11.533333333333331</v>
      </c>
      <c r="N53" s="13">
        <f>IF('Données projet'!$A$36&gt;35,N52+M53-V52,IF(A53&lt;'Données projet'!$A$36,$K$205^A53,IF(A53='Données projet'!$A$36,'Données projet'!$B$36,N52+M53-V52)))</f>
        <v>327.86666666666679</v>
      </c>
      <c r="O53" s="13">
        <f>N53*VLOOKUP('Données projet'!$B$9,Paramètres!$A$1:$I$89,3,0)*VLOOKUP('Données projet'!$B$9,Paramètres!$A$1:$I$89,5,0)</f>
        <v>204.58880000000008</v>
      </c>
      <c r="P53" s="13">
        <f t="shared" si="33"/>
        <v>50.751311773101563</v>
      </c>
      <c r="Q53" s="20">
        <f t="shared" si="53"/>
        <v>444.71736133815199</v>
      </c>
      <c r="R53" s="59">
        <f t="shared" si="0"/>
        <v>738.0506946714853</v>
      </c>
      <c r="S53" s="59">
        <f ca="1">AVERAGE(OFFSET($R$3,0,0,'Données projet'!$E$9+1,1))-AVERAGE(OFFSET($H$3,0,0,'Données projet'!$E$9+1,1))</f>
        <v>269.77739619445515</v>
      </c>
      <c r="T53" s="59">
        <f t="shared" si="34"/>
        <v>347.56964743629885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68.136130879704183</v>
      </c>
      <c r="AA53" s="21">
        <f>EXP(-LN(2)/25)*AA52+(1-EXP(-LN(2)/25))/(LN(2)/25)*Calculateur!V53*Calculateur!X53*VLOOKUP('Données projet'!$B$9,Paramètres!$A$1:$I$89,3,0)*0.475*44/12</f>
        <v>52.692052494904665</v>
      </c>
      <c r="AB53" s="21">
        <f>EXP(-LN(2)/2)*AB52+(1-EXP(-LN(2)/2))/(LN(2)/2)*V53*Y53*VLOOKUP('Données projet'!$B$9,Paramètres!$A$1:$I$89,3,0)*0.475*44/12</f>
        <v>2.425619729197935E-5</v>
      </c>
      <c r="AC53" s="22">
        <f t="shared" si="3"/>
        <v>120.82820763080613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549</v>
      </c>
      <c r="AG53" s="12">
        <f>VLOOKUP(A53,'Données projet'!$A$61:$I$81,9,0)</f>
        <v>22.8</v>
      </c>
      <c r="AH53" s="12">
        <f t="array" ref="AH53">INDEX(AG:AG,MIN(IF(ISNUMBER(AG53:AG249),ROW(AG53:AG249),"")))</f>
        <v>22.8</v>
      </c>
      <c r="AI53" s="13">
        <f>IF('Données projet'!$A$62&gt;35,AI52+AH53-AQ52,IF(A53&lt;'Données projet'!$A$62,$AF$205^A53,IF(A53='Données projet'!$A$62,'Données projet'!$B$62,AI52+AH53-AQ52)))</f>
        <v>548.99999999999977</v>
      </c>
      <c r="AJ53" s="13">
        <f>AI53*VLOOKUP('Données projet'!$B$10,Paramètres!$A$1:$I$89,3,0)*VLOOKUP('Données projet'!$B$10,Paramètres!$A$1:$I$89,5,0)</f>
        <v>256.9319999999999</v>
      </c>
      <c r="AK53" s="13">
        <f t="shared" si="35"/>
        <v>62.067953229346557</v>
      </c>
      <c r="AL53" s="20">
        <f t="shared" si="4"/>
        <v>555.59158520777839</v>
      </c>
      <c r="AM53" s="59">
        <f t="shared" si="5"/>
        <v>848.92491854111177</v>
      </c>
      <c r="AN53" s="59">
        <f ca="1">AVERAGE(OFFSET($AM$3,0,0,'Données projet'!$E$10+1,1))-AVERAGE(OFFSET($H$3,0,0,'Données projet'!$E$10+1,1))</f>
        <v>342.49944586217674</v>
      </c>
      <c r="AO53" s="59">
        <f t="shared" si="36"/>
        <v>282.29766600872563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63</v>
      </c>
      <c r="AR53" s="16">
        <f>IF(ISNA(VLOOKUP(A53,'Données projet'!$A$61:$I$81,5,0)),0%,VLOOKUP(A53,'Données projet'!$A$61:$I$81,5,0)*VLOOKUP('Données projet'!$B$10,Paramètres!$A$1:$I$89,7,0))</f>
        <v>0.55000000000000004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74.625762166598534</v>
      </c>
      <c r="AV53" s="21">
        <f>EXP(-LN(2)/25)*AV52+(1-EXP(-LN(2)/25))/(LN(2)/25)*Calculateur!AQ53*Calculateur!AS53*VLOOKUP('Données projet'!$B$10,Paramètres!$A$1:$I$89,3,0)*0.475*44/12</f>
        <v>23.020224039516577</v>
      </c>
      <c r="AW53" s="21">
        <f>EXP(-LN(2)/2)*AW52+(1-EXP(-LN(2)/2))/(LN(2)/2)*AQ53*AT53*VLOOKUP('Données projet'!$B$10,Paramètres!$A$1:$I$89,3,0)*0.475*44/12</f>
        <v>8.0853990973264568E-5</v>
      </c>
      <c r="AX53" s="21">
        <f t="shared" si="6"/>
        <v>97.646067060106091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207.65160000000006</v>
      </c>
      <c r="BF53" s="13">
        <f t="shared" si="37"/>
        <v>51.422065813018108</v>
      </c>
      <c r="BG53" s="20">
        <f t="shared" si="7"/>
        <v>451.2199679576733</v>
      </c>
      <c r="BH53" s="59">
        <f t="shared" si="8"/>
        <v>744.55330129100662</v>
      </c>
      <c r="BI53" s="59">
        <f ca="1">AVERAGE(OFFSET($BH$3,0,0,'Données projet'!$E$11+1,1))-AVERAGE(OFFSET($H$3,0,0,'Données projet'!$E$11+1,1))</f>
        <v>279.49721661620544</v>
      </c>
      <c r="BJ53" s="59">
        <f t="shared" si="38"/>
        <v>275.18739333988754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44.495071759736859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44.495071759736859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545</v>
      </c>
      <c r="BW53" s="12">
        <f>VLOOKUP(A53,'Données projet'!$A$113:$I$133,9,0)</f>
        <v>22.8</v>
      </c>
      <c r="BX53" s="12">
        <f t="array" ref="BX53">INDEX(BW:BW,MIN(IF(ISNUMBER(BW53:BW249),ROW(BW53:BW249),"")))</f>
        <v>22.8</v>
      </c>
      <c r="BY53" s="12">
        <f>IF('Données projet'!$A$114&gt;35,BY52+BX53-CG52,IF(A53&lt;'Données projet'!$A$114,$BV$205^A53,IF(A53='Données projet'!$A$114,'Données projet'!$B$114,BY52+BX53-CG52)))</f>
        <v>544.99999999999989</v>
      </c>
      <c r="BZ53" s="13">
        <f>BY53*VLOOKUP('Données projet'!$B$12,Paramètres!$A$1:$I$89,3,0)*VLOOKUP('Données projet'!$B$12,Paramètres!$A$1:$I$89,5,0)</f>
        <v>262.14499999999992</v>
      </c>
      <c r="CA53" s="13">
        <f t="shared" si="39"/>
        <v>63.179386408128337</v>
      </c>
      <c r="CB53" s="20">
        <f t="shared" si="10"/>
        <v>566.60663966082336</v>
      </c>
      <c r="CC53" s="59">
        <f t="shared" si="11"/>
        <v>859.93997299415673</v>
      </c>
      <c r="CD53" s="59">
        <f ca="1">AVERAGE(OFFSET($CC$3,0,0,'Données projet'!$E$12+1,1))-AVERAGE(OFFSET($H$3,0,0,'Données projet'!$E$12+1,1))</f>
        <v>349.65790906807746</v>
      </c>
      <c r="CE53" s="59">
        <f t="shared" si="40"/>
        <v>291.88925884278888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63</v>
      </c>
      <c r="CH53" s="16">
        <f>IF(ISNA(VLOOKUP(A53,'Données projet'!$A$113:$I$133,5,0)),0%,VLOOKUP(A53,'Données projet'!$A$113:$I$133,5,0)*VLOOKUP('Données projet'!$B$12,Paramètres!$A$1:$I$89,7,0))</f>
        <v>0.55000000000000004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76.698700004559583</v>
      </c>
      <c r="CL53" s="21">
        <f>EXP(-LN(2)/25)*CL52+(1-EXP(-LN(2)/25))/(LN(2)/25)*Calculateur!CG53*Calculateur!CI53*VLOOKUP('Données projet'!$B$12,Paramètres!$A$1:$I$89,3,0)*0.475*44/12</f>
        <v>23.659674707280942</v>
      </c>
      <c r="CM53" s="21">
        <f>EXP(-LN(2)/2)*CM52+(1-EXP(-LN(2)/2))/(LN(2)/2)*CG53*CJ53*VLOOKUP('Données projet'!$B$12,Paramètres!$A$1:$I$89,3,0)*0.475*44/12</f>
        <v>4.985996110017978E-5</v>
      </c>
      <c r="CN53" s="22">
        <f t="shared" si="12"/>
        <v>100.35842457180162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253</v>
      </c>
      <c r="CR53" s="12">
        <f>VLOOKUP(A53,'Données projet'!$A$139:$I$159,9,0)</f>
        <v>10.199999999999999</v>
      </c>
      <c r="CS53" s="12">
        <f t="array" ref="CS53">INDEX(CR:CR,MIN(IF(ISNUMBER(CR53:CR249),ROW(CR53:CR249),"")))</f>
        <v>10.199999999999999</v>
      </c>
      <c r="CT53" s="12">
        <f>IF('Données projet'!$A$140&gt;35,CT52+CS53-DB52,IF(A53&lt;'Données projet'!$A$140,$CQ$205^A53,IF(A53='Données projet'!$A$140,'Données projet'!$B$140,CT52+CS53-DB52)))</f>
        <v>253</v>
      </c>
      <c r="CU53" s="17">
        <f>CT53*VLOOKUP('Données projet'!$B$13,Paramètres!$A$1:$I$89,3,0)*VLOOKUP('Données projet'!$B$13,Paramètres!$A$1:$I$89,5,0)</f>
        <v>197.34</v>
      </c>
      <c r="CV53" s="13">
        <f t="shared" si="41"/>
        <v>49.159125474269977</v>
      </c>
      <c r="CW53" s="20">
        <f t="shared" si="13"/>
        <v>429.31931020102024</v>
      </c>
      <c r="CX53" s="59">
        <f t="shared" si="14"/>
        <v>722.6526435343535</v>
      </c>
      <c r="CY53" s="59">
        <f ca="1">AVERAGE(OFFSET($CX$3,0,0,'Données projet'!$E$13+1,1))-AVERAGE(OFFSET($H$3,0,0,'Données projet'!$E$13+1,1))</f>
        <v>215.84581110302656</v>
      </c>
      <c r="CZ53" s="59">
        <f t="shared" si="42"/>
        <v>193.88588526156104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30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38.704839560985334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38.704839560985334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11.533333333333331</v>
      </c>
      <c r="N54" s="13">
        <f>IF('Données projet'!$A$36&gt;35,N53+M54-V53,IF(A54&lt;'Données projet'!$A$36,$K$205^A54,IF(A54='Données projet'!$A$36,'Données projet'!$B$36,N53+M54-V53)))</f>
        <v>339.40000000000009</v>
      </c>
      <c r="O54" s="13">
        <f>N54*VLOOKUP('Données projet'!$B$9,Paramètres!$A$1:$I$89,3,0)*VLOOKUP('Données projet'!$B$9,Paramètres!$A$1:$I$89,5,0)</f>
        <v>211.78560000000004</v>
      </c>
      <c r="P54" s="13">
        <f t="shared" si="33"/>
        <v>52.325591735507324</v>
      </c>
      <c r="Q54" s="20">
        <f t="shared" si="53"/>
        <v>459.99365893934191</v>
      </c>
      <c r="R54" s="59">
        <f t="shared" si="0"/>
        <v>753.32699227267517</v>
      </c>
      <c r="S54" s="59">
        <f ca="1">AVERAGE(OFFSET($R$3,0,0,'Données projet'!$E$9+1,1))-AVERAGE(OFFSET($H$3,0,0,'Données projet'!$E$9+1,1))</f>
        <v>269.77739619445515</v>
      </c>
      <c r="T54" s="59">
        <f t="shared" si="34"/>
        <v>347.56964743629885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66.800022912089418</v>
      </c>
      <c r="AA54" s="21">
        <f>EXP(-LN(2)/25)*AA53+(1-EXP(-LN(2)/25))/(LN(2)/25)*Calculateur!V54*Calculateur!X54*VLOOKUP('Données projet'!$B$9,Paramètres!$A$1:$I$89,3,0)*0.475*44/12</f>
        <v>51.251185548476883</v>
      </c>
      <c r="AB54" s="21">
        <f>EXP(-LN(2)/2)*AB53+(1-EXP(-LN(2)/2))/(LN(2)/2)*V54*Y54*VLOOKUP('Données projet'!$B$9,Paramètres!$A$1:$I$89,3,0)*0.475*44/12</f>
        <v>1.7151721590957369E-5</v>
      </c>
      <c r="AC54" s="22">
        <f t="shared" si="3"/>
        <v>118.05122561228789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21.6</v>
      </c>
      <c r="AI54" s="13">
        <f>IF('Données projet'!$A$62&gt;35,AI53+AH54-AQ53,IF(A54&lt;'Données projet'!$A$62,$AF$205^A54,IF(A54='Données projet'!$A$62,'Données projet'!$B$62,AI53+AH54-AQ53)))</f>
        <v>507.5999999999998</v>
      </c>
      <c r="AJ54" s="13">
        <f>AI54*VLOOKUP('Données projet'!$B$10,Paramètres!$A$1:$I$89,3,0)*VLOOKUP('Données projet'!$B$10,Paramètres!$A$1:$I$89,5,0)</f>
        <v>237.55679999999992</v>
      </c>
      <c r="AK54" s="13">
        <f t="shared" si="35"/>
        <v>57.913551469467308</v>
      </c>
      <c r="AL54" s="20">
        <f t="shared" si="4"/>
        <v>514.61086214265538</v>
      </c>
      <c r="AM54" s="59">
        <f t="shared" si="5"/>
        <v>807.94419547598864</v>
      </c>
      <c r="AN54" s="59">
        <f ca="1">AVERAGE(OFFSET($AM$3,0,0,'Données projet'!$E$10+1,1))-AVERAGE(OFFSET($H$3,0,0,'Données projet'!$E$10+1,1))</f>
        <v>342.49944586217674</v>
      </c>
      <c r="AO54" s="59">
        <f t="shared" si="36"/>
        <v>282.29766600872563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73.162396487732011</v>
      </c>
      <c r="AV54" s="21">
        <f>EXP(-LN(2)/25)*AV53+(1-EXP(-LN(2)/25))/(LN(2)/25)*Calculateur!AQ54*Calculateur!AS54*VLOOKUP('Données projet'!$B$10,Paramètres!$A$1:$I$89,3,0)*0.475*44/12</f>
        <v>22.390734802575029</v>
      </c>
      <c r="AW54" s="21">
        <f>EXP(-LN(2)/2)*AW53+(1-EXP(-LN(2)/2))/(LN(2)/2)*AQ54*AT54*VLOOKUP('Données projet'!$B$10,Paramètres!$A$1:$I$89,3,0)*0.475*44/12</f>
        <v>5.7172405303191278E-5</v>
      </c>
      <c r="AX54" s="21">
        <f t="shared" si="6"/>
        <v>95.553188462712342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198.42264000000003</v>
      </c>
      <c r="BF54" s="13">
        <f t="shared" si="37"/>
        <v>49.397352151183256</v>
      </c>
      <c r="BG54" s="20">
        <f t="shared" si="7"/>
        <v>431.61981966331086</v>
      </c>
      <c r="BH54" s="59">
        <f t="shared" si="8"/>
        <v>724.95315299664412</v>
      </c>
      <c r="BI54" s="59">
        <f ca="1">AVERAGE(OFFSET($BH$3,0,0,'Données projet'!$E$11+1,1))-AVERAGE(OFFSET($H$3,0,0,'Données projet'!$E$11+1,1))</f>
        <v>279.49721661620544</v>
      </c>
      <c r="BJ54" s="59">
        <f t="shared" si="38"/>
        <v>275.18739333988754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43.622550541842408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43.622550541842408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21.6</v>
      </c>
      <c r="BY54" s="12">
        <f>IF('Données projet'!$A$114&gt;35,BY53+BX54-CG53,IF(A54&lt;'Données projet'!$A$114,$BV$205^A54,IF(A54='Données projet'!$A$114,'Données projet'!$B$114,BY53+BX54-CG53)))</f>
        <v>503.59999999999991</v>
      </c>
      <c r="BZ54" s="13">
        <f>BY54*VLOOKUP('Données projet'!$B$12,Paramètres!$A$1:$I$89,3,0)*VLOOKUP('Données projet'!$B$12,Paramètres!$A$1:$I$89,5,0)</f>
        <v>242.23159999999996</v>
      </c>
      <c r="CA54" s="13">
        <f t="shared" si="39"/>
        <v>58.919411154104885</v>
      </c>
      <c r="CB54" s="20">
        <f t="shared" si="10"/>
        <v>524.50467776006587</v>
      </c>
      <c r="CC54" s="59">
        <f t="shared" si="11"/>
        <v>817.83801109339925</v>
      </c>
      <c r="CD54" s="59">
        <f ca="1">AVERAGE(OFFSET($CC$3,0,0,'Données projet'!$E$12+1,1))-AVERAGE(OFFSET($H$3,0,0,'Données projet'!$E$12+1,1))</f>
        <v>349.65790906807746</v>
      </c>
      <c r="CE54" s="59">
        <f t="shared" si="40"/>
        <v>291.88925884278888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75.194685279057879</v>
      </c>
      <c r="CL54" s="21">
        <f>EXP(-LN(2)/25)*CL53+(1-EXP(-LN(2)/25))/(LN(2)/25)*Calculateur!CG54*Calculateur!CI54*VLOOKUP('Données projet'!$B$12,Paramètres!$A$1:$I$89,3,0)*0.475*44/12</f>
        <v>23.012699658202127</v>
      </c>
      <c r="CM54" s="21">
        <f>EXP(-LN(2)/2)*CM53+(1-EXP(-LN(2)/2))/(LN(2)/2)*CG54*CJ54*VLOOKUP('Données projet'!$B$12,Paramètres!$A$1:$I$89,3,0)*0.475*44/12</f>
        <v>3.5256316603634595E-5</v>
      </c>
      <c r="CN54" s="22">
        <f t="shared" si="12"/>
        <v>98.20742019357661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8.1999999999999993</v>
      </c>
      <c r="CT54" s="12">
        <f>IF('Données projet'!$A$140&gt;35,CT53+CS54-DB53,IF(A54&lt;'Données projet'!$A$140,$CQ$205^A54,IF(A54='Données projet'!$A$140,'Données projet'!$B$140,CT53+CS54-DB53)))</f>
        <v>231.2</v>
      </c>
      <c r="CU54" s="17">
        <f>CT54*VLOOKUP('Données projet'!$B$13,Paramètres!$A$1:$I$89,3,0)*VLOOKUP('Données projet'!$B$13,Paramètres!$A$1:$I$89,5,0)</f>
        <v>180.33599999999998</v>
      </c>
      <c r="CV54" s="13">
        <f t="shared" si="41"/>
        <v>45.396931860513298</v>
      </c>
      <c r="CW54" s="20">
        <f t="shared" si="13"/>
        <v>393.15152299039391</v>
      </c>
      <c r="CX54" s="59">
        <f t="shared" si="14"/>
        <v>686.48485632372717</v>
      </c>
      <c r="CY54" s="59">
        <f ca="1">AVERAGE(OFFSET($CX$3,0,0,'Données projet'!$E$13+1,1))-AVERAGE(OFFSET($H$3,0,0,'Données projet'!$E$13+1,1))</f>
        <v>215.84581110302656</v>
      </c>
      <c r="CZ54" s="59">
        <f t="shared" si="42"/>
        <v>193.88588526156104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37.945861264815484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37.945861264815484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11.533333333333331</v>
      </c>
      <c r="N55" s="13">
        <f>IF('Données projet'!$A$36&gt;35,N54+M55-V54,IF(A55&lt;'Données projet'!$A$36,$K$205^A55,IF(A55='Données projet'!$A$36,'Données projet'!$B$36,N54+M55-V54)))</f>
        <v>350.93333333333339</v>
      </c>
      <c r="O55" s="13">
        <f>N55*VLOOKUP('Données projet'!$B$9,Paramètres!$A$1:$I$89,3,0)*VLOOKUP('Données projet'!$B$9,Paramètres!$A$1:$I$89,5,0)</f>
        <v>218.98240000000004</v>
      </c>
      <c r="P55" s="13">
        <f t="shared" si="33"/>
        <v>53.893655746249046</v>
      </c>
      <c r="Q55" s="20">
        <f t="shared" si="53"/>
        <v>475.25913042471711</v>
      </c>
      <c r="R55" s="59">
        <f t="shared" si="0"/>
        <v>768.59246375805037</v>
      </c>
      <c r="S55" s="59">
        <f ca="1">AVERAGE(OFFSET($R$3,0,0,'Données projet'!$E$9+1,1))-AVERAGE(OFFSET($H$3,0,0,'Données projet'!$E$9+1,1))</f>
        <v>269.77739619445515</v>
      </c>
      <c r="T55" s="59">
        <f t="shared" si="34"/>
        <v>347.56964743629885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65.490115206774192</v>
      </c>
      <c r="AA55" s="21">
        <f>EXP(-LN(2)/25)*AA54+(1-EXP(-LN(2)/25))/(LN(2)/25)*Calculateur!V55*Calculateur!X55*VLOOKUP('Données projet'!$B$9,Paramètres!$A$1:$I$89,3,0)*0.475*44/12</f>
        <v>49.84971918447107</v>
      </c>
      <c r="AB55" s="21">
        <f>EXP(-LN(2)/2)*AB54+(1-EXP(-LN(2)/2))/(LN(2)/2)*V55*Y55*VLOOKUP('Données projet'!$B$9,Paramètres!$A$1:$I$89,3,0)*0.475*44/12</f>
        <v>1.2128098645989675E-5</v>
      </c>
      <c r="AC55" s="22">
        <f t="shared" si="3"/>
        <v>115.33984651934391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21.6</v>
      </c>
      <c r="AI55" s="13">
        <f>IF('Données projet'!$A$62&gt;35,AI54+AH55-AQ54,IF(A55&lt;'Données projet'!$A$62,$AF$205^A55,IF(A55='Données projet'!$A$62,'Données projet'!$B$62,AI54+AH55-AQ54)))</f>
        <v>529.19999999999982</v>
      </c>
      <c r="AJ55" s="13">
        <f>AI55*VLOOKUP('Données projet'!$B$10,Paramètres!$A$1:$I$89,3,0)*VLOOKUP('Données projet'!$B$10,Paramètres!$A$1:$I$89,5,0)</f>
        <v>247.6655999999999</v>
      </c>
      <c r="AK55" s="13">
        <f t="shared" si="35"/>
        <v>60.085791620819229</v>
      </c>
      <c r="AL55" s="20">
        <f t="shared" si="4"/>
        <v>536.00034040625997</v>
      </c>
      <c r="AM55" s="59">
        <f t="shared" si="5"/>
        <v>829.33367373959322</v>
      </c>
      <c r="AN55" s="59">
        <f ca="1">AVERAGE(OFFSET($AM$3,0,0,'Données projet'!$E$10+1,1))-AVERAGE(OFFSET($H$3,0,0,'Données projet'!$E$10+1,1))</f>
        <v>342.49944586217674</v>
      </c>
      <c r="AO55" s="59">
        <f t="shared" si="36"/>
        <v>282.29766600872563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71.727726517263122</v>
      </c>
      <c r="AV55" s="21">
        <f>EXP(-LN(2)/25)*AV54+(1-EXP(-LN(2)/25))/(LN(2)/25)*Calculateur!AQ55*Calculateur!AS55*VLOOKUP('Données projet'!$B$10,Paramètres!$A$1:$I$89,3,0)*0.475*44/12</f>
        <v>21.778458981921045</v>
      </c>
      <c r="AW55" s="21">
        <f>EXP(-LN(2)/2)*AW54+(1-EXP(-LN(2)/2))/(LN(2)/2)*AQ55*AT55*VLOOKUP('Données projet'!$B$10,Paramètres!$A$1:$I$89,3,0)*0.475*44/12</f>
        <v>4.0426995486632284E-5</v>
      </c>
      <c r="AX55" s="21">
        <f t="shared" si="6"/>
        <v>93.506225926179653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204.31008000000003</v>
      </c>
      <c r="BF55" s="13">
        <f t="shared" si="37"/>
        <v>50.690214235398379</v>
      </c>
      <c r="BG55" s="20">
        <f t="shared" si="7"/>
        <v>444.12551245998549</v>
      </c>
      <c r="BH55" s="59">
        <f t="shared" si="8"/>
        <v>737.4588457933188</v>
      </c>
      <c r="BI55" s="59">
        <f ca="1">AVERAGE(OFFSET($BH$3,0,0,'Données projet'!$E$11+1,1))-AVERAGE(OFFSET($H$3,0,0,'Données projet'!$E$11+1,1))</f>
        <v>279.49721661620544</v>
      </c>
      <c r="BJ55" s="59">
        <f t="shared" si="38"/>
        <v>275.18739333988754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42.767138932845469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42.767138932845469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21.6</v>
      </c>
      <c r="BY55" s="12">
        <f>IF('Données projet'!$A$114&gt;35,BY54+BX55-CG54,IF(A55&lt;'Données projet'!$A$114,$BV$205^A55,IF(A55='Données projet'!$A$114,'Données projet'!$B$114,BY54+BX55-CG54)))</f>
        <v>525.19999999999993</v>
      </c>
      <c r="BZ55" s="13">
        <f>BY55*VLOOKUP('Données projet'!$B$12,Paramètres!$A$1:$I$89,3,0)*VLOOKUP('Données projet'!$B$12,Paramètres!$A$1:$I$89,5,0)</f>
        <v>252.62119999999999</v>
      </c>
      <c r="CA55" s="13">
        <f t="shared" si="39"/>
        <v>61.146890202488045</v>
      </c>
      <c r="CB55" s="20">
        <f t="shared" si="10"/>
        <v>546.47942376933327</v>
      </c>
      <c r="CC55" s="59">
        <f t="shared" si="11"/>
        <v>839.81275710266664</v>
      </c>
      <c r="CD55" s="59">
        <f ca="1">AVERAGE(OFFSET($CC$3,0,0,'Données projet'!$E$12+1,1))-AVERAGE(OFFSET($H$3,0,0,'Données projet'!$E$12+1,1))</f>
        <v>349.65790906807746</v>
      </c>
      <c r="CE55" s="59">
        <f t="shared" si="40"/>
        <v>291.88925884278888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73.720163364964861</v>
      </c>
      <c r="CL55" s="21">
        <f>EXP(-LN(2)/25)*CL54+(1-EXP(-LN(2)/25))/(LN(2)/25)*Calculateur!CG55*Calculateur!CI55*VLOOKUP('Données projet'!$B$12,Paramètres!$A$1:$I$89,3,0)*0.475*44/12</f>
        <v>22.38341617586331</v>
      </c>
      <c r="CM55" s="21">
        <f>EXP(-LN(2)/2)*CM54+(1-EXP(-LN(2)/2))/(LN(2)/2)*CG55*CJ55*VLOOKUP('Données projet'!$B$12,Paramètres!$A$1:$I$89,3,0)*0.475*44/12</f>
        <v>2.492998055008989E-5</v>
      </c>
      <c r="CN55" s="22">
        <f t="shared" si="12"/>
        <v>96.103604470808733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8.1999999999999993</v>
      </c>
      <c r="CT55" s="12">
        <f>IF('Données projet'!$A$140&gt;35,CT54+CS55-DB54,IF(A55&lt;'Données projet'!$A$140,$CQ$205^A55,IF(A55='Données projet'!$A$140,'Données projet'!$B$140,CT54+CS55-DB54)))</f>
        <v>239.39999999999998</v>
      </c>
      <c r="CU55" s="17">
        <f>CT55*VLOOKUP('Données projet'!$B$13,Paramètres!$A$1:$I$89,3,0)*VLOOKUP('Données projet'!$B$13,Paramètres!$A$1:$I$89,5,0)</f>
        <v>186.732</v>
      </c>
      <c r="CV55" s="13">
        <f t="shared" si="41"/>
        <v>46.81671651923142</v>
      </c>
      <c r="CW55" s="20">
        <f t="shared" si="13"/>
        <v>406.764014604328</v>
      </c>
      <c r="CX55" s="59">
        <f t="shared" si="14"/>
        <v>700.09734793766131</v>
      </c>
      <c r="CY55" s="59">
        <f ca="1">AVERAGE(OFFSET($CX$3,0,0,'Données projet'!$E$13+1,1))-AVERAGE(OFFSET($H$3,0,0,'Données projet'!$E$13+1,1))</f>
        <v>215.84581110302656</v>
      </c>
      <c r="CZ55" s="59">
        <f t="shared" si="42"/>
        <v>193.88588526156104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37.201766070102472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37.201766070102472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11.533333333333331</v>
      </c>
      <c r="N56" s="13">
        <f>IF('Données projet'!$A$36&gt;35,N55+M56-V55,IF(A56&lt;'Données projet'!$A$36,$K$205^A56,IF(A56='Données projet'!$A$36,'Données projet'!$B$36,N55+M56-V55)))</f>
        <v>362.4666666666667</v>
      </c>
      <c r="O56" s="13">
        <f>N56*VLOOKUP('Données projet'!$B$9,Paramètres!$A$1:$I$89,3,0)*VLOOKUP('Données projet'!$B$9,Paramètres!$A$1:$I$89,5,0)</f>
        <v>226.17920000000001</v>
      </c>
      <c r="P56" s="13">
        <f t="shared" si="33"/>
        <v>55.455731517393232</v>
      </c>
      <c r="Q56" s="20">
        <f t="shared" si="53"/>
        <v>490.51417239279317</v>
      </c>
      <c r="R56" s="59">
        <f t="shared" si="0"/>
        <v>783.84750572612643</v>
      </c>
      <c r="S56" s="59">
        <f ca="1">AVERAGE(OFFSET($R$3,0,0,'Données projet'!$E$9+1,1))-AVERAGE(OFFSET($H$3,0,0,'Données projet'!$E$9+1,1))</f>
        <v>269.77739619445515</v>
      </c>
      <c r="T56" s="59">
        <f t="shared" si="34"/>
        <v>347.56964743629885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64.205893992595378</v>
      </c>
      <c r="AA56" s="21">
        <f>EXP(-LN(2)/25)*AA55+(1-EXP(-LN(2)/25))/(LN(2)/25)*Calculateur!V56*Calculateur!X56*VLOOKUP('Données projet'!$B$9,Paramètres!$A$1:$I$89,3,0)*0.475*44/12</f>
        <v>48.486575991888913</v>
      </c>
      <c r="AB56" s="21">
        <f>EXP(-LN(2)/2)*AB55+(1-EXP(-LN(2)/2))/(LN(2)/2)*V56*Y56*VLOOKUP('Données projet'!$B$9,Paramètres!$A$1:$I$89,3,0)*0.475*44/12</f>
        <v>8.5758607954786843E-6</v>
      </c>
      <c r="AC56" s="22">
        <f t="shared" si="3"/>
        <v>112.69247856034508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21.6</v>
      </c>
      <c r="AI56" s="13">
        <f>IF('Données projet'!$A$62&gt;35,AI55+AH56-AQ55,IF(A56&lt;'Données projet'!$A$62,$AF$205^A56,IF(A56='Données projet'!$A$62,'Données projet'!$B$62,AI55+AH56-AQ55)))</f>
        <v>550.79999999999984</v>
      </c>
      <c r="AJ56" s="13">
        <f>AI56*VLOOKUP('Données projet'!$B$10,Paramètres!$A$1:$I$89,3,0)*VLOOKUP('Données projet'!$B$10,Paramètres!$A$1:$I$89,5,0)</f>
        <v>257.7743999999999</v>
      </c>
      <c r="AK56" s="13">
        <f t="shared" si="35"/>
        <v>62.247732872134243</v>
      </c>
      <c r="AL56" s="20">
        <f t="shared" si="4"/>
        <v>557.37188141896695</v>
      </c>
      <c r="AM56" s="59">
        <f t="shared" si="5"/>
        <v>850.70521475230021</v>
      </c>
      <c r="AN56" s="59">
        <f ca="1">AVERAGE(OFFSET($AM$3,0,0,'Données projet'!$E$10+1,1))-AVERAGE(OFFSET($H$3,0,0,'Données projet'!$E$10+1,1))</f>
        <v>342.49944586217674</v>
      </c>
      <c r="AO56" s="59">
        <f t="shared" si="36"/>
        <v>282.29766600872563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70.321189549852861</v>
      </c>
      <c r="AV56" s="21">
        <f>EXP(-LN(2)/25)*AV55+(1-EXP(-LN(2)/25))/(LN(2)/25)*Calculateur!AQ56*Calculateur!AS56*VLOOKUP('Données projet'!$B$10,Paramètres!$A$1:$I$89,3,0)*0.475*44/12</f>
        <v>21.182925875781031</v>
      </c>
      <c r="AW56" s="21">
        <f>EXP(-LN(2)/2)*AW55+(1-EXP(-LN(2)/2))/(LN(2)/2)*AQ56*AT56*VLOOKUP('Données projet'!$B$10,Paramètres!$A$1:$I$89,3,0)*0.475*44/12</f>
        <v>2.8586202651595639E-5</v>
      </c>
      <c r="AX56" s="21">
        <f t="shared" si="6"/>
        <v>91.504144011836544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210.19752</v>
      </c>
      <c r="BF56" s="13">
        <f t="shared" si="37"/>
        <v>51.978746425856599</v>
      </c>
      <c r="BG56" s="20">
        <f t="shared" si="7"/>
        <v>456.62366402503358</v>
      </c>
      <c r="BH56" s="59">
        <f t="shared" si="8"/>
        <v>749.95699735836683</v>
      </c>
      <c r="BI56" s="59">
        <f ca="1">AVERAGE(OFFSET($BH$3,0,0,'Données projet'!$E$11+1,1))-AVERAGE(OFFSET($H$3,0,0,'Données projet'!$E$11+1,1))</f>
        <v>279.49721661620544</v>
      </c>
      <c r="BJ56" s="59">
        <f t="shared" si="38"/>
        <v>275.18739333988754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41.928501423751399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41.928501423751399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21.6</v>
      </c>
      <c r="BY56" s="12">
        <f>IF('Données projet'!$A$114&gt;35,BY55+BX56-CG55,IF(A56&lt;'Données projet'!$A$114,$BV$205^A56,IF(A56='Données projet'!$A$114,'Données projet'!$B$114,BY55+BX56-CG55)))</f>
        <v>546.79999999999995</v>
      </c>
      <c r="BZ56" s="13">
        <f>BY56*VLOOKUP('Données projet'!$B$12,Paramètres!$A$1:$I$89,3,0)*VLOOKUP('Données projet'!$B$12,Paramètres!$A$1:$I$89,5,0)</f>
        <v>263.01079999999996</v>
      </c>
      <c r="CA56" s="13">
        <f t="shared" si="39"/>
        <v>63.363728167471194</v>
      </c>
      <c r="CB56" s="20">
        <f t="shared" si="10"/>
        <v>568.43563655834566</v>
      </c>
      <c r="CC56" s="59">
        <f t="shared" si="11"/>
        <v>861.76896989167903</v>
      </c>
      <c r="CD56" s="59">
        <f ca="1">AVERAGE(OFFSET($CC$3,0,0,'Données projet'!$E$12+1,1))-AVERAGE(OFFSET($H$3,0,0,'Données projet'!$E$12+1,1))</f>
        <v>349.65790906807746</v>
      </c>
      <c r="CE56" s="59">
        <f t="shared" si="40"/>
        <v>291.88925884278888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72.274555926237639</v>
      </c>
      <c r="CL56" s="21">
        <f>EXP(-LN(2)/25)*CL55+(1-EXP(-LN(2)/25))/(LN(2)/25)*Calculateur!CG56*Calculateur!CI56*VLOOKUP('Données projet'!$B$12,Paramètres!$A$1:$I$89,3,0)*0.475*44/12</f>
        <v>21.77134048344163</v>
      </c>
      <c r="CM56" s="21">
        <f>EXP(-LN(2)/2)*CM55+(1-EXP(-LN(2)/2))/(LN(2)/2)*CG56*CJ56*VLOOKUP('Données projet'!$B$12,Paramètres!$A$1:$I$89,3,0)*0.475*44/12</f>
        <v>1.7628158301817297E-5</v>
      </c>
      <c r="CN56" s="22">
        <f t="shared" si="12"/>
        <v>94.045914037837576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8.1999999999999993</v>
      </c>
      <c r="CT56" s="12">
        <f>IF('Données projet'!$A$140&gt;35,CT55+CS56-DB55,IF(A56&lt;'Données projet'!$A$140,$CQ$205^A56,IF(A56='Données projet'!$A$140,'Données projet'!$B$140,CT55+CS56-DB55)))</f>
        <v>247.59999999999997</v>
      </c>
      <c r="CU56" s="17">
        <f>CT56*VLOOKUP('Données projet'!$B$13,Paramètres!$A$1:$I$89,3,0)*VLOOKUP('Données projet'!$B$13,Paramètres!$A$1:$I$89,5,0)</f>
        <v>193.12799999999999</v>
      </c>
      <c r="CV56" s="13">
        <f t="shared" si="41"/>
        <v>48.230850644982517</v>
      </c>
      <c r="CW56" s="20">
        <f t="shared" si="13"/>
        <v>420.36666487334452</v>
      </c>
      <c r="CX56" s="59">
        <f t="shared" si="14"/>
        <v>713.69999820667783</v>
      </c>
      <c r="CY56" s="59">
        <f ca="1">AVERAGE(OFFSET($CX$3,0,0,'Données projet'!$E$13+1,1))-AVERAGE(OFFSET($H$3,0,0,'Données projet'!$E$13+1,1))</f>
        <v>215.84581110302656</v>
      </c>
      <c r="CZ56" s="59">
        <f t="shared" si="42"/>
        <v>193.88588526156104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36.472262128304529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36.472262128304529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374</v>
      </c>
      <c r="L57" s="12">
        <f>VLOOKUP(A57,'Données projet'!$A$35:$I$55,9,0)</f>
        <v>11.533333333333331</v>
      </c>
      <c r="M57" s="12">
        <f t="array" ref="M57">INDEX(L:L,MIN(IF(ISNUMBER(L57:L253),ROW(L57:L253),"")))</f>
        <v>11.533333333333331</v>
      </c>
      <c r="N57" s="13">
        <f>IF('Données projet'!$A$36&gt;35,N56+M57-V56,IF(A57&lt;'Données projet'!$A$36,$K$205^A57,IF(A57='Données projet'!$A$36,'Données projet'!$B$36,N56+M57-V56)))</f>
        <v>374</v>
      </c>
      <c r="O57" s="13">
        <f>N57*VLOOKUP('Données projet'!$B$9,Paramètres!$A$1:$I$89,3,0)*VLOOKUP('Données projet'!$B$9,Paramètres!$A$1:$I$89,5,0)</f>
        <v>233.37599999999998</v>
      </c>
      <c r="P57" s="13">
        <f t="shared" si="33"/>
        <v>57.012031446990107</v>
      </c>
      <c r="Q57" s="20">
        <f t="shared" si="53"/>
        <v>505.75915477017446</v>
      </c>
      <c r="R57" s="59">
        <f t="shared" si="0"/>
        <v>799.09248810350778</v>
      </c>
      <c r="S57" s="59">
        <f ca="1">AVERAGE(OFFSET($R$3,0,0,'Données projet'!$E$9+1,1))-AVERAGE(OFFSET($H$3,0,0,'Données projet'!$E$9+1,1))</f>
        <v>269.77739619445515</v>
      </c>
      <c r="T57" s="59">
        <f t="shared" si="34"/>
        <v>347.56964743629885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46.9</v>
      </c>
      <c r="W57" s="16">
        <f>IF(ISNA(VLOOKUP(A57,'Données projet'!$A$35:$I$55,5,0)),0%,VLOOKUP(A57,'Données projet'!$A$35:$I$55,5,0)*VLOOKUP('Données projet'!$B$9,Paramètres!$A$1:$I$89,7,0))</f>
        <v>0.6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86.240478409395863</v>
      </c>
      <c r="AA57" s="21">
        <f>EXP(-LN(2)/25)*AA56+(1-EXP(-LN(2)/25))/(LN(2)/25)*Calculateur!V57*Calculateur!X57*VLOOKUP('Données projet'!$B$9,Paramètres!$A$1:$I$89,3,0)*0.475*44/12</f>
        <v>47.160708021592498</v>
      </c>
      <c r="AB57" s="21">
        <f>EXP(-LN(2)/2)*AB56+(1-EXP(-LN(2)/2))/(LN(2)/2)*V57*Y57*VLOOKUP('Données projet'!$B$9,Paramètres!$A$1:$I$89,3,0)*0.475*44/12</f>
        <v>6.0640493229948375E-6</v>
      </c>
      <c r="AC57" s="22">
        <f t="shared" si="3"/>
        <v>133.40119249503769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21.6</v>
      </c>
      <c r="AI57" s="13">
        <f>IF('Données projet'!$A$62&gt;35,AI56+AH57-AQ56,IF(A57&lt;'Données projet'!$A$62,$AF$205^A57,IF(A57='Données projet'!$A$62,'Données projet'!$B$62,AI56+AH57-AQ56)))</f>
        <v>572.39999999999986</v>
      </c>
      <c r="AJ57" s="13">
        <f>AI57*VLOOKUP('Données projet'!$B$10,Paramètres!$A$1:$I$89,3,0)*VLOOKUP('Données projet'!$B$10,Paramètres!$A$1:$I$89,5,0)</f>
        <v>267.88319999999993</v>
      </c>
      <c r="AK57" s="13">
        <f t="shared" si="35"/>
        <v>64.399825320774326</v>
      </c>
      <c r="AL57" s="20">
        <f t="shared" si="4"/>
        <v>578.72626910034842</v>
      </c>
      <c r="AM57" s="59">
        <f t="shared" si="5"/>
        <v>872.05960243368168</v>
      </c>
      <c r="AN57" s="59">
        <f ca="1">AVERAGE(OFFSET($AM$3,0,0,'Données projet'!$E$10+1,1))-AVERAGE(OFFSET($H$3,0,0,'Données projet'!$E$10+1,1))</f>
        <v>342.49944586217674</v>
      </c>
      <c r="AO57" s="59">
        <f t="shared" si="36"/>
        <v>282.29766600872563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68.942233914470663</v>
      </c>
      <c r="AV57" s="21">
        <f>EXP(-LN(2)/25)*AV56+(1-EXP(-LN(2)/25))/(LN(2)/25)*Calculateur!AQ57*Calculateur!AS57*VLOOKUP('Données projet'!$B$10,Paramètres!$A$1:$I$89,3,0)*0.475*44/12</f>
        <v>20.603677653746139</v>
      </c>
      <c r="AW57" s="21">
        <f>EXP(-LN(2)/2)*AW56+(1-EXP(-LN(2)/2))/(LN(2)/2)*AQ57*AT57*VLOOKUP('Données projet'!$B$10,Paramètres!$A$1:$I$89,3,0)*0.475*44/12</f>
        <v>2.0213497743316142E-5</v>
      </c>
      <c r="AX57" s="21">
        <f t="shared" si="6"/>
        <v>89.545931781714557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216.08496</v>
      </c>
      <c r="BF57" s="13">
        <f t="shared" si="37"/>
        <v>53.26308393083157</v>
      </c>
      <c r="BG57" s="20">
        <f t="shared" si="7"/>
        <v>469.11450984619825</v>
      </c>
      <c r="BH57" s="59">
        <f t="shared" si="8"/>
        <v>762.44784317953156</v>
      </c>
      <c r="BI57" s="59">
        <f ca="1">AVERAGE(OFFSET($BH$3,0,0,'Données projet'!$E$11+1,1))-AVERAGE(OFFSET($H$3,0,0,'Données projet'!$E$11+1,1))</f>
        <v>279.49721661620544</v>
      </c>
      <c r="BJ57" s="59">
        <f t="shared" si="38"/>
        <v>275.18739333988754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41.106309084692292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41.106309084692292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21.6</v>
      </c>
      <c r="BY57" s="12">
        <f>IF('Données projet'!$A$114&gt;35,BY56+BX57-CG56,IF(A57&lt;'Données projet'!$A$114,$BV$205^A57,IF(A57='Données projet'!$A$114,'Données projet'!$B$114,BY56+BX57-CG56)))</f>
        <v>568.4</v>
      </c>
      <c r="BZ57" s="13">
        <f>BY57*VLOOKUP('Données projet'!$B$12,Paramètres!$A$1:$I$89,3,0)*VLOOKUP('Données projet'!$B$12,Paramètres!$A$1:$I$89,5,0)</f>
        <v>273.40039999999999</v>
      </c>
      <c r="CA57" s="13">
        <f t="shared" si="39"/>
        <v>65.570393498809111</v>
      </c>
      <c r="CB57" s="20">
        <f t="shared" si="10"/>
        <v>590.3741320104258</v>
      </c>
      <c r="CC57" s="59">
        <f t="shared" si="11"/>
        <v>883.70746534375917</v>
      </c>
      <c r="CD57" s="59">
        <f ca="1">AVERAGE(OFFSET($CC$3,0,0,'Données projet'!$E$12+1,1))-AVERAGE(OFFSET($H$3,0,0,'Données projet'!$E$12+1,1))</f>
        <v>349.65790906807746</v>
      </c>
      <c r="CE57" s="59">
        <f t="shared" si="40"/>
        <v>291.88925884278888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70.857295967650387</v>
      </c>
      <c r="CL57" s="21">
        <f>EXP(-LN(2)/25)*CL56+(1-EXP(-LN(2)/25))/(LN(2)/25)*Calculateur!CG57*Calculateur!CI57*VLOOKUP('Données projet'!$B$12,Paramètres!$A$1:$I$89,3,0)*0.475*44/12</f>
        <v>21.176002033016882</v>
      </c>
      <c r="CM57" s="21">
        <f>EXP(-LN(2)/2)*CM56+(1-EXP(-LN(2)/2))/(LN(2)/2)*CG57*CJ57*VLOOKUP('Données projet'!$B$12,Paramètres!$A$1:$I$89,3,0)*0.475*44/12</f>
        <v>1.2464990275044945E-5</v>
      </c>
      <c r="CN57" s="22">
        <f t="shared" si="12"/>
        <v>92.03331046565755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8.1999999999999993</v>
      </c>
      <c r="CT57" s="12">
        <f>IF('Données projet'!$A$140&gt;35,CT56+CS57-DB56,IF(A57&lt;'Données projet'!$A$140,$CQ$205^A57,IF(A57='Données projet'!$A$140,'Données projet'!$B$140,CT56+CS57-DB56)))</f>
        <v>255.79999999999995</v>
      </c>
      <c r="CU57" s="17">
        <f>CT57*VLOOKUP('Données projet'!$B$13,Paramètres!$A$1:$I$89,3,0)*VLOOKUP('Données projet'!$B$13,Paramètres!$A$1:$I$89,5,0)</f>
        <v>199.52399999999997</v>
      </c>
      <c r="CV57" s="13">
        <f t="shared" si="41"/>
        <v>49.639542829407041</v>
      </c>
      <c r="CW57" s="20">
        <f t="shared" si="13"/>
        <v>433.95983709455049</v>
      </c>
      <c r="CX57" s="59">
        <f t="shared" si="14"/>
        <v>727.29317042788375</v>
      </c>
      <c r="CY57" s="59">
        <f ca="1">AVERAGE(OFFSET($CX$3,0,0,'Données projet'!$E$13+1,1))-AVERAGE(OFFSET($H$3,0,0,'Données projet'!$E$13+1,1))</f>
        <v>215.84581110302656</v>
      </c>
      <c r="CZ57" s="59">
        <f t="shared" si="42"/>
        <v>193.88588526156104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35.757063313851774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35.757063313851774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12.316666666666663</v>
      </c>
      <c r="N58" s="13">
        <f>IF('Données projet'!$A$36&gt;35,N57+M58-V57,IF(A58&lt;'Données projet'!$A$36,$K$205^A58,IF(A58='Données projet'!$A$36,'Données projet'!$B$36,N57+M58-V57)))</f>
        <v>339.41666666666669</v>
      </c>
      <c r="O58" s="13">
        <f>N58*VLOOKUP('Données projet'!$B$9,Paramètres!$A$1:$I$89,3,0)*VLOOKUP('Données projet'!$B$9,Paramètres!$A$1:$I$89,5,0)</f>
        <v>211.79600000000002</v>
      </c>
      <c r="P58" s="13">
        <f t="shared" si="33"/>
        <v>52.327862151963842</v>
      </c>
      <c r="Q58" s="20">
        <f t="shared" si="53"/>
        <v>460.01572658133705</v>
      </c>
      <c r="R58" s="59">
        <f t="shared" si="0"/>
        <v>753.34905991467031</v>
      </c>
      <c r="S58" s="59">
        <f ca="1">AVERAGE(OFFSET($R$3,0,0,'Données projet'!$E$9+1,1))-AVERAGE(OFFSET($H$3,0,0,'Données projet'!$E$9+1,1))</f>
        <v>269.77739619445515</v>
      </c>
      <c r="T58" s="59">
        <f t="shared" si="34"/>
        <v>347.56964743629885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84.549355229285467</v>
      </c>
      <c r="AA58" s="21">
        <f>EXP(-LN(2)/25)*AA57+(1-EXP(-LN(2)/25))/(LN(2)/25)*Calculateur!V58*Calculateur!X58*VLOOKUP('Données projet'!$B$9,Paramètres!$A$1:$I$89,3,0)*0.475*44/12</f>
        <v>45.871095980668201</v>
      </c>
      <c r="AB58" s="21">
        <f>EXP(-LN(2)/2)*AB57+(1-EXP(-LN(2)/2))/(LN(2)/2)*V58*Y58*VLOOKUP('Données projet'!$B$9,Paramètres!$A$1:$I$89,3,0)*0.475*44/12</f>
        <v>4.2879303977393421E-6</v>
      </c>
      <c r="AC58" s="22">
        <f t="shared" si="3"/>
        <v>130.42045549788409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594</v>
      </c>
      <c r="AG58" s="12">
        <f>VLOOKUP(A58,'Données projet'!$A$61:$I$81,9,0)</f>
        <v>21.6</v>
      </c>
      <c r="AH58" s="12">
        <f t="array" ref="AH58">INDEX(AG:AG,MIN(IF(ISNUMBER(AG58:AG254),ROW(AG58:AG254),"")))</f>
        <v>21.6</v>
      </c>
      <c r="AI58" s="13">
        <f>IF('Données projet'!$A$62&gt;35,AI57+AH58-AQ57,IF(A58&lt;'Données projet'!$A$62,$AF$205^A58,IF(A58='Données projet'!$A$62,'Données projet'!$B$62,AI57+AH58-AQ57)))</f>
        <v>593.99999999999989</v>
      </c>
      <c r="AJ58" s="13">
        <f>AI58*VLOOKUP('Données projet'!$B$10,Paramètres!$A$1:$I$89,3,0)*VLOOKUP('Données projet'!$B$10,Paramètres!$A$1:$I$89,5,0)</f>
        <v>277.99199999999996</v>
      </c>
      <c r="AK58" s="13">
        <f t="shared" si="35"/>
        <v>66.542483170264177</v>
      </c>
      <c r="AL58" s="20">
        <f t="shared" si="4"/>
        <v>600.06422485487667</v>
      </c>
      <c r="AM58" s="59">
        <f t="shared" si="5"/>
        <v>893.39755818821004</v>
      </c>
      <c r="AN58" s="59">
        <f ca="1">AVERAGE(OFFSET($AM$3,0,0,'Données projet'!$E$10+1,1))-AVERAGE(OFFSET($H$3,0,0,'Données projet'!$E$10+1,1))</f>
        <v>342.49944586217674</v>
      </c>
      <c r="AO58" s="59">
        <f t="shared" si="36"/>
        <v>282.29766600872563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60</v>
      </c>
      <c r="AR58" s="16">
        <f>IF(ISNA(VLOOKUP(A58,'Données projet'!$A$61:$I$81,5,0)),0%,VLOOKUP(A58,'Données projet'!$A$61:$I$81,5,0)*VLOOKUP('Données projet'!$B$10,Paramètres!$A$1:$I$89,7,0))</f>
        <v>0.55000000000000004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88.077780207826692</v>
      </c>
      <c r="AV58" s="21">
        <f>EXP(-LN(2)/25)*AV57+(1-EXP(-LN(2)/25))/(LN(2)/25)*Calculateur!AQ58*Calculateur!AS58*VLOOKUP('Données projet'!$B$10,Paramètres!$A$1:$I$89,3,0)*0.475*44/12</f>
        <v>20.040269004804134</v>
      </c>
      <c r="AW58" s="21">
        <f>EXP(-LN(2)/2)*AW57+(1-EXP(-LN(2)/2))/(LN(2)/2)*AQ58*AT58*VLOOKUP('Données projet'!$B$10,Paramètres!$A$1:$I$89,3,0)*0.475*44/12</f>
        <v>1.429310132579782E-5</v>
      </c>
      <c r="AX58" s="21">
        <f t="shared" si="6"/>
        <v>108.11806350573215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221.97239999999996</v>
      </c>
      <c r="BF58" s="13">
        <f t="shared" si="37"/>
        <v>54.543354171476821</v>
      </c>
      <c r="BG58" s="20">
        <f t="shared" si="7"/>
        <v>481.59827184865543</v>
      </c>
      <c r="BH58" s="59">
        <f t="shared" si="8"/>
        <v>774.93160518198874</v>
      </c>
      <c r="BI58" s="59">
        <f ca="1">AVERAGE(OFFSET($BH$3,0,0,'Données projet'!$E$11+1,1))-AVERAGE(OFFSET($H$3,0,0,'Données projet'!$E$11+1,1))</f>
        <v>279.49721661620544</v>
      </c>
      <c r="BJ58" s="59">
        <f t="shared" si="38"/>
        <v>275.18739333988754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47.758503179864732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47.758503179864732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590</v>
      </c>
      <c r="BW58" s="12">
        <f>VLOOKUP(A58,'Données projet'!$A$113:$I$133,9,0)</f>
        <v>21.6</v>
      </c>
      <c r="BX58" s="12">
        <f t="array" ref="BX58">INDEX(BW:BW,MIN(IF(ISNUMBER(BW58:BW254),ROW(BW58:BW254),"")))</f>
        <v>21.6</v>
      </c>
      <c r="BY58" s="12">
        <f>IF('Données projet'!$A$114&gt;35,BY57+BX58-CG57,IF(A58&lt;'Données projet'!$A$114,$BV$205^A58,IF(A58='Données projet'!$A$114,'Données projet'!$B$114,BY57+BX58-CG57)))</f>
        <v>590</v>
      </c>
      <c r="BZ58" s="13">
        <f>BY58*VLOOKUP('Données projet'!$B$12,Paramètres!$A$1:$I$89,3,0)*VLOOKUP('Données projet'!$B$12,Paramètres!$A$1:$I$89,5,0)</f>
        <v>283.79000000000002</v>
      </c>
      <c r="CA58" s="13">
        <f t="shared" si="39"/>
        <v>67.767317026167248</v>
      </c>
      <c r="CB58" s="20">
        <f t="shared" si="10"/>
        <v>612.29566048724121</v>
      </c>
      <c r="CC58" s="59">
        <f t="shared" si="11"/>
        <v>905.62899382057458</v>
      </c>
      <c r="CD58" s="59">
        <f ca="1">AVERAGE(OFFSET($CC$3,0,0,'Données projet'!$E$12+1,1))-AVERAGE(OFFSET($H$3,0,0,'Données projet'!$E$12+1,1))</f>
        <v>349.65790906807746</v>
      </c>
      <c r="CE58" s="59">
        <f t="shared" si="40"/>
        <v>291.88925884278888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63</v>
      </c>
      <c r="CH58" s="16">
        <f>IF(ISNA(VLOOKUP(A58,'Données projet'!$A$113:$I$133,5,0)),0%,VLOOKUP(A58,'Données projet'!$A$113:$I$133,5,0)*VLOOKUP('Données projet'!$B$12,Paramètres!$A$1:$I$89,7,0))</f>
        <v>0.55000000000000004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91.577213093659225</v>
      </c>
      <c r="CL58" s="21">
        <f>EXP(-LN(2)/25)*CL57+(1-EXP(-LN(2)/25))/(LN(2)/25)*Calculateur!CG58*Calculateur!CI58*VLOOKUP('Données projet'!$B$12,Paramètres!$A$1:$I$89,3,0)*0.475*44/12</f>
        <v>20.596943143826486</v>
      </c>
      <c r="CM58" s="21">
        <f>EXP(-LN(2)/2)*CM57+(1-EXP(-LN(2)/2))/(LN(2)/2)*CG58*CJ58*VLOOKUP('Données projet'!$B$12,Paramètres!$A$1:$I$89,3,0)*0.475*44/12</f>
        <v>8.8140791509086487E-6</v>
      </c>
      <c r="CN58" s="22">
        <f t="shared" si="12"/>
        <v>112.17416505156486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264</v>
      </c>
      <c r="CR58" s="12">
        <f>VLOOKUP(A58,'Données projet'!$A$139:$I$159,9,0)</f>
        <v>8.1999999999999993</v>
      </c>
      <c r="CS58" s="12">
        <f t="array" ref="CS58">INDEX(CR:CR,MIN(IF(ISNUMBER(CR58:CR254),ROW(CR58:CR254),"")))</f>
        <v>8.1999999999999993</v>
      </c>
      <c r="CT58" s="12">
        <f>IF('Données projet'!$A$140&gt;35,CT57+CS58-DB57,IF(A58&lt;'Données projet'!$A$140,$CQ$205^A58,IF(A58='Données projet'!$A$140,'Données projet'!$B$140,CT57+CS58-DB57)))</f>
        <v>263.99999999999994</v>
      </c>
      <c r="CU58" s="17">
        <f>CT58*VLOOKUP('Données projet'!$B$13,Paramètres!$A$1:$I$89,3,0)*VLOOKUP('Données projet'!$B$13,Paramètres!$A$1:$I$89,5,0)</f>
        <v>205.91999999999996</v>
      </c>
      <c r="CV58" s="13">
        <f t="shared" si="41"/>
        <v>51.042987531485686</v>
      </c>
      <c r="CW58" s="20">
        <f t="shared" si="13"/>
        <v>447.5438699506708</v>
      </c>
      <c r="CX58" s="59">
        <f t="shared" si="14"/>
        <v>740.87720328400405</v>
      </c>
      <c r="CY58" s="59">
        <f ca="1">AVERAGE(OFFSET($CX$3,0,0,'Données projet'!$E$13+1,1))-AVERAGE(OFFSET($H$3,0,0,'Données projet'!$E$13+1,1))</f>
        <v>215.84581110302656</v>
      </c>
      <c r="CZ58" s="59">
        <f t="shared" si="42"/>
        <v>193.88588526156104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30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46.179132070782778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46.179132070782778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12.316666666666663</v>
      </c>
      <c r="N59" s="13">
        <f>IF('Données projet'!$A$36&gt;35,N58+M59-V58,IF(A59&lt;'Données projet'!$A$36,$K$205^A59,IF(A59='Données projet'!$A$36,'Données projet'!$B$36,N58+M59-V58)))</f>
        <v>351.73333333333335</v>
      </c>
      <c r="O59" s="13">
        <f>N59*VLOOKUP('Données projet'!$B$9,Paramètres!$A$1:$I$89,3,0)*VLOOKUP('Données projet'!$B$9,Paramètres!$A$1:$I$89,5,0)</f>
        <v>219.48159999999999</v>
      </c>
      <c r="P59" s="13">
        <f t="shared" si="33"/>
        <v>54.002198576508427</v>
      </c>
      <c r="Q59" s="20">
        <f t="shared" si="53"/>
        <v>476.31761585408549</v>
      </c>
      <c r="R59" s="59">
        <f t="shared" si="0"/>
        <v>769.65094918741875</v>
      </c>
      <c r="S59" s="59">
        <f ca="1">AVERAGE(OFFSET($R$3,0,0,'Données projet'!$E$9+1,1))-AVERAGE(OFFSET($H$3,0,0,'Données projet'!$E$9+1,1))</f>
        <v>269.77739619445515</v>
      </c>
      <c r="T59" s="59">
        <f t="shared" si="34"/>
        <v>347.56964743629885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82.891393943253746</v>
      </c>
      <c r="AA59" s="21">
        <f>EXP(-LN(2)/25)*AA58+(1-EXP(-LN(2)/25))/(LN(2)/25)*Calculateur!V59*Calculateur!X59*VLOOKUP('Données projet'!$B$9,Paramètres!$A$1:$I$89,3,0)*0.475*44/12</f>
        <v>44.616748448820729</v>
      </c>
      <c r="AB59" s="21">
        <f>EXP(-LN(2)/2)*AB58+(1-EXP(-LN(2)/2))/(LN(2)/2)*V59*Y59*VLOOKUP('Données projet'!$B$9,Paramètres!$A$1:$I$89,3,0)*0.475*44/12</f>
        <v>3.0320246614974188E-6</v>
      </c>
      <c r="AC59" s="22">
        <f t="shared" si="3"/>
        <v>127.50814542409914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20</v>
      </c>
      <c r="AI59" s="13">
        <f>IF('Données projet'!$A$62&gt;35,AI58+AH59-AQ58,IF(A59&lt;'Données projet'!$A$62,$AF$205^A59,IF(A59='Données projet'!$A$62,'Données projet'!$B$62,AI58+AH59-AQ58)))</f>
        <v>553.99999999999989</v>
      </c>
      <c r="AJ59" s="13">
        <f>AI59*VLOOKUP('Données projet'!$B$10,Paramètres!$A$1:$I$89,3,0)*VLOOKUP('Données projet'!$B$10,Paramètres!$A$1:$I$89,5,0)</f>
        <v>259.27199999999993</v>
      </c>
      <c r="AK59" s="13">
        <f t="shared" si="35"/>
        <v>62.567172460757938</v>
      </c>
      <c r="AL59" s="20">
        <f t="shared" si="4"/>
        <v>560.53655870248667</v>
      </c>
      <c r="AM59" s="59">
        <f t="shared" si="5"/>
        <v>853.86989203581993</v>
      </c>
      <c r="AN59" s="59">
        <f ca="1">AVERAGE(OFFSET($AM$3,0,0,'Données projet'!$E$10+1,1))-AVERAGE(OFFSET($H$3,0,0,'Données projet'!$E$10+1,1))</f>
        <v>342.49944586217674</v>
      </c>
      <c r="AO59" s="59">
        <f t="shared" si="36"/>
        <v>282.29766600872563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86.350628660092511</v>
      </c>
      <c r="AV59" s="21">
        <f>EXP(-LN(2)/25)*AV58+(1-EXP(-LN(2)/25))/(LN(2)/25)*Calculateur!AQ59*Calculateur!AS59*VLOOKUP('Données projet'!$B$10,Paramètres!$A$1:$I$89,3,0)*0.475*44/12</f>
        <v>19.492266794995821</v>
      </c>
      <c r="AW59" s="21">
        <f>EXP(-LN(2)/2)*AW58+(1-EXP(-LN(2)/2))/(LN(2)/2)*AQ59*AT59*VLOOKUP('Données projet'!$B$10,Paramètres!$A$1:$I$89,3,0)*0.475*44/12</f>
        <v>1.0106748871658071E-5</v>
      </c>
      <c r="AX59" s="21">
        <f t="shared" si="6"/>
        <v>105.8429055618372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214.17551999999998</v>
      </c>
      <c r="BF59" s="13">
        <f t="shared" si="37"/>
        <v>52.846993696165399</v>
      </c>
      <c r="BG59" s="20">
        <f t="shared" si="7"/>
        <v>465.06421135415468</v>
      </c>
      <c r="BH59" s="59">
        <f t="shared" si="8"/>
        <v>758.39754468748799</v>
      </c>
      <c r="BI59" s="59">
        <f ca="1">AVERAGE(OFFSET($BH$3,0,0,'Données projet'!$E$11+1,1))-AVERAGE(OFFSET($H$3,0,0,'Données projet'!$E$11+1,1))</f>
        <v>279.49721661620544</v>
      </c>
      <c r="BJ59" s="59">
        <f t="shared" si="38"/>
        <v>275.18739333988754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46.821988062318198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46.821988062318198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20.399999999999999</v>
      </c>
      <c r="BY59" s="12">
        <f>IF('Données projet'!$A$114&gt;35,BY58+BX59-CG58,IF(A59&lt;'Données projet'!$A$114,$BV$205^A59,IF(A59='Données projet'!$A$114,'Données projet'!$B$114,BY58+BX59-CG58)))</f>
        <v>547.4</v>
      </c>
      <c r="BZ59" s="13">
        <f>BY59*VLOOKUP('Données projet'!$B$12,Paramètres!$A$1:$I$89,3,0)*VLOOKUP('Données projet'!$B$12,Paramètres!$A$1:$I$89,5,0)</f>
        <v>263.29939999999999</v>
      </c>
      <c r="CA59" s="13">
        <f t="shared" si="39"/>
        <v>63.42515971405907</v>
      </c>
      <c r="CB59" s="20">
        <f t="shared" si="10"/>
        <v>569.04527483531945</v>
      </c>
      <c r="CC59" s="59">
        <f t="shared" si="11"/>
        <v>862.37860816865282</v>
      </c>
      <c r="CD59" s="59">
        <f ca="1">AVERAGE(OFFSET($CC$3,0,0,'Données projet'!$E$12+1,1))-AVERAGE(OFFSET($H$3,0,0,'Données projet'!$E$12+1,1))</f>
        <v>349.65790906807746</v>
      </c>
      <c r="CE59" s="59">
        <f t="shared" si="40"/>
        <v>291.88925884278888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89.781439801477177</v>
      </c>
      <c r="CL59" s="21">
        <f>EXP(-LN(2)/25)*CL58+(1-EXP(-LN(2)/25))/(LN(2)/25)*Calculateur!CG59*Calculateur!CI59*VLOOKUP('Données projet'!$B$12,Paramètres!$A$1:$I$89,3,0)*0.475*44/12</f>
        <v>20.033718650412386</v>
      </c>
      <c r="CM59" s="21">
        <f>EXP(-LN(2)/2)*CM58+(1-EXP(-LN(2)/2))/(LN(2)/2)*CG59*CJ59*VLOOKUP('Données projet'!$B$12,Paramètres!$A$1:$I$89,3,0)*0.475*44/12</f>
        <v>6.2324951375224725E-6</v>
      </c>
      <c r="CN59" s="22">
        <f t="shared" si="12"/>
        <v>109.8151646843847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7.4</v>
      </c>
      <c r="CT59" s="12">
        <f>IF('Données projet'!$A$140&gt;35,CT58+CS59-DB58,IF(A59&lt;'Données projet'!$A$140,$CQ$205^A59,IF(A59='Données projet'!$A$140,'Données projet'!$B$140,CT58+CS59-DB58)))</f>
        <v>241.39999999999992</v>
      </c>
      <c r="CU59" s="17">
        <f>CT59*VLOOKUP('Données projet'!$B$13,Paramètres!$A$1:$I$89,3,0)*VLOOKUP('Données projet'!$B$13,Paramètres!$A$1:$I$89,5,0)</f>
        <v>188.29199999999994</v>
      </c>
      <c r="CV59" s="13">
        <f t="shared" si="41"/>
        <v>47.162140074549235</v>
      </c>
      <c r="CW59" s="20">
        <f t="shared" si="13"/>
        <v>410.08262729650642</v>
      </c>
      <c r="CX59" s="59">
        <f t="shared" si="14"/>
        <v>703.41596062983967</v>
      </c>
      <c r="CY59" s="59">
        <f ca="1">AVERAGE(OFFSET($CX$3,0,0,'Données projet'!$E$13+1,1))-AVERAGE(OFFSET($H$3,0,0,'Données projet'!$E$13+1,1))</f>
        <v>215.84581110302656</v>
      </c>
      <c r="CZ59" s="59">
        <f t="shared" si="42"/>
        <v>193.88588526156104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45.27358745736408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45.27358745736408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12.316666666666663</v>
      </c>
      <c r="N60" s="13">
        <f>IF('Données projet'!$A$36&gt;35,N59+M60-V59,IF(A60&lt;'Données projet'!$A$36,$K$205^A60,IF(A60='Données projet'!$A$36,'Données projet'!$B$36,N59+M60-V59)))</f>
        <v>364.05</v>
      </c>
      <c r="O60" s="13">
        <f>N60*VLOOKUP('Données projet'!$B$9,Paramètres!$A$1:$I$89,3,0)*VLOOKUP('Données projet'!$B$9,Paramètres!$A$1:$I$89,5,0)</f>
        <v>227.16720000000001</v>
      </c>
      <c r="P60" s="13">
        <f t="shared" si="33"/>
        <v>55.669722848822659</v>
      </c>
      <c r="Q60" s="20">
        <f t="shared" si="53"/>
        <v>492.60764062836614</v>
      </c>
      <c r="R60" s="59">
        <f t="shared" si="0"/>
        <v>785.94097396169946</v>
      </c>
      <c r="S60" s="59">
        <f ca="1">AVERAGE(OFFSET($R$3,0,0,'Données projet'!$E$9+1,1))-AVERAGE(OFFSET($H$3,0,0,'Données projet'!$E$9+1,1))</f>
        <v>269.77739619445515</v>
      </c>
      <c r="T60" s="59">
        <f t="shared" si="34"/>
        <v>347.56964743629885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81.265944266784587</v>
      </c>
      <c r="AA60" s="21">
        <f>EXP(-LN(2)/25)*AA59+(1-EXP(-LN(2)/25))/(LN(2)/25)*Calculateur!V60*Calculateur!X60*VLOOKUP('Données projet'!$B$9,Paramètres!$A$1:$I$89,3,0)*0.475*44/12</f>
        <v>43.396701116194897</v>
      </c>
      <c r="AB60" s="21">
        <f>EXP(-LN(2)/2)*AB59+(1-EXP(-LN(2)/2))/(LN(2)/2)*V60*Y60*VLOOKUP('Données projet'!$B$9,Paramètres!$A$1:$I$89,3,0)*0.475*44/12</f>
        <v>2.1439651988696711E-6</v>
      </c>
      <c r="AC60" s="22">
        <f t="shared" si="3"/>
        <v>124.6626475269447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20</v>
      </c>
      <c r="AI60" s="13">
        <f>IF('Données projet'!$A$62&gt;35,AI59+AH60-AQ59,IF(A60&lt;'Données projet'!$A$62,$AF$205^A60,IF(A60='Données projet'!$A$62,'Données projet'!$B$62,AI59+AH60-AQ59)))</f>
        <v>573.99999999999989</v>
      </c>
      <c r="AJ60" s="13">
        <f>AI60*VLOOKUP('Données projet'!$B$10,Paramètres!$A$1:$I$89,3,0)*VLOOKUP('Données projet'!$B$10,Paramètres!$A$1:$I$89,5,0)</f>
        <v>268.63199999999995</v>
      </c>
      <c r="AK60" s="13">
        <f t="shared" si="35"/>
        <v>64.558859389206148</v>
      </c>
      <c r="AL60" s="20">
        <f t="shared" si="4"/>
        <v>580.30741343620048</v>
      </c>
      <c r="AM60" s="59">
        <f t="shared" si="5"/>
        <v>873.64074676953373</v>
      </c>
      <c r="AN60" s="59">
        <f ca="1">AVERAGE(OFFSET($AM$3,0,0,'Données projet'!$E$10+1,1))-AVERAGE(OFFSET($H$3,0,0,'Données projet'!$E$10+1,1))</f>
        <v>342.49944586217674</v>
      </c>
      <c r="AO60" s="59">
        <f t="shared" si="36"/>
        <v>282.29766600872563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84.657345500750978</v>
      </c>
      <c r="AV60" s="21">
        <f>EXP(-LN(2)/25)*AV59+(1-EXP(-LN(2)/25))/(LN(2)/25)*Calculateur!AQ60*Calculateur!AS60*VLOOKUP('Données projet'!$B$10,Paramètres!$A$1:$I$89,3,0)*0.475*44/12</f>
        <v>18.959249734432898</v>
      </c>
      <c r="AW60" s="21">
        <f>EXP(-LN(2)/2)*AW59+(1-EXP(-LN(2)/2))/(LN(2)/2)*AQ60*AT60*VLOOKUP('Données projet'!$B$10,Paramètres!$A$1:$I$89,3,0)*0.475*44/12</f>
        <v>7.1465506628989098E-6</v>
      </c>
      <c r="AX60" s="21">
        <f t="shared" si="6"/>
        <v>103.61660238173454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219.10823999999994</v>
      </c>
      <c r="BF60" s="13">
        <f t="shared" si="37"/>
        <v>53.921020297295854</v>
      </c>
      <c r="BG60" s="20">
        <f t="shared" si="7"/>
        <v>475.52596168445672</v>
      </c>
      <c r="BH60" s="59">
        <f t="shared" si="8"/>
        <v>768.85929501779003</v>
      </c>
      <c r="BI60" s="59">
        <f ca="1">AVERAGE(OFFSET($BH$3,0,0,'Données projet'!$E$11+1,1))-AVERAGE(OFFSET($H$3,0,0,'Données projet'!$E$11+1,1))</f>
        <v>279.49721661620544</v>
      </c>
      <c r="BJ60" s="59">
        <f t="shared" si="38"/>
        <v>275.18739333988754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45.903837435008931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45.903837435008931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20.399999999999999</v>
      </c>
      <c r="BY60" s="12">
        <f>IF('Données projet'!$A$114&gt;35,BY59+BX60-CG59,IF(A60&lt;'Données projet'!$A$114,$BV$205^A60,IF(A60='Données projet'!$A$114,'Données projet'!$B$114,BY59+BX60-CG59)))</f>
        <v>567.79999999999995</v>
      </c>
      <c r="BZ60" s="13">
        <f>BY60*VLOOKUP('Données projet'!$B$12,Paramètres!$A$1:$I$89,3,0)*VLOOKUP('Données projet'!$B$12,Paramètres!$A$1:$I$89,5,0)</f>
        <v>273.11180000000002</v>
      </c>
      <c r="CA60" s="13">
        <f t="shared" si="39"/>
        <v>65.509230697383188</v>
      </c>
      <c r="CB60" s="20">
        <f t="shared" si="10"/>
        <v>589.76496179794242</v>
      </c>
      <c r="CC60" s="59">
        <f t="shared" si="11"/>
        <v>883.09829513127579</v>
      </c>
      <c r="CD60" s="59">
        <f ca="1">AVERAGE(OFFSET($CC$3,0,0,'Données projet'!$E$12+1,1))-AVERAGE(OFFSET($H$3,0,0,'Données projet'!$E$12+1,1))</f>
        <v>349.65790906807746</v>
      </c>
      <c r="CE60" s="59">
        <f t="shared" si="40"/>
        <v>291.88925884278888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88.020880528241264</v>
      </c>
      <c r="CL60" s="21">
        <f>EXP(-LN(2)/25)*CL59+(1-EXP(-LN(2)/25))/(LN(2)/25)*Calculateur!CG60*Calculateur!CI60*VLOOKUP('Données projet'!$B$12,Paramètres!$A$1:$I$89,3,0)*0.475*44/12</f>
        <v>19.485895560389384</v>
      </c>
      <c r="CM60" s="21">
        <f>EXP(-LN(2)/2)*CM59+(1-EXP(-LN(2)/2))/(LN(2)/2)*CG60*CJ60*VLOOKUP('Données projet'!$B$12,Paramètres!$A$1:$I$89,3,0)*0.475*44/12</f>
        <v>4.4070395754543243E-6</v>
      </c>
      <c r="CN60" s="22">
        <f t="shared" si="12"/>
        <v>107.50678049567021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7.4</v>
      </c>
      <c r="CT60" s="12">
        <f>IF('Données projet'!$A$140&gt;35,CT59+CS60-DB59,IF(A60&lt;'Données projet'!$A$140,$CQ$205^A60,IF(A60='Données projet'!$A$140,'Données projet'!$B$140,CT59+CS60-DB59)))</f>
        <v>248.79999999999993</v>
      </c>
      <c r="CU60" s="17">
        <f>CT60*VLOOKUP('Données projet'!$B$13,Paramètres!$A$1:$I$89,3,0)*VLOOKUP('Données projet'!$B$13,Paramètres!$A$1:$I$89,5,0)</f>
        <v>194.06399999999994</v>
      </c>
      <c r="CV60" s="13">
        <f t="shared" si="41"/>
        <v>48.437335849011056</v>
      </c>
      <c r="CW60" s="20">
        <f t="shared" si="13"/>
        <v>422.35649327036077</v>
      </c>
      <c r="CX60" s="59">
        <f t="shared" si="14"/>
        <v>715.68982660369409</v>
      </c>
      <c r="CY60" s="59">
        <f ca="1">AVERAGE(OFFSET($CX$3,0,0,'Données projet'!$E$13+1,1))-AVERAGE(OFFSET($H$3,0,0,'Données projet'!$E$13+1,1))</f>
        <v>215.84581110302656</v>
      </c>
      <c r="CZ60" s="59">
        <f t="shared" si="42"/>
        <v>193.88588526156104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44.385800021486844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44.385800021486844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12.316666666666663</v>
      </c>
      <c r="N61" s="13">
        <f>IF('Données projet'!$A$36&gt;35,N60+M61-V60,IF(A61&lt;'Données projet'!$A$36,$K$205^A61,IF(A61='Données projet'!$A$36,'Données projet'!$B$36,N60+M61-V60)))</f>
        <v>376.36666666666667</v>
      </c>
      <c r="O61" s="13">
        <f>N61*VLOOKUP('Données projet'!$B$9,Paramètres!$A$1:$I$89,3,0)*VLOOKUP('Données projet'!$B$9,Paramètres!$A$1:$I$89,5,0)</f>
        <v>234.8528</v>
      </c>
      <c r="P61" s="13">
        <f t="shared" si="33"/>
        <v>57.330691860456056</v>
      </c>
      <c r="Q61" s="20">
        <f t="shared" si="53"/>
        <v>508.88624832362757</v>
      </c>
      <c r="R61" s="59">
        <f t="shared" si="0"/>
        <v>802.21958165696083</v>
      </c>
      <c r="S61" s="59">
        <f ca="1">AVERAGE(OFFSET($R$3,0,0,'Données projet'!$E$9+1,1))-AVERAGE(OFFSET($H$3,0,0,'Données projet'!$E$9+1,1))</f>
        <v>269.77739619445515</v>
      </c>
      <c r="T61" s="59">
        <f t="shared" si="34"/>
        <v>347.56964743629885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79.67236866704458</v>
      </c>
      <c r="AA61" s="21">
        <f>EXP(-LN(2)/25)*AA60+(1-EXP(-LN(2)/25))/(LN(2)/25)*Calculateur!V61*Calculateur!X61*VLOOKUP('Données projet'!$B$9,Paramètres!$A$1:$I$89,3,0)*0.475*44/12</f>
        <v>42.210016042039221</v>
      </c>
      <c r="AB61" s="21">
        <f>EXP(-LN(2)/2)*AB60+(1-EXP(-LN(2)/2))/(LN(2)/2)*V61*Y61*VLOOKUP('Données projet'!$B$9,Paramètres!$A$1:$I$89,3,0)*0.475*44/12</f>
        <v>1.5160123307487094E-6</v>
      </c>
      <c r="AC61" s="22">
        <f t="shared" si="3"/>
        <v>121.88238622509613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20</v>
      </c>
      <c r="AI61" s="13">
        <f>IF('Données projet'!$A$62&gt;35,AI60+AH61-AQ60,IF(A61&lt;'Données projet'!$A$62,$AF$205^A61,IF(A61='Données projet'!$A$62,'Données projet'!$B$62,AI60+AH61-AQ60)))</f>
        <v>593.99999999999989</v>
      </c>
      <c r="AJ61" s="13">
        <f>AI61*VLOOKUP('Données projet'!$B$10,Paramètres!$A$1:$I$89,3,0)*VLOOKUP('Données projet'!$B$10,Paramètres!$A$1:$I$89,5,0)</f>
        <v>277.99199999999996</v>
      </c>
      <c r="AK61" s="13">
        <f t="shared" si="35"/>
        <v>66.542483170264177</v>
      </c>
      <c r="AL61" s="20">
        <f t="shared" si="4"/>
        <v>600.06422485487667</v>
      </c>
      <c r="AM61" s="59">
        <f t="shared" si="5"/>
        <v>893.39755818821004</v>
      </c>
      <c r="AN61" s="59">
        <f ca="1">AVERAGE(OFFSET($AM$3,0,0,'Données projet'!$E$10+1,1))-AVERAGE(OFFSET($H$3,0,0,'Données projet'!$E$10+1,1))</f>
        <v>342.49944586217674</v>
      </c>
      <c r="AO61" s="59">
        <f t="shared" si="36"/>
        <v>282.29766600872563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82.997266591363385</v>
      </c>
      <c r="AV61" s="21">
        <f>EXP(-LN(2)/25)*AV60+(1-EXP(-LN(2)/25))/(LN(2)/25)*Calculateur!AQ61*Calculateur!AS61*VLOOKUP('Données projet'!$B$10,Paramètres!$A$1:$I$89,3,0)*0.475*44/12</f>
        <v>18.440808053421218</v>
      </c>
      <c r="AW61" s="21">
        <f>EXP(-LN(2)/2)*AW60+(1-EXP(-LN(2)/2))/(LN(2)/2)*AQ61*AT61*VLOOKUP('Données projet'!$B$10,Paramètres!$A$1:$I$89,3,0)*0.475*44/12</f>
        <v>5.0533744358290355E-6</v>
      </c>
      <c r="AX61" s="21">
        <f t="shared" si="6"/>
        <v>101.43807969815904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224.04095999999993</v>
      </c>
      <c r="BF61" s="13">
        <f t="shared" si="37"/>
        <v>54.992235867381233</v>
      </c>
      <c r="BG61" s="20">
        <f t="shared" si="7"/>
        <v>485.98281613568884</v>
      </c>
      <c r="BH61" s="59">
        <f t="shared" si="8"/>
        <v>779.31614946902209</v>
      </c>
      <c r="BI61" s="59">
        <f ca="1">AVERAGE(OFFSET($BH$3,0,0,'Données projet'!$E$11+1,1))-AVERAGE(OFFSET($H$3,0,0,'Données projet'!$E$11+1,1))</f>
        <v>279.49721661620544</v>
      </c>
      <c r="BJ61" s="59">
        <f t="shared" si="38"/>
        <v>275.18739333988754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45.003691181484612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45.003691181484612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20.399999999999999</v>
      </c>
      <c r="BY61" s="12">
        <f>IF('Données projet'!$A$114&gt;35,BY60+BX61-CG60,IF(A61&lt;'Données projet'!$A$114,$BV$205^A61,IF(A61='Données projet'!$A$114,'Données projet'!$B$114,BY60+BX61-CG60)))</f>
        <v>588.19999999999993</v>
      </c>
      <c r="BZ61" s="13">
        <f>BY61*VLOOKUP('Données projet'!$B$12,Paramètres!$A$1:$I$89,3,0)*VLOOKUP('Données projet'!$B$12,Paramètres!$A$1:$I$89,5,0)</f>
        <v>282.92419999999998</v>
      </c>
      <c r="CA61" s="13">
        <f t="shared" si="39"/>
        <v>67.584602243209304</v>
      </c>
      <c r="CB61" s="20">
        <f t="shared" si="10"/>
        <v>610.46949724025615</v>
      </c>
      <c r="CC61" s="59">
        <f t="shared" si="11"/>
        <v>903.80283057358952</v>
      </c>
      <c r="CD61" s="59">
        <f ca="1">AVERAGE(OFFSET($CC$3,0,0,'Données projet'!$E$12+1,1))-AVERAGE(OFFSET($H$3,0,0,'Données projet'!$E$12+1,1))</f>
        <v>349.65790906807746</v>
      </c>
      <c r="CE61" s="59">
        <f t="shared" si="40"/>
        <v>291.88925884278888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86.294844748518386</v>
      </c>
      <c r="CL61" s="21">
        <f>EXP(-LN(2)/25)*CL60+(1-EXP(-LN(2)/25))/(LN(2)/25)*Calculateur!CG61*Calculateur!CI61*VLOOKUP('Données projet'!$B$12,Paramètres!$A$1:$I$89,3,0)*0.475*44/12</f>
        <v>18.953052721571826</v>
      </c>
      <c r="CM61" s="21">
        <f>EXP(-LN(2)/2)*CM60+(1-EXP(-LN(2)/2))/(LN(2)/2)*CG61*CJ61*VLOOKUP('Données projet'!$B$12,Paramètres!$A$1:$I$89,3,0)*0.475*44/12</f>
        <v>3.1162475687612362E-6</v>
      </c>
      <c r="CN61" s="22">
        <f t="shared" si="12"/>
        <v>105.24790058633778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7.4</v>
      </c>
      <c r="CT61" s="12">
        <f>IF('Données projet'!$A$140&gt;35,CT60+CS61-DB60,IF(A61&lt;'Données projet'!$A$140,$CQ$205^A61,IF(A61='Données projet'!$A$140,'Données projet'!$B$140,CT60+CS61-DB60)))</f>
        <v>256.19999999999993</v>
      </c>
      <c r="CU61" s="17">
        <f>CT61*VLOOKUP('Données projet'!$B$13,Paramètres!$A$1:$I$89,3,0)*VLOOKUP('Données projet'!$B$13,Paramètres!$A$1:$I$89,5,0)</f>
        <v>199.83599999999996</v>
      </c>
      <c r="CV61" s="13">
        <f t="shared" si="41"/>
        <v>49.708123768564604</v>
      </c>
      <c r="CW61" s="20">
        <f t="shared" si="13"/>
        <v>434.62268223024995</v>
      </c>
      <c r="CX61" s="59">
        <f t="shared" si="14"/>
        <v>727.95601556358326</v>
      </c>
      <c r="CY61" s="59">
        <f ca="1">AVERAGE(OFFSET($CX$3,0,0,'Données projet'!$E$13+1,1))-AVERAGE(OFFSET($H$3,0,0,'Données projet'!$E$13+1,1))</f>
        <v>215.84581110302656</v>
      </c>
      <c r="CZ61" s="59">
        <f t="shared" si="42"/>
        <v>193.88588526156104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43.515421555730299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43.515421555730299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12.316666666666663</v>
      </c>
      <c r="N62" s="13">
        <f>IF('Données projet'!$A$36&gt;35,N61+M62-V61,IF(A62&lt;'Données projet'!$A$36,$K$205^A62,IF(A62='Données projet'!$A$36,'Données projet'!$B$36,N61+M62-V61)))</f>
        <v>388.68333333333334</v>
      </c>
      <c r="O62" s="13">
        <f>N62*VLOOKUP('Données projet'!$B$9,Paramètres!$A$1:$I$89,3,0)*VLOOKUP('Données projet'!$B$9,Paramètres!$A$1:$I$89,5,0)</f>
        <v>242.5384</v>
      </c>
      <c r="P62" s="13">
        <f t="shared" si="33"/>
        <v>58.985344734966667</v>
      </c>
      <c r="Q62" s="20">
        <f t="shared" si="53"/>
        <v>525.15385541340027</v>
      </c>
      <c r="R62" s="59">
        <f t="shared" si="0"/>
        <v>818.48718874673364</v>
      </c>
      <c r="S62" s="59">
        <f ca="1">AVERAGE(OFFSET($R$3,0,0,'Données projet'!$E$9+1,1))-AVERAGE(OFFSET($H$3,0,0,'Données projet'!$E$9+1,1))</f>
        <v>269.77739619445515</v>
      </c>
      <c r="T62" s="59">
        <f t="shared" si="34"/>
        <v>347.56964743629885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78.110042112830328</v>
      </c>
      <c r="AA62" s="21">
        <f>EXP(-LN(2)/25)*AA61+(1-EXP(-LN(2)/25))/(LN(2)/25)*Calculateur!V62*Calculateur!X62*VLOOKUP('Données projet'!$B$9,Paramètres!$A$1:$I$89,3,0)*0.475*44/12</f>
        <v>41.055780933641387</v>
      </c>
      <c r="AB62" s="21">
        <f>EXP(-LN(2)/2)*AB61+(1-EXP(-LN(2)/2))/(LN(2)/2)*V62*Y62*VLOOKUP('Données projet'!$B$9,Paramètres!$A$1:$I$89,3,0)*0.475*44/12</f>
        <v>1.0719825994348355E-6</v>
      </c>
      <c r="AC62" s="22">
        <f t="shared" si="3"/>
        <v>119.16582411845431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20</v>
      </c>
      <c r="AI62" s="13">
        <f>IF('Données projet'!$A$62&gt;35,AI61+AH62-AQ61,IF(A62&lt;'Données projet'!$A$62,$AF$205^A62,IF(A62='Données projet'!$A$62,'Données projet'!$B$62,AI61+AH62-AQ61)))</f>
        <v>613.99999999999989</v>
      </c>
      <c r="AJ62" s="13">
        <f>AI62*VLOOKUP('Données projet'!$B$10,Paramètres!$A$1:$I$89,3,0)*VLOOKUP('Données projet'!$B$10,Paramètres!$A$1:$I$89,5,0)</f>
        <v>287.35199999999998</v>
      </c>
      <c r="AK62" s="13">
        <f t="shared" si="35"/>
        <v>68.518346414398778</v>
      </c>
      <c r="AL62" s="20">
        <f t="shared" si="4"/>
        <v>619.80752000507778</v>
      </c>
      <c r="AM62" s="59">
        <f t="shared" si="5"/>
        <v>913.14085333841103</v>
      </c>
      <c r="AN62" s="59">
        <f ca="1">AVERAGE(OFFSET($AM$3,0,0,'Données projet'!$E$10+1,1))-AVERAGE(OFFSET($H$3,0,0,'Données projet'!$E$10+1,1))</f>
        <v>342.49944586217674</v>
      </c>
      <c r="AO62" s="59">
        <f t="shared" si="36"/>
        <v>282.29766600872563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81.369740816840732</v>
      </c>
      <c r="AV62" s="21">
        <f>EXP(-LN(2)/25)*AV61+(1-EXP(-LN(2)/25))/(LN(2)/25)*Calculateur!AQ62*Calculateur!AS62*VLOOKUP('Données projet'!$B$10,Paramètres!$A$1:$I$89,3,0)*0.475*44/12</f>
        <v>17.936543187440467</v>
      </c>
      <c r="AW62" s="21">
        <f>EXP(-LN(2)/2)*AW61+(1-EXP(-LN(2)/2))/(LN(2)/2)*AQ62*AT62*VLOOKUP('Données projet'!$B$10,Paramètres!$A$1:$I$89,3,0)*0.475*44/12</f>
        <v>3.5732753314494549E-6</v>
      </c>
      <c r="AX62" s="21">
        <f t="shared" si="6"/>
        <v>99.306287577556532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228.97367999999994</v>
      </c>
      <c r="BF62" s="13">
        <f t="shared" si="37"/>
        <v>56.060709423888284</v>
      </c>
      <c r="BG62" s="20">
        <f t="shared" si="7"/>
        <v>496.43489491327199</v>
      </c>
      <c r="BH62" s="59">
        <f t="shared" si="8"/>
        <v>789.7682282466053</v>
      </c>
      <c r="BI62" s="59">
        <f ca="1">AVERAGE(OFFSET($BH$3,0,0,'Données projet'!$E$11+1,1))-AVERAGE(OFFSET($H$3,0,0,'Données projet'!$E$11+1,1))</f>
        <v>279.49721661620544</v>
      </c>
      <c r="BJ62" s="59">
        <f t="shared" si="38"/>
        <v>275.18739333988754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44.121196246956906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44.121196246956906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20.399999999999999</v>
      </c>
      <c r="BY62" s="12">
        <f>IF('Données projet'!$A$114&gt;35,BY61+BX62-CG61,IF(A62&lt;'Données projet'!$A$114,$BV$205^A62,IF(A62='Données projet'!$A$114,'Données projet'!$B$114,BY61+BX62-CG61)))</f>
        <v>608.59999999999991</v>
      </c>
      <c r="BZ62" s="13">
        <f>BY62*VLOOKUP('Données projet'!$B$12,Paramètres!$A$1:$I$89,3,0)*VLOOKUP('Données projet'!$B$12,Paramètres!$A$1:$I$89,5,0)</f>
        <v>292.73659999999995</v>
      </c>
      <c r="CA62" s="13">
        <f t="shared" si="39"/>
        <v>69.651610643753884</v>
      </c>
      <c r="CB62" s="20">
        <f t="shared" si="10"/>
        <v>631.15946687120459</v>
      </c>
      <c r="CC62" s="59">
        <f t="shared" si="11"/>
        <v>924.49280020453784</v>
      </c>
      <c r="CD62" s="59">
        <f ca="1">AVERAGE(OFFSET($CC$3,0,0,'Données projet'!$E$12+1,1))-AVERAGE(OFFSET($H$3,0,0,'Données projet'!$E$12+1,1))</f>
        <v>349.65790906807746</v>
      </c>
      <c r="CE62" s="59">
        <f t="shared" si="40"/>
        <v>291.88925884278888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84.60265547765799</v>
      </c>
      <c r="CL62" s="21">
        <f>EXP(-LN(2)/25)*CL61+(1-EXP(-LN(2)/25))/(LN(2)/25)*Calculateur!CG62*Calculateur!CI62*VLOOKUP('Données projet'!$B$12,Paramètres!$A$1:$I$89,3,0)*0.475*44/12</f>
        <v>18.43478049820272</v>
      </c>
      <c r="CM62" s="21">
        <f>EXP(-LN(2)/2)*CM61+(1-EXP(-LN(2)/2))/(LN(2)/2)*CG62*CJ62*VLOOKUP('Données projet'!$B$12,Paramètres!$A$1:$I$89,3,0)*0.475*44/12</f>
        <v>2.2035197877271622E-6</v>
      </c>
      <c r="CN62" s="22">
        <f t="shared" si="12"/>
        <v>103.0374381793805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7.4</v>
      </c>
      <c r="CT62" s="12">
        <f>IF('Données projet'!$A$140&gt;35,CT61+CS62-DB61,IF(A62&lt;'Données projet'!$A$140,$CQ$205^A62,IF(A62='Données projet'!$A$140,'Données projet'!$B$140,CT61+CS62-DB61)))</f>
        <v>263.59999999999991</v>
      </c>
      <c r="CU62" s="17">
        <f>CT62*VLOOKUP('Données projet'!$B$13,Paramètres!$A$1:$I$89,3,0)*VLOOKUP('Données projet'!$B$13,Paramètres!$A$1:$I$89,5,0)</f>
        <v>205.60799999999995</v>
      </c>
      <c r="CV62" s="13">
        <f t="shared" si="41"/>
        <v>50.97464576911181</v>
      </c>
      <c r="CW62" s="20">
        <f t="shared" si="13"/>
        <v>446.88144138120293</v>
      </c>
      <c r="CX62" s="59">
        <f t="shared" si="14"/>
        <v>740.21477471453625</v>
      </c>
      <c r="CY62" s="59">
        <f ca="1">AVERAGE(OFFSET($CX$3,0,0,'Données projet'!$E$13+1,1))-AVERAGE(OFFSET($H$3,0,0,'Données projet'!$E$13+1,1))</f>
        <v>215.84581110302656</v>
      </c>
      <c r="CZ62" s="59">
        <f t="shared" si="42"/>
        <v>193.88588526156104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42.662110680808794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42.662110680808794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401</v>
      </c>
      <c r="L63" s="12">
        <f>VLOOKUP(A63,'Données projet'!$A$35:$I$55,9,0)</f>
        <v>12.316666666666663</v>
      </c>
      <c r="M63" s="12">
        <f t="array" ref="M63">INDEX(L:L,MIN(IF(ISNUMBER(L63:L259),ROW(L63:L259),"")))</f>
        <v>12.316666666666663</v>
      </c>
      <c r="N63" s="13">
        <f>IF('Données projet'!$A$36&gt;35,N62+M63-V62,IF(A63&lt;'Données projet'!$A$36,$K$205^A63,IF(A63='Données projet'!$A$36,'Données projet'!$B$36,N62+M63-V62)))</f>
        <v>401</v>
      </c>
      <c r="O63" s="13">
        <f>N63*VLOOKUP('Données projet'!$B$9,Paramètres!$A$1:$I$89,3,0)*VLOOKUP('Données projet'!$B$9,Paramètres!$A$1:$I$89,5,0)</f>
        <v>250.22399999999999</v>
      </c>
      <c r="P63" s="13">
        <f t="shared" si="33"/>
        <v>60.633904580527918</v>
      </c>
      <c r="Q63" s="20">
        <f t="shared" si="53"/>
        <v>541.41085047775289</v>
      </c>
      <c r="R63" s="59">
        <f t="shared" si="0"/>
        <v>834.74418381108626</v>
      </c>
      <c r="S63" s="59">
        <f ca="1">AVERAGE(OFFSET($R$3,0,0,'Données projet'!$E$9+1,1))-AVERAGE(OFFSET($H$3,0,0,'Données projet'!$E$9+1,1))</f>
        <v>269.77739619445515</v>
      </c>
      <c r="T63" s="59">
        <f t="shared" si="34"/>
        <v>347.56964743629885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76.57835182941912</v>
      </c>
      <c r="AA63" s="21">
        <f>EXP(-LN(2)/25)*AA62+(1-EXP(-LN(2)/25))/(LN(2)/25)*Calculateur!V63*Calculateur!X63*VLOOKUP('Données projet'!$B$9,Paramètres!$A$1:$I$89,3,0)*0.475*44/12</f>
        <v>39.933108444981279</v>
      </c>
      <c r="AB63" s="21">
        <f>EXP(-LN(2)/2)*AB62+(1-EXP(-LN(2)/2))/(LN(2)/2)*V63*Y63*VLOOKUP('Données projet'!$B$9,Paramètres!$A$1:$I$89,3,0)*0.475*44/12</f>
        <v>7.5800616537435469E-7</v>
      </c>
      <c r="AC63" s="22">
        <f t="shared" si="3"/>
        <v>116.51146103240657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634</v>
      </c>
      <c r="AG63" s="12">
        <f>VLOOKUP(A63,'Données projet'!$A$61:$I$81,9,0)</f>
        <v>20</v>
      </c>
      <c r="AH63" s="12">
        <f t="array" ref="AH63">INDEX(AG:AG,MIN(IF(ISNUMBER(AG63:AG259),ROW(AG63:AG259),"")))</f>
        <v>20</v>
      </c>
      <c r="AI63" s="13">
        <f>IF('Données projet'!$A$62&gt;35,AI62+AH63-AQ62,IF(A63&lt;'Données projet'!$A$62,$AF$205^A63,IF(A63='Données projet'!$A$62,'Données projet'!$B$62,AI62+AH63-AQ62)))</f>
        <v>633.99999999999989</v>
      </c>
      <c r="AJ63" s="13">
        <f>AI63*VLOOKUP('Données projet'!$B$10,Paramètres!$A$1:$I$89,3,0)*VLOOKUP('Données projet'!$B$10,Paramètres!$A$1:$I$89,5,0)</f>
        <v>296.71199999999993</v>
      </c>
      <c r="AK63" s="13">
        <f t="shared" si="35"/>
        <v>70.486730898987503</v>
      </c>
      <c r="AL63" s="20">
        <f t="shared" si="4"/>
        <v>639.53778964906974</v>
      </c>
      <c r="AM63" s="59">
        <f t="shared" si="5"/>
        <v>932.87112298240299</v>
      </c>
      <c r="AN63" s="59">
        <f ca="1">AVERAGE(OFFSET($AM$3,0,0,'Données projet'!$E$10+1,1))-AVERAGE(OFFSET($H$3,0,0,'Données projet'!$E$10+1,1))</f>
        <v>342.49944586217674</v>
      </c>
      <c r="AO63" s="59">
        <f t="shared" si="36"/>
        <v>282.29766600872563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53</v>
      </c>
      <c r="AR63" s="16">
        <f>IF(ISNA(VLOOKUP(A63,'Données projet'!$A$61:$I$81,5,0)),0%,VLOOKUP(A63,'Données projet'!$A$61:$I$81,5,0)*VLOOKUP('Données projet'!$B$10,Paramètres!$A$1:$I$89,7,0))</f>
        <v>0.55000000000000004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97.871387444061071</v>
      </c>
      <c r="AV63" s="21">
        <f>EXP(-LN(2)/25)*AV62+(1-EXP(-LN(2)/25))/(LN(2)/25)*Calculateur!AQ63*Calculateur!AS63*VLOOKUP('Données projet'!$B$10,Paramètres!$A$1:$I$89,3,0)*0.475*44/12</f>
        <v>17.446067470738097</v>
      </c>
      <c r="AW63" s="21">
        <f>EXP(-LN(2)/2)*AW62+(1-EXP(-LN(2)/2))/(LN(2)/2)*AQ63*AT63*VLOOKUP('Données projet'!$B$10,Paramètres!$A$1:$I$89,3,0)*0.475*44/12</f>
        <v>2.5266872179145177E-6</v>
      </c>
      <c r="AX63" s="21">
        <f t="shared" si="6"/>
        <v>115.31745744148638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233.90639999999991</v>
      </c>
      <c r="BF63" s="13">
        <f t="shared" si="37"/>
        <v>57.126506840778347</v>
      </c>
      <c r="BG63" s="20">
        <f t="shared" si="7"/>
        <v>506.88231274768879</v>
      </c>
      <c r="BH63" s="59">
        <f t="shared" si="8"/>
        <v>800.2156460810221</v>
      </c>
      <c r="BI63" s="59">
        <f ca="1">AVERAGE(OFFSET($BH$3,0,0,'Données projet'!$E$11+1,1))-AVERAGE(OFFSET($H$3,0,0,'Données projet'!$E$11+1,1))</f>
        <v>279.49721661620544</v>
      </c>
      <c r="BJ63" s="59">
        <f t="shared" si="38"/>
        <v>275.18739333988754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49.781987275783123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49.781987275783123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629</v>
      </c>
      <c r="BW63" s="12">
        <f>VLOOKUP(A63,'Données projet'!$A$113:$I$133,9,0)</f>
        <v>20.399999999999999</v>
      </c>
      <c r="BX63" s="12">
        <f t="array" ref="BX63">INDEX(BW:BW,MIN(IF(ISNUMBER(BW63:BW259),ROW(BW63:BW259),"")))</f>
        <v>20.399999999999999</v>
      </c>
      <c r="BY63" s="12">
        <f>IF('Données projet'!$A$114&gt;35,BY62+BX63-CG62,IF(A63&lt;'Données projet'!$A$114,$BV$205^A63,IF(A63='Données projet'!$A$114,'Données projet'!$B$114,BY62+BX63-CG62)))</f>
        <v>628.99999999999989</v>
      </c>
      <c r="BZ63" s="13">
        <f>BY63*VLOOKUP('Données projet'!$B$12,Paramètres!$A$1:$I$89,3,0)*VLOOKUP('Données projet'!$B$12,Paramètres!$A$1:$I$89,5,0)</f>
        <v>302.54899999999998</v>
      </c>
      <c r="CA63" s="13">
        <f t="shared" si="39"/>
        <v>71.710568367312305</v>
      </c>
      <c r="CB63" s="20">
        <f t="shared" si="10"/>
        <v>651.83541490640221</v>
      </c>
      <c r="CC63" s="59">
        <f t="shared" si="11"/>
        <v>945.16874823973558</v>
      </c>
      <c r="CD63" s="59">
        <f ca="1">AVERAGE(OFFSET($CC$3,0,0,'Données projet'!$E$12+1,1))-AVERAGE(OFFSET($H$3,0,0,'Données projet'!$E$12+1,1))</f>
        <v>349.65790906807746</v>
      </c>
      <c r="CE63" s="59">
        <f t="shared" si="40"/>
        <v>291.88925884278888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54</v>
      </c>
      <c r="CH63" s="16">
        <f>IF(ISNA(VLOOKUP(A63,'Données projet'!$A$113:$I$133,5,0)),0%,VLOOKUP(A63,'Données projet'!$A$113:$I$133,5,0)*VLOOKUP('Données projet'!$B$12,Paramètres!$A$1:$I$89,7,0))</f>
        <v>0.55000000000000004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101.89455084733828</v>
      </c>
      <c r="CL63" s="21">
        <f>EXP(-LN(2)/25)*CL62+(1-EXP(-LN(2)/25))/(LN(2)/25)*Calculateur!CG63*Calculateur!CI63*VLOOKUP('Données projet'!$B$12,Paramètres!$A$1:$I$89,3,0)*0.475*44/12</f>
        <v>17.930680456036395</v>
      </c>
      <c r="CM63" s="21">
        <f>EXP(-LN(2)/2)*CM62+(1-EXP(-LN(2)/2))/(LN(2)/2)*CG63*CJ63*VLOOKUP('Données projet'!$B$12,Paramètres!$A$1:$I$89,3,0)*0.475*44/12</f>
        <v>1.5581237843806181E-6</v>
      </c>
      <c r="CN63" s="22">
        <f t="shared" si="12"/>
        <v>119.82523286149846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271</v>
      </c>
      <c r="CR63" s="12">
        <f>VLOOKUP(A63,'Données projet'!$A$139:$I$159,9,0)</f>
        <v>7.4</v>
      </c>
      <c r="CS63" s="12">
        <f t="array" ref="CS63">INDEX(CR:CR,MIN(IF(ISNUMBER(CR63:CR259),ROW(CR63:CR259),"")))</f>
        <v>7.4</v>
      </c>
      <c r="CT63" s="12">
        <f>IF('Données projet'!$A$140&gt;35,CT62+CS63-DB62,IF(A63&lt;'Données projet'!$A$140,$CQ$205^A63,IF(A63='Données projet'!$A$140,'Données projet'!$B$140,CT62+CS63-DB62)))</f>
        <v>270.99999999999989</v>
      </c>
      <c r="CU63" s="17">
        <f>CT63*VLOOKUP('Données projet'!$B$13,Paramètres!$A$1:$I$89,3,0)*VLOOKUP('Données projet'!$B$13,Paramètres!$A$1:$I$89,5,0)</f>
        <v>211.37999999999991</v>
      </c>
      <c r="CV63" s="13">
        <f t="shared" si="41"/>
        <v>52.237035364084207</v>
      </c>
      <c r="CW63" s="20">
        <f t="shared" si="13"/>
        <v>459.1330032591132</v>
      </c>
      <c r="CX63" s="59">
        <f t="shared" si="14"/>
        <v>752.46633659244651</v>
      </c>
      <c r="CY63" s="59">
        <f ca="1">AVERAGE(OFFSET($CX$3,0,0,'Données projet'!$E$13+1,1))-AVERAGE(OFFSET($H$3,0,0,'Données projet'!$E$13+1,1))</f>
        <v>215.84581110302656</v>
      </c>
      <c r="CZ63" s="59">
        <f t="shared" si="42"/>
        <v>193.88588526156104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27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51.83645137465075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51.83645137465075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401</v>
      </c>
      <c r="O64" s="13">
        <f>N64*VLOOKUP('Données projet'!$B$9,Paramètres!$A$1:$I$89,3,0)*VLOOKUP('Données projet'!$B$9,Paramètres!$A$1:$I$89,5,0)</f>
        <v>250.22399999999999</v>
      </c>
      <c r="P64" s="13">
        <f t="shared" si="33"/>
        <v>60.633904580527918</v>
      </c>
      <c r="Q64" s="20">
        <f t="shared" si="53"/>
        <v>541.41085047775289</v>
      </c>
      <c r="R64" s="59">
        <f t="shared" si="0"/>
        <v>834.74418381108626</v>
      </c>
      <c r="S64" s="59">
        <f ca="1">AVERAGE(OFFSET($R$3,0,0,'Données projet'!$E$9+1,1))-AVERAGE(OFFSET($H$3,0,0,'Données projet'!$E$9+1,1))</f>
        <v>269.77739619445515</v>
      </c>
      <c r="T64" s="59">
        <f t="shared" si="34"/>
        <v>347.56964743629885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75.07669705822677</v>
      </c>
      <c r="AA64" s="21">
        <f>EXP(-LN(2)/25)*AA63+(1-EXP(-LN(2)/25))/(LN(2)/25)*Calculateur!V64*Calculateur!X64*VLOOKUP('Données projet'!$B$9,Paramètres!$A$1:$I$89,3,0)*0.475*44/12</f>
        <v>38.841135494562359</v>
      </c>
      <c r="AB64" s="21">
        <f>EXP(-LN(2)/2)*AB63+(1-EXP(-LN(2)/2))/(LN(2)/2)*V64*Y64*VLOOKUP('Données projet'!$B$9,Paramètres!$A$1:$I$89,3,0)*0.475*44/12</f>
        <v>5.3599129971741777E-7</v>
      </c>
      <c r="AC64" s="22">
        <f t="shared" si="3"/>
        <v>113.91783308878043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18.600000000000001</v>
      </c>
      <c r="AI64" s="13">
        <f>IF('Données projet'!$A$62&gt;35,AI63+AH64-AQ63,IF(A64&lt;'Données projet'!$A$62,$AF$205^A64,IF(A64='Données projet'!$A$62,'Données projet'!$B$62,AI63+AH64-AQ63)))</f>
        <v>599.59999999999991</v>
      </c>
      <c r="AJ64" s="13">
        <f>AI64*VLOOKUP('Données projet'!$B$10,Paramètres!$A$1:$I$89,3,0)*VLOOKUP('Données projet'!$B$10,Paramètres!$A$1:$I$89,5,0)</f>
        <v>280.61279999999999</v>
      </c>
      <c r="AK64" s="13">
        <f t="shared" si="35"/>
        <v>67.096494655110604</v>
      </c>
      <c r="AL64" s="20">
        <f t="shared" si="4"/>
        <v>605.59368819098427</v>
      </c>
      <c r="AM64" s="59">
        <f t="shared" si="5"/>
        <v>898.92702152431752</v>
      </c>
      <c r="AN64" s="59">
        <f ca="1">AVERAGE(OFFSET($AM$3,0,0,'Données projet'!$E$10+1,1))-AVERAGE(OFFSET($H$3,0,0,'Données projet'!$E$10+1,1))</f>
        <v>342.49944586217674</v>
      </c>
      <c r="AO64" s="59">
        <f t="shared" si="36"/>
        <v>282.29766600872563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95.952189231934923</v>
      </c>
      <c r="AV64" s="21">
        <f>EXP(-LN(2)/25)*AV63+(1-EXP(-LN(2)/25))/(LN(2)/25)*Calculateur!AQ64*Calculateur!AS64*VLOOKUP('Données projet'!$B$10,Paramètres!$A$1:$I$89,3,0)*0.475*44/12</f>
        <v>16.969003838301948</v>
      </c>
      <c r="AW64" s="21">
        <f>EXP(-LN(2)/2)*AW63+(1-EXP(-LN(2)/2))/(LN(2)/2)*AQ64*AT64*VLOOKUP('Données projet'!$B$10,Paramètres!$A$1:$I$89,3,0)*0.475*44/12</f>
        <v>1.7866376657247274E-6</v>
      </c>
      <c r="AX64" s="21">
        <f t="shared" si="6"/>
        <v>112.92119485687454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226.90511999999993</v>
      </c>
      <c r="BF64" s="13">
        <f t="shared" si="37"/>
        <v>55.612969408444364</v>
      </c>
      <c r="BG64" s="20">
        <f t="shared" si="7"/>
        <v>492.05233905304044</v>
      </c>
      <c r="BH64" s="59">
        <f t="shared" si="8"/>
        <v>785.3856723863737</v>
      </c>
      <c r="BI64" s="59">
        <f ca="1">AVERAGE(OFFSET($BH$3,0,0,'Données projet'!$E$11+1,1))-AVERAGE(OFFSET($H$3,0,0,'Données projet'!$E$11+1,1))</f>
        <v>279.49721661620544</v>
      </c>
      <c r="BJ64" s="59">
        <f t="shared" si="38"/>
        <v>275.18739333988754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48.805792869319056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48.805792869319056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19.2</v>
      </c>
      <c r="BY64" s="12">
        <f>IF('Données projet'!$A$114&gt;35,BY63+BX64-CG63,IF(A64&lt;'Données projet'!$A$114,$BV$205^A64,IF(A64='Données projet'!$A$114,'Données projet'!$B$114,BY63+BX64-CG63)))</f>
        <v>594.19999999999993</v>
      </c>
      <c r="BZ64" s="13">
        <f>BY64*VLOOKUP('Données projet'!$B$12,Paramètres!$A$1:$I$89,3,0)*VLOOKUP('Données projet'!$B$12,Paramètres!$A$1:$I$89,5,0)</f>
        <v>285.81020000000001</v>
      </c>
      <c r="CA64" s="13">
        <f t="shared" si="39"/>
        <v>68.193399612380489</v>
      </c>
      <c r="CB64" s="20">
        <f t="shared" si="10"/>
        <v>616.55626932489611</v>
      </c>
      <c r="CC64" s="59">
        <f t="shared" si="11"/>
        <v>909.88960265822948</v>
      </c>
      <c r="CD64" s="59">
        <f ca="1">AVERAGE(OFFSET($CC$3,0,0,'Données projet'!$E$12+1,1))-AVERAGE(OFFSET($H$3,0,0,'Données projet'!$E$12+1,1))</f>
        <v>349.65790906807746</v>
      </c>
      <c r="CE64" s="59">
        <f t="shared" si="40"/>
        <v>291.88925884278888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99.89646085476123</v>
      </c>
      <c r="CL64" s="21">
        <f>EXP(-LN(2)/25)*CL63+(1-EXP(-LN(2)/25))/(LN(2)/25)*Calculateur!CG64*Calculateur!CI64*VLOOKUP('Données projet'!$B$12,Paramètres!$A$1:$I$89,3,0)*0.475*44/12</f>
        <v>17.440365056032576</v>
      </c>
      <c r="CM64" s="21">
        <f>EXP(-LN(2)/2)*CM63+(1-EXP(-LN(2)/2))/(LN(2)/2)*CG64*CJ64*VLOOKUP('Données projet'!$B$12,Paramètres!$A$1:$I$89,3,0)*0.475*44/12</f>
        <v>1.1017598938635811E-6</v>
      </c>
      <c r="CN64" s="22">
        <f t="shared" si="12"/>
        <v>117.3368270125537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6.4</v>
      </c>
      <c r="CT64" s="12">
        <f>IF('Données projet'!$A$140&gt;35,CT63+CS64-DB63,IF(A64&lt;'Données projet'!$A$140,$CQ$205^A64,IF(A64='Données projet'!$A$140,'Données projet'!$B$140,CT63+CS64-DB63)))</f>
        <v>250.39999999999986</v>
      </c>
      <c r="CU64" s="17">
        <f>CT64*VLOOKUP('Données projet'!$B$13,Paramètres!$A$1:$I$89,3,0)*VLOOKUP('Données projet'!$B$13,Paramètres!$A$1:$I$89,5,0)</f>
        <v>195.3119999999999</v>
      </c>
      <c r="CV64" s="13">
        <f t="shared" si="41"/>
        <v>48.712469285758459</v>
      </c>
      <c r="CW64" s="20">
        <f t="shared" si="13"/>
        <v>425.00928400602908</v>
      </c>
      <c r="CX64" s="59">
        <f t="shared" si="14"/>
        <v>718.34261733936239</v>
      </c>
      <c r="CY64" s="59">
        <f ca="1">AVERAGE(OFFSET($CX$3,0,0,'Données projet'!$E$13+1,1))-AVERAGE(OFFSET($H$3,0,0,'Données projet'!$E$13+1,1))</f>
        <v>215.84581110302656</v>
      </c>
      <c r="CZ64" s="59">
        <f t="shared" si="42"/>
        <v>193.88588526156104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50.819970180307259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50.819970180307259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401</v>
      </c>
      <c r="O65" s="13">
        <f>N65*VLOOKUP('Données projet'!$B$9,Paramètres!$A$1:$I$89,3,0)*VLOOKUP('Données projet'!$B$9,Paramètres!$A$1:$I$89,5,0)</f>
        <v>250.22399999999999</v>
      </c>
      <c r="P65" s="13">
        <f t="shared" si="33"/>
        <v>60.633904580527918</v>
      </c>
      <c r="Q65" s="20">
        <f t="shared" si="53"/>
        <v>541.41085047775289</v>
      </c>
      <c r="R65" s="59">
        <f t="shared" si="0"/>
        <v>834.74418381108626</v>
      </c>
      <c r="S65" s="59">
        <f ca="1">AVERAGE(OFFSET($R$3,0,0,'Données projet'!$E$9+1,1))-AVERAGE(OFFSET($H$3,0,0,'Données projet'!$E$9+1,1))</f>
        <v>269.77739619445515</v>
      </c>
      <c r="T65" s="59">
        <f t="shared" si="34"/>
        <v>347.56964743629885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73.604488821178535</v>
      </c>
      <c r="AA65" s="21">
        <f>EXP(-LN(2)/25)*AA64+(1-EXP(-LN(2)/25))/(LN(2)/25)*Calculateur!V65*Calculateur!X65*VLOOKUP('Données projet'!$B$9,Paramètres!$A$1:$I$89,3,0)*0.475*44/12</f>
        <v>37.779022601897005</v>
      </c>
      <c r="AB65" s="21">
        <f>EXP(-LN(2)/2)*AB64+(1-EXP(-LN(2)/2))/(LN(2)/2)*V65*Y65*VLOOKUP('Données projet'!$B$9,Paramètres!$A$1:$I$89,3,0)*0.475*44/12</f>
        <v>3.7900308268717734E-7</v>
      </c>
      <c r="AC65" s="22">
        <f t="shared" si="3"/>
        <v>111.38351180207862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18.600000000000001</v>
      </c>
      <c r="AI65" s="13">
        <f>IF('Données projet'!$A$62&gt;35,AI64+AH65-AQ64,IF(A65&lt;'Données projet'!$A$62,$AF$205^A65,IF(A65='Données projet'!$A$62,'Données projet'!$B$62,AI64+AH65-AQ64)))</f>
        <v>618.19999999999993</v>
      </c>
      <c r="AJ65" s="13">
        <f>AI65*VLOOKUP('Données projet'!$B$10,Paramètres!$A$1:$I$89,3,0)*VLOOKUP('Données projet'!$B$10,Paramètres!$A$1:$I$89,5,0)</f>
        <v>289.31759999999997</v>
      </c>
      <c r="AK65" s="13">
        <f t="shared" si="35"/>
        <v>68.932318451827797</v>
      </c>
      <c r="AL65" s="20">
        <f t="shared" si="4"/>
        <v>623.95194130359994</v>
      </c>
      <c r="AM65" s="59">
        <f t="shared" si="5"/>
        <v>917.28527463693331</v>
      </c>
      <c r="AN65" s="59">
        <f ca="1">AVERAGE(OFFSET($AM$3,0,0,'Données projet'!$E$10+1,1))-AVERAGE(OFFSET($H$3,0,0,'Données projet'!$E$10+1,1))</f>
        <v>342.49944586217674</v>
      </c>
      <c r="AO65" s="59">
        <f t="shared" si="36"/>
        <v>282.29766600872563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94.070625326153248</v>
      </c>
      <c r="AV65" s="21">
        <f>EXP(-LN(2)/25)*AV64+(1-EXP(-LN(2)/25))/(LN(2)/25)*Calculateur!AQ65*Calculateur!AS65*VLOOKUP('Données projet'!$B$10,Paramètres!$A$1:$I$89,3,0)*0.475*44/12</f>
        <v>16.504985535982453</v>
      </c>
      <c r="AW65" s="21">
        <f>EXP(-LN(2)/2)*AW64+(1-EXP(-LN(2)/2))/(LN(2)/2)*AQ65*AT65*VLOOKUP('Données projet'!$B$10,Paramètres!$A$1:$I$89,3,0)*0.475*44/12</f>
        <v>1.2633436089572589E-6</v>
      </c>
      <c r="AX65" s="21">
        <f t="shared" si="6"/>
        <v>110.57561212547931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231.04223999999991</v>
      </c>
      <c r="BF65" s="13">
        <f t="shared" si="37"/>
        <v>56.507978852931409</v>
      </c>
      <c r="BG65" s="20">
        <f t="shared" si="7"/>
        <v>500.81663116885539</v>
      </c>
      <c r="BH65" s="59">
        <f t="shared" si="8"/>
        <v>794.14996450218871</v>
      </c>
      <c r="BI65" s="59">
        <f ca="1">AVERAGE(OFFSET($BH$3,0,0,'Données projet'!$E$11+1,1))-AVERAGE(OFFSET($H$3,0,0,'Données projet'!$E$11+1,1))</f>
        <v>279.49721661620544</v>
      </c>
      <c r="BJ65" s="59">
        <f t="shared" si="38"/>
        <v>275.18739333988754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47.848741039745953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47.848741039745953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19.2</v>
      </c>
      <c r="BY65" s="12">
        <f>IF('Données projet'!$A$114&gt;35,BY64+BX65-CG64,IF(A65&lt;'Données projet'!$A$114,$BV$205^A65,IF(A65='Données projet'!$A$114,'Données projet'!$B$114,BY64+BX65-CG64)))</f>
        <v>613.4</v>
      </c>
      <c r="BZ65" s="13">
        <f>BY65*VLOOKUP('Données projet'!$B$12,Paramètres!$A$1:$I$89,3,0)*VLOOKUP('Données projet'!$B$12,Paramètres!$A$1:$I$89,5,0)</f>
        <v>295.04540000000003</v>
      </c>
      <c r="CA65" s="13">
        <f t="shared" si="39"/>
        <v>70.136784451359162</v>
      </c>
      <c r="CB65" s="20">
        <f t="shared" si="10"/>
        <v>636.02563791945056</v>
      </c>
      <c r="CC65" s="59">
        <f t="shared" si="11"/>
        <v>929.35897125278393</v>
      </c>
      <c r="CD65" s="59">
        <f ca="1">AVERAGE(OFFSET($CC$3,0,0,'Données projet'!$E$12+1,1))-AVERAGE(OFFSET($H$3,0,0,'Données projet'!$E$12+1,1))</f>
        <v>349.65790906807746</v>
      </c>
      <c r="CE65" s="59">
        <f t="shared" si="40"/>
        <v>291.88925884278888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97.937552188224061</v>
      </c>
      <c r="CL65" s="21">
        <f>EXP(-LN(2)/25)*CL64+(1-EXP(-LN(2)/25))/(LN(2)/25)*Calculateur!CG65*Calculateur!CI65*VLOOKUP('Données projet'!$B$12,Paramètres!$A$1:$I$89,3,0)*0.475*44/12</f>
        <v>16.963457356426428</v>
      </c>
      <c r="CM65" s="21">
        <f>EXP(-LN(2)/2)*CM64+(1-EXP(-LN(2)/2))/(LN(2)/2)*CG65*CJ65*VLOOKUP('Données projet'!$B$12,Paramètres!$A$1:$I$89,3,0)*0.475*44/12</f>
        <v>7.7906189219030906E-7</v>
      </c>
      <c r="CN65" s="22">
        <f t="shared" si="12"/>
        <v>114.90101032371238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6.4</v>
      </c>
      <c r="CT65" s="12">
        <f>IF('Données projet'!$A$140&gt;35,CT64+CS65-DB64,IF(A65&lt;'Données projet'!$A$140,$CQ$205^A65,IF(A65='Données projet'!$A$140,'Données projet'!$B$140,CT64+CS65-DB64)))</f>
        <v>256.79999999999984</v>
      </c>
      <c r="CU65" s="17">
        <f>CT65*VLOOKUP('Données projet'!$B$13,Paramètres!$A$1:$I$89,3,0)*VLOOKUP('Données projet'!$B$13,Paramètres!$A$1:$I$89,5,0)</f>
        <v>200.30399999999989</v>
      </c>
      <c r="CV65" s="13">
        <f t="shared" si="41"/>
        <v>49.810971817279096</v>
      </c>
      <c r="CW65" s="20">
        <f t="shared" si="13"/>
        <v>435.61690924842759</v>
      </c>
      <c r="CX65" s="59">
        <f t="shared" si="14"/>
        <v>728.9502425817609</v>
      </c>
      <c r="CY65" s="59">
        <f ca="1">AVERAGE(OFFSET($CX$3,0,0,'Données projet'!$E$13+1,1))-AVERAGE(OFFSET($H$3,0,0,'Données projet'!$E$13+1,1))</f>
        <v>215.84581110302656</v>
      </c>
      <c r="CZ65" s="59">
        <f t="shared" si="42"/>
        <v>193.88588526156104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49.823421562192529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49.823421562192529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401</v>
      </c>
      <c r="O66" s="13">
        <f>N66*VLOOKUP('Données projet'!$B$9,Paramètres!$A$1:$I$89,3,0)*VLOOKUP('Données projet'!$B$9,Paramètres!$A$1:$I$89,5,0)</f>
        <v>250.22399999999999</v>
      </c>
      <c r="P66" s="13">
        <f t="shared" si="33"/>
        <v>60.633904580527918</v>
      </c>
      <c r="Q66" s="20">
        <f t="shared" si="53"/>
        <v>541.41085047775289</v>
      </c>
      <c r="R66" s="59">
        <f t="shared" si="0"/>
        <v>834.74418381108626</v>
      </c>
      <c r="S66" s="59">
        <f ca="1">AVERAGE(OFFSET($R$3,0,0,'Données projet'!$E$9+1,1))-AVERAGE(OFFSET($H$3,0,0,'Données projet'!$E$9+1,1))</f>
        <v>269.77739619445515</v>
      </c>
      <c r="T66" s="59">
        <f t="shared" si="34"/>
        <v>347.56964743629885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72.161149689700466</v>
      </c>
      <c r="AA66" s="21">
        <f>EXP(-LN(2)/25)*AA65+(1-EXP(-LN(2)/25))/(LN(2)/25)*Calculateur!V66*Calculateur!X66*VLOOKUP('Données projet'!$B$9,Paramètres!$A$1:$I$89,3,0)*0.475*44/12</f>
        <v>36.745953242135677</v>
      </c>
      <c r="AB66" s="21">
        <f>EXP(-LN(2)/2)*AB65+(1-EXP(-LN(2)/2))/(LN(2)/2)*V66*Y66*VLOOKUP('Données projet'!$B$9,Paramètres!$A$1:$I$89,3,0)*0.475*44/12</f>
        <v>2.6799564985870888E-7</v>
      </c>
      <c r="AC66" s="22">
        <f t="shared" si="3"/>
        <v>108.90710319983178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18.600000000000001</v>
      </c>
      <c r="AI66" s="13">
        <f>IF('Données projet'!$A$62&gt;35,AI65+AH66-AQ65,IF(A66&lt;'Données projet'!$A$62,$AF$205^A66,IF(A66='Données projet'!$A$62,'Données projet'!$B$62,AI65+AH66-AQ65)))</f>
        <v>636.79999999999995</v>
      </c>
      <c r="AJ66" s="13">
        <f>AI66*VLOOKUP('Données projet'!$B$10,Paramètres!$A$1:$I$89,3,0)*VLOOKUP('Données projet'!$B$10,Paramètres!$A$1:$I$89,5,0)</f>
        <v>298.02239999999995</v>
      </c>
      <c r="AK66" s="13">
        <f t="shared" si="35"/>
        <v>70.761723107893317</v>
      </c>
      <c r="AL66" s="20">
        <f t="shared" si="4"/>
        <v>642.29901441291406</v>
      </c>
      <c r="AM66" s="59">
        <f t="shared" si="5"/>
        <v>935.63234774624743</v>
      </c>
      <c r="AN66" s="59">
        <f ca="1">AVERAGE(OFFSET($AM$3,0,0,'Données projet'!$E$10+1,1))-AVERAGE(OFFSET($H$3,0,0,'Données projet'!$E$10+1,1))</f>
        <v>342.49944586217674</v>
      </c>
      <c r="AO66" s="59">
        <f t="shared" si="36"/>
        <v>282.29766600872563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92.225957740923278</v>
      </c>
      <c r="AV66" s="21">
        <f>EXP(-LN(2)/25)*AV65+(1-EXP(-LN(2)/25))/(LN(2)/25)*Calculateur!AQ66*Calculateur!AS66*VLOOKUP('Données projet'!$B$10,Paramètres!$A$1:$I$89,3,0)*0.475*44/12</f>
        <v>16.053655838541545</v>
      </c>
      <c r="AW66" s="21">
        <f>EXP(-LN(2)/2)*AW65+(1-EXP(-LN(2)/2))/(LN(2)/2)*AQ66*AT66*VLOOKUP('Données projet'!$B$10,Paramètres!$A$1:$I$89,3,0)*0.475*44/12</f>
        <v>8.9331883286236372E-7</v>
      </c>
      <c r="AX66" s="21">
        <f t="shared" si="6"/>
        <v>108.27961447278365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235.17935999999989</v>
      </c>
      <c r="BF66" s="13">
        <f t="shared" si="37"/>
        <v>57.401124668909425</v>
      </c>
      <c r="BG66" s="20">
        <f t="shared" si="7"/>
        <v>509.57767746501708</v>
      </c>
      <c r="BH66" s="59">
        <f t="shared" si="8"/>
        <v>802.91101079835039</v>
      </c>
      <c r="BI66" s="59">
        <f ca="1">AVERAGE(OFFSET($BH$3,0,0,'Données projet'!$E$11+1,1))-AVERAGE(OFFSET($H$3,0,0,'Données projet'!$E$11+1,1))</f>
        <v>279.49721661620544</v>
      </c>
      <c r="BJ66" s="59">
        <f t="shared" si="38"/>
        <v>275.18739333988754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46.910456412806802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46.910456412806802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19.2</v>
      </c>
      <c r="BY66" s="12">
        <f>IF('Données projet'!$A$114&gt;35,BY65+BX66-CG65,IF(A66&lt;'Données projet'!$A$114,$BV$205^A66,IF(A66='Données projet'!$A$114,'Données projet'!$B$114,BY65+BX66-CG65)))</f>
        <v>632.6</v>
      </c>
      <c r="BZ66" s="13">
        <f>BY66*VLOOKUP('Données projet'!$B$12,Paramètres!$A$1:$I$89,3,0)*VLOOKUP('Données projet'!$B$12,Paramètres!$A$1:$I$89,5,0)</f>
        <v>304.28060000000005</v>
      </c>
      <c r="CA66" s="13">
        <f t="shared" si="39"/>
        <v>72.073100367212803</v>
      </c>
      <c r="CB66" s="20">
        <f t="shared" si="10"/>
        <v>655.48269480622912</v>
      </c>
      <c r="CC66" s="59">
        <f t="shared" si="11"/>
        <v>948.81602813956238</v>
      </c>
      <c r="CD66" s="59">
        <f ca="1">AVERAGE(OFFSET($CC$3,0,0,'Données projet'!$E$12+1,1))-AVERAGE(OFFSET($H$3,0,0,'Données projet'!$E$12+1,1))</f>
        <v>349.65790906807746</v>
      </c>
      <c r="CE66" s="59">
        <f t="shared" si="40"/>
        <v>291.88925884278888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96.017056525821374</v>
      </c>
      <c r="CL66" s="21">
        <f>EXP(-LN(2)/25)*CL65+(1-EXP(-LN(2)/25))/(LN(2)/25)*Calculateur!CG66*Calculateur!CI66*VLOOKUP('Données projet'!$B$12,Paramètres!$A$1:$I$89,3,0)*0.475*44/12</f>
        <v>16.499590722945495</v>
      </c>
      <c r="CM66" s="21">
        <f>EXP(-LN(2)/2)*CM65+(1-EXP(-LN(2)/2))/(LN(2)/2)*CG66*CJ66*VLOOKUP('Données projet'!$B$12,Paramètres!$A$1:$I$89,3,0)*0.475*44/12</f>
        <v>5.5087994693179054E-7</v>
      </c>
      <c r="CN66" s="22">
        <f t="shared" si="12"/>
        <v>112.51664779964682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6.4</v>
      </c>
      <c r="CT66" s="12">
        <f>IF('Données projet'!$A$140&gt;35,CT65+CS66-DB65,IF(A66&lt;'Données projet'!$A$140,$CQ$205^A66,IF(A66='Données projet'!$A$140,'Données projet'!$B$140,CT65+CS66-DB65)))</f>
        <v>263.19999999999982</v>
      </c>
      <c r="CU66" s="17">
        <f>CT66*VLOOKUP('Données projet'!$B$13,Paramètres!$A$1:$I$89,3,0)*VLOOKUP('Données projet'!$B$13,Paramètres!$A$1:$I$89,5,0)</f>
        <v>205.29599999999988</v>
      </c>
      <c r="CV66" s="13">
        <f t="shared" si="41"/>
        <v>50.906291934375353</v>
      </c>
      <c r="CW66" s="20">
        <f t="shared" si="13"/>
        <v>446.21899178570357</v>
      </c>
      <c r="CX66" s="59">
        <f t="shared" si="14"/>
        <v>739.55232511903682</v>
      </c>
      <c r="CY66" s="59">
        <f ca="1">AVERAGE(OFFSET($CX$3,0,0,'Données projet'!$E$13+1,1))-AVERAGE(OFFSET($H$3,0,0,'Données projet'!$E$13+1,1))</f>
        <v>215.84581110302656</v>
      </c>
      <c r="CZ66" s="59">
        <f t="shared" si="42"/>
        <v>193.88588526156104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48.846414654644391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48.846414654644391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401</v>
      </c>
      <c r="O67" s="13">
        <f>N67*VLOOKUP('Données projet'!$B$9,Paramètres!$A$1:$I$89,3,0)*VLOOKUP('Données projet'!$B$9,Paramètres!$A$1:$I$89,5,0)</f>
        <v>250.22399999999999</v>
      </c>
      <c r="P67" s="13">
        <f t="shared" si="33"/>
        <v>60.633904580527918</v>
      </c>
      <c r="Q67" s="20">
        <f t="shared" ref="Q67:Q98" si="54">(O67+P67)*0.475*44/12</f>
        <v>541.41085047775289</v>
      </c>
      <c r="R67" s="59">
        <f t="shared" ref="R67:R130" si="55">Q67+(I67+J67)*44/12</f>
        <v>834.74418381108626</v>
      </c>
      <c r="S67" s="59">
        <f ca="1">AVERAGE(OFFSET($R$3,0,0,'Données projet'!$E$9+1,1))-AVERAGE(OFFSET($H$3,0,0,'Données projet'!$E$9+1,1))</f>
        <v>269.77739619445515</v>
      </c>
      <c r="T67" s="59">
        <f t="shared" si="34"/>
        <v>347.56964743629885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70.746113558240737</v>
      </c>
      <c r="AA67" s="21">
        <f>EXP(-LN(2)/25)*AA66+(1-EXP(-LN(2)/25))/(LN(2)/25)*Calculateur!V67*Calculateur!X67*VLOOKUP('Données projet'!$B$9,Paramètres!$A$1:$I$89,3,0)*0.475*44/12</f>
        <v>35.741133218343776</v>
      </c>
      <c r="AB67" s="21">
        <f>EXP(-LN(2)/2)*AB66+(1-EXP(-LN(2)/2))/(LN(2)/2)*V67*Y67*VLOOKUP('Données projet'!$B$9,Paramètres!$A$1:$I$89,3,0)*0.475*44/12</f>
        <v>1.8950154134358867E-7</v>
      </c>
      <c r="AC67" s="22">
        <f t="shared" si="3"/>
        <v>106.48724696608605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18.600000000000001</v>
      </c>
      <c r="AI67" s="13">
        <f>IF('Données projet'!$A$62&gt;35,AI66+AH67-AQ66,IF(A67&lt;'Données projet'!$A$62,$AF$205^A67,IF(A67='Données projet'!$A$62,'Données projet'!$B$62,AI66+AH67-AQ66)))</f>
        <v>655.4</v>
      </c>
      <c r="AJ67" s="13">
        <f>AI67*VLOOKUP('Données projet'!$B$10,Paramètres!$A$1:$I$89,3,0)*VLOOKUP('Données projet'!$B$10,Paramètres!$A$1:$I$89,5,0)</f>
        <v>306.72719999999998</v>
      </c>
      <c r="AK67" s="13">
        <f t="shared" si="35"/>
        <v>72.584917646145584</v>
      </c>
      <c r="AL67" s="20">
        <f t="shared" si="4"/>
        <v>660.63527156703685</v>
      </c>
      <c r="AM67" s="59">
        <f t="shared" si="5"/>
        <v>953.96860490037011</v>
      </c>
      <c r="AN67" s="59">
        <f ca="1">AVERAGE(OFFSET($AM$3,0,0,'Données projet'!$E$10+1,1))-AVERAGE(OFFSET($H$3,0,0,'Données projet'!$E$10+1,1))</f>
        <v>342.49944586217674</v>
      </c>
      <c r="AO67" s="59">
        <f t="shared" si="36"/>
        <v>282.29766600872563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90.417462961903539</v>
      </c>
      <c r="AV67" s="21">
        <f>EXP(-LN(2)/25)*AV66+(1-EXP(-LN(2)/25))/(LN(2)/25)*Calculateur!AQ67*Calculateur!AS67*VLOOKUP('Données projet'!$B$10,Paramètres!$A$1:$I$89,3,0)*0.475*44/12</f>
        <v>15.614667775411556</v>
      </c>
      <c r="AW67" s="21">
        <f>EXP(-LN(2)/2)*AW66+(1-EXP(-LN(2)/2))/(LN(2)/2)*AQ67*AT67*VLOOKUP('Données projet'!$B$10,Paramètres!$A$1:$I$89,3,0)*0.475*44/12</f>
        <v>6.3167180447862944E-7</v>
      </c>
      <c r="AX67" s="21">
        <f t="shared" si="6"/>
        <v>106.03213136898691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239.3164799999999</v>
      </c>
      <c r="BF67" s="13">
        <f t="shared" si="37"/>
        <v>58.292443422481945</v>
      </c>
      <c r="BG67" s="20">
        <f t="shared" si="7"/>
        <v>518.33554162748919</v>
      </c>
      <c r="BH67" s="59">
        <f t="shared" si="8"/>
        <v>811.66887496082245</v>
      </c>
      <c r="BI67" s="59">
        <f ca="1">AVERAGE(OFFSET($BH$3,0,0,'Données projet'!$E$11+1,1))-AVERAGE(OFFSET($H$3,0,0,'Données projet'!$E$11+1,1))</f>
        <v>279.49721661620544</v>
      </c>
      <c r="BJ67" s="59">
        <f t="shared" si="38"/>
        <v>275.18739333988754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45.990570975104816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45.990570975104816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19.2</v>
      </c>
      <c r="BY67" s="12">
        <f>IF('Données projet'!$A$114&gt;35,BY66+BX67-CG66,IF(A67&lt;'Données projet'!$A$114,$BV$205^A67,IF(A67='Données projet'!$A$114,'Données projet'!$B$114,BY66+BX67-CG66)))</f>
        <v>651.80000000000007</v>
      </c>
      <c r="BZ67" s="13">
        <f>BY67*VLOOKUP('Données projet'!$B$12,Paramètres!$A$1:$I$89,3,0)*VLOOKUP('Données projet'!$B$12,Paramètres!$A$1:$I$89,5,0)</f>
        <v>313.51580000000007</v>
      </c>
      <c r="CA67" s="13">
        <f t="shared" si="39"/>
        <v>74.002586533663177</v>
      </c>
      <c r="CB67" s="20">
        <f t="shared" si="10"/>
        <v>674.9278565461301</v>
      </c>
      <c r="CC67" s="59">
        <f t="shared" si="11"/>
        <v>968.26118987946347</v>
      </c>
      <c r="CD67" s="59">
        <f ca="1">AVERAGE(OFFSET($CC$3,0,0,'Données projet'!$E$12+1,1))-AVERAGE(OFFSET($H$3,0,0,'Données projet'!$E$12+1,1))</f>
        <v>349.65790906807746</v>
      </c>
      <c r="CE67" s="59">
        <f t="shared" si="40"/>
        <v>291.88925884278888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94.134220611971728</v>
      </c>
      <c r="CL67" s="21">
        <f>EXP(-LN(2)/25)*CL66+(1-EXP(-LN(2)/25))/(LN(2)/25)*Calculateur!CG67*Calculateur!CI67*VLOOKUP('Données projet'!$B$12,Paramètres!$A$1:$I$89,3,0)*0.475*44/12</f>
        <v>16.048408546950785</v>
      </c>
      <c r="CM67" s="21">
        <f>EXP(-LN(2)/2)*CM66+(1-EXP(-LN(2)/2))/(LN(2)/2)*CG67*CJ67*VLOOKUP('Données projet'!$B$12,Paramètres!$A$1:$I$89,3,0)*0.475*44/12</f>
        <v>3.8953094609515453E-7</v>
      </c>
      <c r="CN67" s="22">
        <f t="shared" si="12"/>
        <v>110.18262954845345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6.4</v>
      </c>
      <c r="CT67" s="12">
        <f>IF('Données projet'!$A$140&gt;35,CT66+CS67-DB66,IF(A67&lt;'Données projet'!$A$140,$CQ$205^A67,IF(A67='Données projet'!$A$140,'Données projet'!$B$140,CT66+CS67-DB66)))</f>
        <v>269.5999999999998</v>
      </c>
      <c r="CU67" s="17">
        <f>CT67*VLOOKUP('Données projet'!$B$13,Paramètres!$A$1:$I$89,3,0)*VLOOKUP('Données projet'!$B$13,Paramètres!$A$1:$I$89,5,0)</f>
        <v>210.28799999999984</v>
      </c>
      <c r="CV67" s="13">
        <f t="shared" si="41"/>
        <v>51.998515923525652</v>
      </c>
      <c r="CW67" s="20">
        <f t="shared" si="13"/>
        <v>456.81568190014019</v>
      </c>
      <c r="CX67" s="59">
        <f t="shared" si="14"/>
        <v>750.14901523347351</v>
      </c>
      <c r="CY67" s="59">
        <f ca="1">AVERAGE(OFFSET($CX$3,0,0,'Données projet'!$E$13+1,1))-AVERAGE(OFFSET($H$3,0,0,'Données projet'!$E$13+1,1))</f>
        <v>215.84581110302656</v>
      </c>
      <c r="CZ67" s="59">
        <f t="shared" si="42"/>
        <v>193.88588526156104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47.888566256637901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47.888566256637901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401</v>
      </c>
      <c r="O68" s="13">
        <f>N68*VLOOKUP('Données projet'!$B$9,Paramètres!$A$1:$I$89,3,0)*VLOOKUP('Données projet'!$B$9,Paramètres!$A$1:$I$89,5,0)</f>
        <v>250.22399999999999</v>
      </c>
      <c r="P68" s="13">
        <f t="shared" si="33"/>
        <v>60.633904580527918</v>
      </c>
      <c r="Q68" s="20">
        <f t="shared" si="54"/>
        <v>541.41085047775289</v>
      </c>
      <c r="R68" s="59">
        <f t="shared" si="55"/>
        <v>834.74418381108626</v>
      </c>
      <c r="S68" s="59">
        <f ca="1">AVERAGE(OFFSET($R$3,0,0,'Données projet'!$E$9+1,1))-AVERAGE(OFFSET($H$3,0,0,'Données projet'!$E$9+1,1))</f>
        <v>269.77739619445515</v>
      </c>
      <c r="T68" s="59">
        <f t="shared" si="34"/>
        <v>347.56964743629885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69.358825422232115</v>
      </c>
      <c r="AA68" s="21">
        <f>EXP(-LN(2)/25)*AA67+(1-EXP(-LN(2)/25))/(LN(2)/25)*Calculateur!V68*Calculateur!X68*VLOOKUP('Données projet'!$B$9,Paramètres!$A$1:$I$89,3,0)*0.475*44/12</f>
        <v>34.763790050943655</v>
      </c>
      <c r="AB68" s="21">
        <f>EXP(-LN(2)/2)*AB67+(1-EXP(-LN(2)/2))/(LN(2)/2)*V68*Y68*VLOOKUP('Données projet'!$B$9,Paramètres!$A$1:$I$89,3,0)*0.475*44/12</f>
        <v>1.3399782492935444E-7</v>
      </c>
      <c r="AC68" s="22">
        <f t="shared" ref="AC68:AC131" si="57">SUM(Z68:AB68)</f>
        <v>104.1226156071736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674</v>
      </c>
      <c r="AG68" s="12">
        <f>VLOOKUP(A68,'Données projet'!$A$61:$I$81,9,0)</f>
        <v>18.600000000000001</v>
      </c>
      <c r="AH68" s="12">
        <f t="array" ref="AH68">INDEX(AG:AG,MIN(IF(ISNUMBER(AG68:AG264),ROW(AG68:AG264),"")))</f>
        <v>18.600000000000001</v>
      </c>
      <c r="AI68" s="13">
        <f>IF('Données projet'!$A$62&gt;35,AI67+AH68-AQ67,IF(A68&lt;'Données projet'!$A$62,$AF$205^A68,IF(A68='Données projet'!$A$62,'Données projet'!$B$62,AI67+AH68-AQ67)))</f>
        <v>674</v>
      </c>
      <c r="AJ68" s="13">
        <f>AI68*VLOOKUP('Données projet'!$B$10,Paramètres!$A$1:$I$89,3,0)*VLOOKUP('Données projet'!$B$10,Paramètres!$A$1:$I$89,5,0)</f>
        <v>315.43200000000002</v>
      </c>
      <c r="AK68" s="13">
        <f t="shared" si="35"/>
        <v>74.402098550585634</v>
      </c>
      <c r="AL68" s="20">
        <f t="shared" ref="AL68:AL131" si="58">(AJ68+AK68)*0.475*44/12</f>
        <v>678.96105497560313</v>
      </c>
      <c r="AM68" s="59">
        <f t="shared" ref="AM68:AM131" si="59">AL68+(AD68+AE68)*44/12</f>
        <v>972.2943883089365</v>
      </c>
      <c r="AN68" s="59">
        <f ca="1">AVERAGE(OFFSET($AM$3,0,0,'Données projet'!$E$10+1,1))-AVERAGE(OFFSET($H$3,0,0,'Données projet'!$E$10+1,1))</f>
        <v>342.49944586217674</v>
      </c>
      <c r="AO68" s="59">
        <f t="shared" si="36"/>
        <v>282.29766600872563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48</v>
      </c>
      <c r="AR68" s="16">
        <f>IF(ISNA(VLOOKUP(A68,'Données projet'!$A$61:$I$81,5,0)),0%,VLOOKUP(A68,'Données projet'!$A$61:$I$81,5,0)*VLOOKUP('Données projet'!$B$10,Paramètres!$A$1:$I$89,7,0))</f>
        <v>0.55000000000000004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105.03440082227408</v>
      </c>
      <c r="AV68" s="21">
        <f>EXP(-LN(2)/25)*AV67+(1-EXP(-LN(2)/25))/(LN(2)/25)*Calculateur!AQ68*Calculateur!AS68*VLOOKUP('Données projet'!$B$10,Paramètres!$A$1:$I$89,3,0)*0.475*44/12</f>
        <v>15.187683863953236</v>
      </c>
      <c r="AW68" s="21">
        <f>EXP(-LN(2)/2)*AW67+(1-EXP(-LN(2)/2))/(LN(2)/2)*AQ68*AT68*VLOOKUP('Données projet'!$B$10,Paramètres!$A$1:$I$89,3,0)*0.475*44/12</f>
        <v>4.4665941643118186E-7</v>
      </c>
      <c r="AX68" s="21">
        <f t="shared" ref="AX68:AX131" si="60">SUM(AU68:AW68)</f>
        <v>120.22208513288673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243.45359999999988</v>
      </c>
      <c r="BF68" s="13">
        <f t="shared" si="37"/>
        <v>59.181970343065267</v>
      </c>
      <c r="BG68" s="20">
        <f t="shared" ref="BG68:BG131" si="61">(BE68+BF68)*0.475*44/12</f>
        <v>527.09028501417163</v>
      </c>
      <c r="BH68" s="59">
        <f t="shared" ref="BH68:BH131" si="62">BG68+(AY68+AZ68)*44/12</f>
        <v>820.423618347505</v>
      </c>
      <c r="BI68" s="59">
        <f ca="1">AVERAGE(OFFSET($BH$3,0,0,'Données projet'!$E$11+1,1))-AVERAGE(OFFSET($H$3,0,0,'Données projet'!$E$11+1,1))</f>
        <v>279.49721661620544</v>
      </c>
      <c r="BJ68" s="59">
        <f t="shared" si="38"/>
        <v>275.18739333988754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51.148563221721147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51.148563221721147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671</v>
      </c>
      <c r="BW68" s="12">
        <f>VLOOKUP(A68,'Données projet'!$A$113:$I$133,9,0)</f>
        <v>19.2</v>
      </c>
      <c r="BX68" s="12">
        <f t="array" ref="BX68">INDEX(BW:BW,MIN(IF(ISNUMBER(BW68:BW264),ROW(BW68:BW264),"")))</f>
        <v>19.2</v>
      </c>
      <c r="BY68" s="12">
        <f>IF('Données projet'!$A$114&gt;35,BY67+BX68-CG67,IF(A68&lt;'Données projet'!$A$114,$BV$205^A68,IF(A68='Données projet'!$A$114,'Données projet'!$B$114,BY67+BX68-CG67)))</f>
        <v>671.00000000000011</v>
      </c>
      <c r="BZ68" s="13">
        <f>BY68*VLOOKUP('Données projet'!$B$12,Paramètres!$A$1:$I$89,3,0)*VLOOKUP('Données projet'!$B$12,Paramètres!$A$1:$I$89,5,0)</f>
        <v>322.75100000000003</v>
      </c>
      <c r="CA68" s="13">
        <f t="shared" si="39"/>
        <v>75.925467232741838</v>
      </c>
      <c r="CB68" s="20">
        <f t="shared" ref="CB68:CB131" si="64">(BZ68+CA68)*0.475*44/12</f>
        <v>694.36151376369207</v>
      </c>
      <c r="CC68" s="59">
        <f t="shared" ref="CC68:CC131" si="65">CB68+(BT68+BU68)*44/12</f>
        <v>987.69484709702533</v>
      </c>
      <c r="CD68" s="59">
        <f ca="1">AVERAGE(OFFSET($CC$3,0,0,'Données projet'!$E$12+1,1))-AVERAGE(OFFSET($H$3,0,0,'Données projet'!$E$12+1,1))</f>
        <v>349.65790906807746</v>
      </c>
      <c r="CE68" s="59">
        <f t="shared" si="40"/>
        <v>291.88925884278888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50</v>
      </c>
      <c r="CH68" s="16">
        <f>IF(ISNA(VLOOKUP(A68,'Données projet'!$A$113:$I$133,5,0)),0%,VLOOKUP(A68,'Données projet'!$A$113:$I$133,5,0)*VLOOKUP('Données projet'!$B$12,Paramètres!$A$1:$I$89,7,0))</f>
        <v>0.55000000000000004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109.83543729630267</v>
      </c>
      <c r="CL68" s="21">
        <f>EXP(-LN(2)/25)*CL67+(1-EXP(-LN(2)/25))/(LN(2)/25)*Calculateur!CG68*Calculateur!CI68*VLOOKUP('Données projet'!$B$12,Paramètres!$A$1:$I$89,3,0)*0.475*44/12</f>
        <v>15.60956397128529</v>
      </c>
      <c r="CM68" s="21">
        <f>EXP(-LN(2)/2)*CM67+(1-EXP(-LN(2)/2))/(LN(2)/2)*CG68*CJ68*VLOOKUP('Données projet'!$B$12,Paramètres!$A$1:$I$89,3,0)*0.475*44/12</f>
        <v>2.7543997346589527E-7</v>
      </c>
      <c r="CN68" s="22">
        <f t="shared" ref="CN68:CN131" si="66">SUM(CK68:CM68)</f>
        <v>125.44500154302794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276</v>
      </c>
      <c r="CR68" s="12">
        <f>VLOOKUP(A68,'Données projet'!$A$139:$I$159,9,0)</f>
        <v>6.4</v>
      </c>
      <c r="CS68" s="12">
        <f t="array" ref="CS68">INDEX(CR:CR,MIN(IF(ISNUMBER(CR68:CR264),ROW(CR68:CR264),"")))</f>
        <v>6.4</v>
      </c>
      <c r="CT68" s="12">
        <f>IF('Données projet'!$A$140&gt;35,CT67+CS68-DB67,IF(A68&lt;'Données projet'!$A$140,$CQ$205^A68,IF(A68='Données projet'!$A$140,'Données projet'!$B$140,CT67+CS68-DB67)))</f>
        <v>275.99999999999977</v>
      </c>
      <c r="CU68" s="17">
        <f>CT68*VLOOKUP('Données projet'!$B$13,Paramètres!$A$1:$I$89,3,0)*VLOOKUP('Données projet'!$B$13,Paramètres!$A$1:$I$89,5,0)</f>
        <v>215.27999999999983</v>
      </c>
      <c r="CV68" s="13">
        <f t="shared" si="41"/>
        <v>53.087725740853138</v>
      </c>
      <c r="CW68" s="20">
        <f t="shared" ref="CW68:CW131" si="67">(CU68+CV68)*0.475*44/12</f>
        <v>467.40712233198559</v>
      </c>
      <c r="CX68" s="59">
        <f t="shared" ref="CX68:CX131" si="68">CW68+(CO68+CP68)*44/12</f>
        <v>760.7404556653189</v>
      </c>
      <c r="CY68" s="59">
        <f ca="1">AVERAGE(OFFSET($CX$3,0,0,'Données projet'!$E$13+1,1))-AVERAGE(OFFSET($H$3,0,0,'Données projet'!$E$13+1,1))</f>
        <v>215.84581110302656</v>
      </c>
      <c r="CZ68" s="59">
        <f t="shared" si="42"/>
        <v>193.88588526156104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26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56.589644579165622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56.589644579165622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401</v>
      </c>
      <c r="O69" s="13">
        <f>N69*VLOOKUP('Données projet'!$B$9,Paramètres!$A$1:$I$89,3,0)*VLOOKUP('Données projet'!$B$9,Paramètres!$A$1:$I$89,5,0)</f>
        <v>250.22399999999999</v>
      </c>
      <c r="P69" s="13">
        <f t="shared" ref="P69:P132" si="87">EXP(-1.0587+0.8836*LN(O69)+0.284)</f>
        <v>60.633904580527918</v>
      </c>
      <c r="Q69" s="20">
        <f t="shared" si="54"/>
        <v>541.41085047775289</v>
      </c>
      <c r="R69" s="59">
        <f t="shared" si="55"/>
        <v>834.74418381108626</v>
      </c>
      <c r="S69" s="59">
        <f ca="1">AVERAGE(OFFSET($R$3,0,0,'Données projet'!$E$9+1,1))-AVERAGE(OFFSET($H$3,0,0,'Données projet'!$E$9+1,1))</f>
        <v>269.77739619445515</v>
      </c>
      <c r="T69" s="59">
        <f t="shared" ref="T69:T132" si="88">$T$3</f>
        <v>347.56964743629885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67.998741160408414</v>
      </c>
      <c r="AA69" s="21">
        <f>EXP(-LN(2)/25)*AA68+(1-EXP(-LN(2)/25))/(LN(2)/25)*Calculateur!V69*Calculateur!X69*VLOOKUP('Données projet'!$B$9,Paramètres!$A$1:$I$89,3,0)*0.475*44/12</f>
        <v>33.813172383852333</v>
      </c>
      <c r="AB69" s="21">
        <f>EXP(-LN(2)/2)*AB68+(1-EXP(-LN(2)/2))/(LN(2)/2)*V69*Y69*VLOOKUP('Données projet'!$B$9,Paramètres!$A$1:$I$89,3,0)*0.475*44/12</f>
        <v>9.4750770671794336E-8</v>
      </c>
      <c r="AC69" s="22">
        <f t="shared" si="57"/>
        <v>101.81191363901152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17.2</v>
      </c>
      <c r="AI69" s="13">
        <f>IF('Données projet'!$A$62&gt;35,AI68+AH69-AQ68,IF(A69&lt;'Données projet'!$A$62,$AF$205^A69,IF(A69='Données projet'!$A$62,'Données projet'!$B$62,AI68+AH69-AQ68)))</f>
        <v>643.20000000000005</v>
      </c>
      <c r="AJ69" s="13">
        <f>AI69*VLOOKUP('Données projet'!$B$10,Paramètres!$A$1:$I$89,3,0)*VLOOKUP('Données projet'!$B$10,Paramètres!$A$1:$I$89,5,0)</f>
        <v>301.01760000000002</v>
      </c>
      <c r="AK69" s="13">
        <f t="shared" ref="AK69:AK132" si="89">EXP(-1.0587+0.8836*LN(AJ69)+0.284)</f>
        <v>71.389749461171519</v>
      </c>
      <c r="AL69" s="20">
        <f t="shared" si="58"/>
        <v>648.60946697820702</v>
      </c>
      <c r="AM69" s="59">
        <f t="shared" si="59"/>
        <v>941.9428003115404</v>
      </c>
      <c r="AN69" s="59">
        <f ca="1">AVERAGE(OFFSET($AM$3,0,0,'Données projet'!$E$10+1,1))-AVERAGE(OFFSET($H$3,0,0,'Données projet'!$E$10+1,1))</f>
        <v>342.49944586217674</v>
      </c>
      <c r="AO69" s="59">
        <f t="shared" ref="AO69:AO132" si="90">$AO$3</f>
        <v>282.29766600872563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102.97474028680793</v>
      </c>
      <c r="AV69" s="21">
        <f>EXP(-LN(2)/25)*AV68+(1-EXP(-LN(2)/25))/(LN(2)/25)*Calculateur!AQ69*Calculateur!AS69*VLOOKUP('Données projet'!$B$10,Paramètres!$A$1:$I$89,3,0)*0.475*44/12</f>
        <v>14.772375850007853</v>
      </c>
      <c r="AW69" s="21">
        <f>EXP(-LN(2)/2)*AW68+(1-EXP(-LN(2)/2))/(LN(2)/2)*AQ69*AT69*VLOOKUP('Données projet'!$B$10,Paramètres!$A$1:$I$89,3,0)*0.475*44/12</f>
        <v>3.1583590223931472E-7</v>
      </c>
      <c r="AX69" s="21">
        <f t="shared" si="60"/>
        <v>117.74711645265168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236.7705599999999</v>
      </c>
      <c r="BF69" s="13">
        <f t="shared" ref="BF69:BF132" si="91">EXP(-1.0587+0.8836*LN(BE69)+0.284)</f>
        <v>57.744153841586879</v>
      </c>
      <c r="BG69" s="20">
        <f t="shared" si="61"/>
        <v>512.9464599407637</v>
      </c>
      <c r="BH69" s="59">
        <f t="shared" si="62"/>
        <v>806.27979327409707</v>
      </c>
      <c r="BI69" s="59">
        <f ca="1">AVERAGE(OFFSET($BH$3,0,0,'Données projet'!$E$11+1,1))-AVERAGE(OFFSET($H$3,0,0,'Données projet'!$E$11+1,1))</f>
        <v>279.49721661620544</v>
      </c>
      <c r="BJ69" s="59">
        <f t="shared" ref="BJ69:BJ132" si="92">$BJ$3</f>
        <v>275.18739333988754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50.145571094486257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50.145571094486257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18</v>
      </c>
      <c r="BY69" s="12">
        <f>IF('Données projet'!$A$114&gt;35,BY68+BX69-CG68,IF(A69&lt;'Données projet'!$A$114,$BV$205^A69,IF(A69='Données projet'!$A$114,'Données projet'!$B$114,BY68+BX69-CG68)))</f>
        <v>639.00000000000011</v>
      </c>
      <c r="BZ69" s="13">
        <f>BY69*VLOOKUP('Données projet'!$B$12,Paramètres!$A$1:$I$89,3,0)*VLOOKUP('Données projet'!$B$12,Paramètres!$A$1:$I$89,5,0)</f>
        <v>307.35900000000004</v>
      </c>
      <c r="CA69" s="13">
        <f t="shared" ref="CA69:CA132" si="93">EXP(-1.0587+0.8836*LN(BZ69)+0.284)</f>
        <v>72.717009915108221</v>
      </c>
      <c r="CB69" s="20">
        <f t="shared" si="64"/>
        <v>661.96571726881348</v>
      </c>
      <c r="CC69" s="59">
        <f t="shared" si="65"/>
        <v>955.29905060214674</v>
      </c>
      <c r="CD69" s="59">
        <f ca="1">AVERAGE(OFFSET($CC$3,0,0,'Données projet'!$E$12+1,1))-AVERAGE(OFFSET($H$3,0,0,'Données projet'!$E$12+1,1))</f>
        <v>349.65790906807746</v>
      </c>
      <c r="CE69" s="59">
        <f t="shared" ref="CE69:CE132" si="94">$CE$3</f>
        <v>291.88925884278888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107.68163136392391</v>
      </c>
      <c r="CL69" s="21">
        <f>EXP(-LN(2)/25)*CL68+(1-EXP(-LN(2)/25))/(LN(2)/25)*Calculateur!CG69*Calculateur!CI69*VLOOKUP('Données projet'!$B$12,Paramètres!$A$1:$I$89,3,0)*0.475*44/12</f>
        <v>15.182719623619201</v>
      </c>
      <c r="CM69" s="21">
        <f>EXP(-LN(2)/2)*CM68+(1-EXP(-LN(2)/2))/(LN(2)/2)*CG69*CJ69*VLOOKUP('Données projet'!$B$12,Paramètres!$A$1:$I$89,3,0)*0.475*44/12</f>
        <v>1.9476547304757726E-7</v>
      </c>
      <c r="CN69" s="22">
        <f t="shared" si="66"/>
        <v>122.8643511823086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</v>
      </c>
      <c r="CT69" s="12">
        <f>IF('Données projet'!$A$140&gt;35,CT68+CS69-DB68,IF(A69&lt;'Données projet'!$A$140,$CQ$205^A69,IF(A69='Données projet'!$A$140,'Données projet'!$B$140,CT68+CS69-DB68)))</f>
        <v>255.99999999999977</v>
      </c>
      <c r="CU69" s="17">
        <f>CT69*VLOOKUP('Données projet'!$B$13,Paramètres!$A$1:$I$89,3,0)*VLOOKUP('Données projet'!$B$13,Paramètres!$A$1:$I$89,5,0)</f>
        <v>199.67999999999984</v>
      </c>
      <c r="CV69" s="13">
        <f t="shared" ref="CV69:CV132" si="95">EXP(-1.0587+0.8836*LN(CU69)+0.284)</f>
        <v>49.673834858130768</v>
      </c>
      <c r="CW69" s="20">
        <f t="shared" si="67"/>
        <v>434.29126237791075</v>
      </c>
      <c r="CX69" s="59">
        <f t="shared" si="68"/>
        <v>727.62459571124407</v>
      </c>
      <c r="CY69" s="59">
        <f ca="1">AVERAGE(OFFSET($CX$3,0,0,'Données projet'!$E$13+1,1))-AVERAGE(OFFSET($H$3,0,0,'Données projet'!$E$13+1,1))</f>
        <v>215.84581110302656</v>
      </c>
      <c r="CZ69" s="59">
        <f t="shared" ref="CZ69:CZ132" si="96">$CZ$3</f>
        <v>193.88588526156104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55.479956165243181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55.479956165243181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401</v>
      </c>
      <c r="O70" s="13">
        <f>N70*VLOOKUP('Données projet'!$B$9,Paramètres!$A$1:$I$89,3,0)*VLOOKUP('Données projet'!$B$9,Paramètres!$A$1:$I$89,5,0)</f>
        <v>250.22399999999999</v>
      </c>
      <c r="P70" s="13">
        <f t="shared" si="87"/>
        <v>60.633904580527918</v>
      </c>
      <c r="Q70" s="20">
        <f t="shared" si="54"/>
        <v>541.41085047775289</v>
      </c>
      <c r="R70" s="59">
        <f t="shared" si="55"/>
        <v>834.74418381108626</v>
      </c>
      <c r="S70" s="59">
        <f ca="1">AVERAGE(OFFSET($R$3,0,0,'Données projet'!$E$9+1,1))-AVERAGE(OFFSET($H$3,0,0,'Données projet'!$E$9+1,1))</f>
        <v>269.77739619445515</v>
      </c>
      <c r="T70" s="59">
        <f t="shared" si="88"/>
        <v>347.56964743629885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66.665327321389583</v>
      </c>
      <c r="AA70" s="21">
        <f>EXP(-LN(2)/25)*AA69+(1-EXP(-LN(2)/25))/(LN(2)/25)*Calculateur!V70*Calculateur!X70*VLOOKUP('Données projet'!$B$9,Paramètres!$A$1:$I$89,3,0)*0.475*44/12</f>
        <v>32.888549406858438</v>
      </c>
      <c r="AB70" s="21">
        <f>EXP(-LN(2)/2)*AB69+(1-EXP(-LN(2)/2))/(LN(2)/2)*V70*Y70*VLOOKUP('Données projet'!$B$9,Paramètres!$A$1:$I$89,3,0)*0.475*44/12</f>
        <v>6.6998912464677221E-8</v>
      </c>
      <c r="AC70" s="22">
        <f t="shared" si="57"/>
        <v>99.553876795246921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17.2</v>
      </c>
      <c r="AI70" s="13">
        <f>IF('Données projet'!$A$62&gt;35,AI69+AH70-AQ69,IF(A70&lt;'Données projet'!$A$62,$AF$205^A70,IF(A70='Données projet'!$A$62,'Données projet'!$B$62,AI69+AH70-AQ69)))</f>
        <v>660.40000000000009</v>
      </c>
      <c r="AJ70" s="13">
        <f>AI70*VLOOKUP('Données projet'!$B$10,Paramètres!$A$1:$I$89,3,0)*VLOOKUP('Données projet'!$B$10,Paramètres!$A$1:$I$89,5,0)</f>
        <v>309.06720000000007</v>
      </c>
      <c r="AK70" s="13">
        <f t="shared" si="89"/>
        <v>73.073990251564425</v>
      </c>
      <c r="AL70" s="20">
        <f t="shared" si="58"/>
        <v>665.5625730214748</v>
      </c>
      <c r="AM70" s="59">
        <f t="shared" si="59"/>
        <v>958.89590635480818</v>
      </c>
      <c r="AN70" s="59">
        <f ca="1">AVERAGE(OFFSET($AM$3,0,0,'Données projet'!$E$10+1,1))-AVERAGE(OFFSET($H$3,0,0,'Données projet'!$E$10+1,1))</f>
        <v>342.49944586217674</v>
      </c>
      <c r="AO70" s="59">
        <f t="shared" si="90"/>
        <v>282.29766600872563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100.95546843817338</v>
      </c>
      <c r="AV70" s="21">
        <f>EXP(-LN(2)/25)*AV69+(1-EXP(-LN(2)/25))/(LN(2)/25)*Calculateur!AQ70*Calculateur!AS70*VLOOKUP('Données projet'!$B$10,Paramètres!$A$1:$I$89,3,0)*0.475*44/12</f>
        <v>14.368424455543904</v>
      </c>
      <c r="AW70" s="21">
        <f>EXP(-LN(2)/2)*AW69+(1-EXP(-LN(2)/2))/(LN(2)/2)*AQ70*AT70*VLOOKUP('Données projet'!$B$10,Paramètres!$A$1:$I$89,3,0)*0.475*44/12</f>
        <v>2.2332970821559093E-7</v>
      </c>
      <c r="AX70" s="21">
        <f t="shared" si="60"/>
        <v>115.32389311704699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240.43031999999991</v>
      </c>
      <c r="BF70" s="13">
        <f t="shared" si="91"/>
        <v>58.532106271380506</v>
      </c>
      <c r="BG70" s="20">
        <f t="shared" si="61"/>
        <v>520.69289242265415</v>
      </c>
      <c r="BH70" s="59">
        <f t="shared" si="62"/>
        <v>814.02622575598753</v>
      </c>
      <c r="BI70" s="59">
        <f ca="1">AVERAGE(OFFSET($BH$3,0,0,'Données projet'!$E$11+1,1))-AVERAGE(OFFSET($H$3,0,0,'Données projet'!$E$11+1,1))</f>
        <v>279.49721661620544</v>
      </c>
      <c r="BJ70" s="59">
        <f t="shared" si="92"/>
        <v>275.18739333988754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49.162247031101657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49.162247031101657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18</v>
      </c>
      <c r="BY70" s="12">
        <f>IF('Données projet'!$A$114&gt;35,BY69+BX70-CG69,IF(A70&lt;'Données projet'!$A$114,$BV$205^A70,IF(A70='Données projet'!$A$114,'Données projet'!$B$114,BY69+BX70-CG69)))</f>
        <v>657.00000000000011</v>
      </c>
      <c r="BZ70" s="13">
        <f>BY70*VLOOKUP('Données projet'!$B$12,Paramètres!$A$1:$I$89,3,0)*VLOOKUP('Données projet'!$B$12,Paramètres!$A$1:$I$89,5,0)</f>
        <v>316.01700000000005</v>
      </c>
      <c r="CA70" s="13">
        <f t="shared" si="93"/>
        <v>74.524009906604846</v>
      </c>
      <c r="CB70" s="20">
        <f t="shared" si="64"/>
        <v>680.19225892067016</v>
      </c>
      <c r="CC70" s="59">
        <f t="shared" si="65"/>
        <v>973.52559225400341</v>
      </c>
      <c r="CD70" s="59">
        <f ca="1">AVERAGE(OFFSET($CC$3,0,0,'Données projet'!$E$12+1,1))-AVERAGE(OFFSET($H$3,0,0,'Données projet'!$E$12+1,1))</f>
        <v>349.65790906807746</v>
      </c>
      <c r="CE70" s="59">
        <f t="shared" si="94"/>
        <v>291.88925884278888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105.5700602521872</v>
      </c>
      <c r="CL70" s="21">
        <f>EXP(-LN(2)/25)*CL69+(1-EXP(-LN(2)/25))/(LN(2)/25)*Calculateur!CG70*Calculateur!CI70*VLOOKUP('Données projet'!$B$12,Paramètres!$A$1:$I$89,3,0)*0.475*44/12</f>
        <v>14.76754735708681</v>
      </c>
      <c r="CM70" s="21">
        <f>EXP(-LN(2)/2)*CM69+(1-EXP(-LN(2)/2))/(LN(2)/2)*CG70*CJ70*VLOOKUP('Données projet'!$B$12,Paramètres!$A$1:$I$89,3,0)*0.475*44/12</f>
        <v>1.3771998673294764E-7</v>
      </c>
      <c r="CN70" s="22">
        <f t="shared" si="66"/>
        <v>120.33760774699401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</v>
      </c>
      <c r="CT70" s="12">
        <f>IF('Données projet'!$A$140&gt;35,CT69+CS70-DB69,IF(A70&lt;'Données projet'!$A$140,$CQ$205^A70,IF(A70='Données projet'!$A$140,'Données projet'!$B$140,CT69+CS70-DB69)))</f>
        <v>261.99999999999977</v>
      </c>
      <c r="CU70" s="17">
        <f>CT70*VLOOKUP('Données projet'!$B$13,Paramètres!$A$1:$I$89,3,0)*VLOOKUP('Données projet'!$B$13,Paramètres!$A$1:$I$89,5,0)</f>
        <v>204.35999999999984</v>
      </c>
      <c r="CV70" s="13">
        <f t="shared" si="95"/>
        <v>50.701157790815166</v>
      </c>
      <c r="CW70" s="20">
        <f t="shared" si="67"/>
        <v>444.23151648566937</v>
      </c>
      <c r="CX70" s="59">
        <f t="shared" si="68"/>
        <v>737.56484981900269</v>
      </c>
      <c r="CY70" s="59">
        <f ca="1">AVERAGE(OFFSET($CX$3,0,0,'Données projet'!$E$13+1,1))-AVERAGE(OFFSET($H$3,0,0,'Données projet'!$E$13+1,1))</f>
        <v>215.84581110302656</v>
      </c>
      <c r="CZ70" s="59">
        <f t="shared" si="96"/>
        <v>193.88588526156104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54.392028064274655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54.392028064274655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401</v>
      </c>
      <c r="O71" s="13">
        <f>N71*VLOOKUP('Données projet'!$B$9,Paramètres!$A$1:$I$89,3,0)*VLOOKUP('Données projet'!$B$9,Paramètres!$A$1:$I$89,5,0)</f>
        <v>250.22399999999999</v>
      </c>
      <c r="P71" s="13">
        <f t="shared" si="87"/>
        <v>60.633904580527918</v>
      </c>
      <c r="Q71" s="20">
        <f t="shared" si="54"/>
        <v>541.41085047775289</v>
      </c>
      <c r="R71" s="59">
        <f t="shared" si="55"/>
        <v>834.74418381108626</v>
      </c>
      <c r="S71" s="59">
        <f ca="1">AVERAGE(OFFSET($R$3,0,0,'Données projet'!$E$9+1,1))-AVERAGE(OFFSET($H$3,0,0,'Données projet'!$E$9+1,1))</f>
        <v>269.77739619445515</v>
      </c>
      <c r="T71" s="59">
        <f t="shared" si="88"/>
        <v>347.56964743629885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65.358060914451784</v>
      </c>
      <c r="AA71" s="21">
        <f>EXP(-LN(2)/25)*AA70+(1-EXP(-LN(2)/25))/(LN(2)/25)*Calculateur!V71*Calculateur!X71*VLOOKUP('Données projet'!$B$9,Paramètres!$A$1:$I$89,3,0)*0.475*44/12</f>
        <v>31.989210293794248</v>
      </c>
      <c r="AB71" s="21">
        <f>EXP(-LN(2)/2)*AB70+(1-EXP(-LN(2)/2))/(LN(2)/2)*V71*Y71*VLOOKUP('Données projet'!$B$9,Paramètres!$A$1:$I$89,3,0)*0.475*44/12</f>
        <v>4.7375385335897168E-8</v>
      </c>
      <c r="AC71" s="22">
        <f t="shared" si="57"/>
        <v>97.347271255621408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17.2</v>
      </c>
      <c r="AI71" s="13">
        <f>IF('Données projet'!$A$62&gt;35,AI70+AH71-AQ70,IF(A71&lt;'Données projet'!$A$62,$AF$205^A71,IF(A71='Données projet'!$A$62,'Données projet'!$B$62,AI70+AH71-AQ70)))</f>
        <v>677.60000000000014</v>
      </c>
      <c r="AJ71" s="13">
        <f>AI71*VLOOKUP('Données projet'!$B$10,Paramètres!$A$1:$I$89,3,0)*VLOOKUP('Données projet'!$B$10,Paramètres!$A$1:$I$89,5,0)</f>
        <v>317.11680000000007</v>
      </c>
      <c r="AK71" s="13">
        <f t="shared" si="89"/>
        <v>74.753132191289879</v>
      </c>
      <c r="AL71" s="20">
        <f t="shared" si="58"/>
        <v>682.50679856649663</v>
      </c>
      <c r="AM71" s="59">
        <f t="shared" si="59"/>
        <v>975.84013189982988</v>
      </c>
      <c r="AN71" s="59">
        <f ca="1">AVERAGE(OFFSET($AM$3,0,0,'Données projet'!$E$10+1,1))-AVERAGE(OFFSET($H$3,0,0,'Données projet'!$E$10+1,1))</f>
        <v>342.49944586217674</v>
      </c>
      <c r="AO71" s="59">
        <f t="shared" si="90"/>
        <v>282.29766600872563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98.975793278856358</v>
      </c>
      <c r="AV71" s="21">
        <f>EXP(-LN(2)/25)*AV70+(1-EXP(-LN(2)/25))/(LN(2)/25)*Calculateur!AQ71*Calculateur!AS71*VLOOKUP('Données projet'!$B$10,Paramètres!$A$1:$I$89,3,0)*0.475*44/12</f>
        <v>13.975519133204454</v>
      </c>
      <c r="AW71" s="21">
        <f>EXP(-LN(2)/2)*AW70+(1-EXP(-LN(2)/2))/(LN(2)/2)*AQ71*AT71*VLOOKUP('Données projet'!$B$10,Paramètres!$A$1:$I$89,3,0)*0.475*44/12</f>
        <v>1.5791795111965736E-7</v>
      </c>
      <c r="AX71" s="21">
        <f t="shared" si="60"/>
        <v>112.95131256997877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244.09007999999994</v>
      </c>
      <c r="BF71" s="13">
        <f t="shared" si="91"/>
        <v>59.318663780863893</v>
      </c>
      <c r="BG71" s="20">
        <f t="shared" si="61"/>
        <v>528.43689541833794</v>
      </c>
      <c r="BH71" s="59">
        <f t="shared" si="62"/>
        <v>821.77022875167131</v>
      </c>
      <c r="BI71" s="59">
        <f ca="1">AVERAGE(OFFSET($BH$3,0,0,'Données projet'!$E$11+1,1))-AVERAGE(OFFSET($H$3,0,0,'Données projet'!$E$11+1,1))</f>
        <v>279.49721661620544</v>
      </c>
      <c r="BJ71" s="59">
        <f t="shared" si="92"/>
        <v>275.18739333988754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48.198205352831572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48.198205352831572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18</v>
      </c>
      <c r="BY71" s="12">
        <f>IF('Données projet'!$A$114&gt;35,BY70+BX71-CG70,IF(A71&lt;'Données projet'!$A$114,$BV$205^A71,IF(A71='Données projet'!$A$114,'Données projet'!$B$114,BY70+BX71-CG70)))</f>
        <v>675.00000000000011</v>
      </c>
      <c r="BZ71" s="13">
        <f>BY71*VLOOKUP('Données projet'!$B$12,Paramètres!$A$1:$I$89,3,0)*VLOOKUP('Données projet'!$B$12,Paramètres!$A$1:$I$89,5,0)</f>
        <v>324.67500000000007</v>
      </c>
      <c r="CA71" s="13">
        <f t="shared" si="93"/>
        <v>76.325255719010826</v>
      </c>
      <c r="CB71" s="20">
        <f t="shared" si="64"/>
        <v>698.40877871061059</v>
      </c>
      <c r="CC71" s="59">
        <f t="shared" si="65"/>
        <v>991.74211204394396</v>
      </c>
      <c r="CD71" s="59">
        <f ca="1">AVERAGE(OFFSET($CC$3,0,0,'Données projet'!$E$12+1,1))-AVERAGE(OFFSET($H$3,0,0,'Données projet'!$E$12+1,1))</f>
        <v>349.65790906807746</v>
      </c>
      <c r="CE71" s="59">
        <f t="shared" si="94"/>
        <v>291.88925884278888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103.49989576202044</v>
      </c>
      <c r="CL71" s="21">
        <f>EXP(-LN(2)/25)*CL70+(1-EXP(-LN(2)/25))/(LN(2)/25)*Calculateur!CG71*Calculateur!CI71*VLOOKUP('Données projet'!$B$12,Paramètres!$A$1:$I$89,3,0)*0.475*44/12</f>
        <v>14.363727998015708</v>
      </c>
      <c r="CM71" s="21">
        <f>EXP(-LN(2)/2)*CM70+(1-EXP(-LN(2)/2))/(LN(2)/2)*CG71*CJ71*VLOOKUP('Données projet'!$B$12,Paramètres!$A$1:$I$89,3,0)*0.475*44/12</f>
        <v>9.7382736523788632E-8</v>
      </c>
      <c r="CN71" s="22">
        <f t="shared" si="66"/>
        <v>117.86362385741889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</v>
      </c>
      <c r="CT71" s="12">
        <f>IF('Données projet'!$A$140&gt;35,CT70+CS71-DB70,IF(A71&lt;'Données projet'!$A$140,$CQ$205^A71,IF(A71='Données projet'!$A$140,'Données projet'!$B$140,CT70+CS71-DB70)))</f>
        <v>267.99999999999977</v>
      </c>
      <c r="CU71" s="17">
        <f>CT71*VLOOKUP('Données projet'!$B$13,Paramètres!$A$1:$I$89,3,0)*VLOOKUP('Données projet'!$B$13,Paramètres!$A$1:$I$89,5,0)</f>
        <v>209.03999999999982</v>
      </c>
      <c r="CV71" s="13">
        <f t="shared" si="95"/>
        <v>51.725745635299404</v>
      </c>
      <c r="CW71" s="20">
        <f t="shared" si="67"/>
        <v>454.16700698147952</v>
      </c>
      <c r="CX71" s="59">
        <f t="shared" si="68"/>
        <v>747.50034031481277</v>
      </c>
      <c r="CY71" s="59">
        <f ca="1">AVERAGE(OFFSET($CX$3,0,0,'Données projet'!$E$13+1,1))-AVERAGE(OFFSET($H$3,0,0,'Données projet'!$E$13+1,1))</f>
        <v>215.84581110302656</v>
      </c>
      <c r="CZ71" s="59">
        <f t="shared" si="96"/>
        <v>193.88588526156104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53.325433569795507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53.325433569795507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401</v>
      </c>
      <c r="O72" s="13">
        <f>N72*VLOOKUP('Données projet'!$B$9,Paramètres!$A$1:$I$89,3,0)*VLOOKUP('Données projet'!$B$9,Paramètres!$A$1:$I$89,5,0)</f>
        <v>250.22399999999999</v>
      </c>
      <c r="P72" s="13">
        <f t="shared" si="87"/>
        <v>60.633904580527918</v>
      </c>
      <c r="Q72" s="20">
        <f t="shared" si="54"/>
        <v>541.41085047775289</v>
      </c>
      <c r="R72" s="59">
        <f t="shared" si="55"/>
        <v>834.74418381108626</v>
      </c>
      <c r="S72" s="59">
        <f ca="1">AVERAGE(OFFSET($R$3,0,0,'Données projet'!$E$9+1,1))-AVERAGE(OFFSET($H$3,0,0,'Données projet'!$E$9+1,1))</f>
        <v>269.77739619445515</v>
      </c>
      <c r="T72" s="59">
        <f t="shared" si="88"/>
        <v>347.56964743629885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64.076429204400256</v>
      </c>
      <c r="AA72" s="21">
        <f>EXP(-LN(2)/25)*AA71+(1-EXP(-LN(2)/25))/(LN(2)/25)*Calculateur!V72*Calculateur!X72*VLOOKUP('Données projet'!$B$9,Paramètres!$A$1:$I$89,3,0)*0.475*44/12</f>
        <v>31.114463656070988</v>
      </c>
      <c r="AB72" s="21">
        <f>EXP(-LN(2)/2)*AB71+(1-EXP(-LN(2)/2))/(LN(2)/2)*V72*Y72*VLOOKUP('Données projet'!$B$9,Paramètres!$A$1:$I$89,3,0)*0.475*44/12</f>
        <v>3.349945623233861E-8</v>
      </c>
      <c r="AC72" s="22">
        <f t="shared" si="57"/>
        <v>95.190892893970712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17.2</v>
      </c>
      <c r="AI72" s="13">
        <f>IF('Données projet'!$A$62&gt;35,AI71+AH72-AQ71,IF(A72&lt;'Données projet'!$A$62,$AF$205^A72,IF(A72='Données projet'!$A$62,'Données projet'!$B$62,AI71+AH72-AQ71)))</f>
        <v>694.80000000000018</v>
      </c>
      <c r="AJ72" s="13">
        <f>AI72*VLOOKUP('Données projet'!$B$10,Paramètres!$A$1:$I$89,3,0)*VLOOKUP('Données projet'!$B$10,Paramètres!$A$1:$I$89,5,0)</f>
        <v>325.16640000000007</v>
      </c>
      <c r="AK72" s="13">
        <f t="shared" si="89"/>
        <v>76.427319591571546</v>
      </c>
      <c r="AL72" s="20">
        <f t="shared" si="58"/>
        <v>699.44239495532054</v>
      </c>
      <c r="AM72" s="59">
        <f t="shared" si="59"/>
        <v>992.77572828865391</v>
      </c>
      <c r="AN72" s="59">
        <f ca="1">AVERAGE(OFFSET($AM$3,0,0,'Données projet'!$E$10+1,1))-AVERAGE(OFFSET($H$3,0,0,'Données projet'!$E$10+1,1))</f>
        <v>342.49944586217674</v>
      </c>
      <c r="AO72" s="59">
        <f t="shared" si="90"/>
        <v>282.29766600872563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97.034938341930911</v>
      </c>
      <c r="AV72" s="21">
        <f>EXP(-LN(2)/25)*AV71+(1-EXP(-LN(2)/25))/(LN(2)/25)*Calculateur!AQ72*Calculateur!AS72*VLOOKUP('Données projet'!$B$10,Paramètres!$A$1:$I$89,3,0)*0.475*44/12</f>
        <v>13.593357827566368</v>
      </c>
      <c r="AW72" s="21">
        <f>EXP(-LN(2)/2)*AW71+(1-EXP(-LN(2)/2))/(LN(2)/2)*AQ72*AT72*VLOOKUP('Données projet'!$B$10,Paramètres!$A$1:$I$89,3,0)*0.475*44/12</f>
        <v>1.1166485410779547E-7</v>
      </c>
      <c r="AX72" s="21">
        <f t="shared" si="60"/>
        <v>110.62829628116214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247.74983999999995</v>
      </c>
      <c r="BF72" s="13">
        <f t="shared" si="91"/>
        <v>60.103849700617872</v>
      </c>
      <c r="BG72" s="20">
        <f t="shared" si="61"/>
        <v>536.17850956190932</v>
      </c>
      <c r="BH72" s="59">
        <f t="shared" si="62"/>
        <v>829.51184289524258</v>
      </c>
      <c r="BI72" s="59">
        <f ca="1">AVERAGE(OFFSET($BH$3,0,0,'Données projet'!$E$11+1,1))-AVERAGE(OFFSET($H$3,0,0,'Données projet'!$E$11+1,1))</f>
        <v>279.49721661620544</v>
      </c>
      <c r="BJ72" s="59">
        <f t="shared" si="92"/>
        <v>275.18739333988754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47.253067943864998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47.253067943864998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18</v>
      </c>
      <c r="BY72" s="12">
        <f>IF('Données projet'!$A$114&gt;35,BY71+BX72-CG71,IF(A72&lt;'Données projet'!$A$114,$BV$205^A72,IF(A72='Données projet'!$A$114,'Données projet'!$B$114,BY71+BX72-CG71)))</f>
        <v>693.00000000000011</v>
      </c>
      <c r="BZ72" s="13">
        <f>BY72*VLOOKUP('Données projet'!$B$12,Paramètres!$A$1:$I$89,3,0)*VLOOKUP('Données projet'!$B$12,Paramètres!$A$1:$I$89,5,0)</f>
        <v>333.33300000000003</v>
      </c>
      <c r="CA72" s="13">
        <f t="shared" si="93"/>
        <v>78.120918433534044</v>
      </c>
      <c r="CB72" s="20">
        <f t="shared" si="64"/>
        <v>716.61557460507174</v>
      </c>
      <c r="CC72" s="59">
        <f t="shared" si="65"/>
        <v>1009.948907938405</v>
      </c>
      <c r="CD72" s="59">
        <f ca="1">AVERAGE(OFFSET($CC$3,0,0,'Données projet'!$E$12+1,1))-AVERAGE(OFFSET($H$3,0,0,'Données projet'!$E$12+1,1))</f>
        <v>349.65790906807746</v>
      </c>
      <c r="CE72" s="59">
        <f t="shared" si="94"/>
        <v>291.88925884278888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101.4703259348302</v>
      </c>
      <c r="CL72" s="21">
        <f>EXP(-LN(2)/25)*CL71+(1-EXP(-LN(2)/25))/(LN(2)/25)*Calculateur!CG72*Calculateur!CI72*VLOOKUP('Données projet'!$B$12,Paramètres!$A$1:$I$89,3,0)*0.475*44/12</f>
        <v>13.970951100554341</v>
      </c>
      <c r="CM72" s="21">
        <f>EXP(-LN(2)/2)*CM71+(1-EXP(-LN(2)/2))/(LN(2)/2)*CG72*CJ72*VLOOKUP('Données projet'!$B$12,Paramètres!$A$1:$I$89,3,0)*0.475*44/12</f>
        <v>6.8859993366473818E-8</v>
      </c>
      <c r="CN72" s="22">
        <f t="shared" si="66"/>
        <v>115.44127710424453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</v>
      </c>
      <c r="CT72" s="12">
        <f>IF('Données projet'!$A$140&gt;35,CT71+CS72-DB71,IF(A72&lt;'Données projet'!$A$140,$CQ$205^A72,IF(A72='Données projet'!$A$140,'Données projet'!$B$140,CT71+CS72-DB71)))</f>
        <v>273.99999999999977</v>
      </c>
      <c r="CU72" s="17">
        <f>CT72*VLOOKUP('Données projet'!$B$13,Paramètres!$A$1:$I$89,3,0)*VLOOKUP('Données projet'!$B$13,Paramètres!$A$1:$I$89,5,0)</f>
        <v>213.71999999999983</v>
      </c>
      <c r="CV72" s="13">
        <f t="shared" si="95"/>
        <v>52.747666674989134</v>
      </c>
      <c r="CW72" s="20">
        <f t="shared" si="67"/>
        <v>464.09785279227236</v>
      </c>
      <c r="CX72" s="59">
        <f t="shared" si="68"/>
        <v>757.43118612560568</v>
      </c>
      <c r="CY72" s="59">
        <f ca="1">AVERAGE(OFFSET($CX$3,0,0,'Données projet'!$E$13+1,1))-AVERAGE(OFFSET($H$3,0,0,'Données projet'!$E$13+1,1))</f>
        <v>215.84581110302656</v>
      </c>
      <c r="CZ72" s="59">
        <f t="shared" si="96"/>
        <v>193.88588526156104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52.279754342794689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52.279754342794689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401</v>
      </c>
      <c r="O73" s="13">
        <f>N73*VLOOKUP('Données projet'!$B$9,Paramètres!$A$1:$I$89,3,0)*VLOOKUP('Données projet'!$B$9,Paramètres!$A$1:$I$89,5,0)</f>
        <v>250.22399999999999</v>
      </c>
      <c r="P73" s="13">
        <f t="shared" si="87"/>
        <v>60.633904580527918</v>
      </c>
      <c r="Q73" s="20">
        <f t="shared" si="54"/>
        <v>541.41085047775289</v>
      </c>
      <c r="R73" s="59">
        <f t="shared" si="55"/>
        <v>834.74418381108626</v>
      </c>
      <c r="S73" s="59">
        <f ca="1">AVERAGE(OFFSET($R$3,0,0,'Données projet'!$E$9+1,1))-AVERAGE(OFFSET($H$3,0,0,'Données projet'!$E$9+1,1))</f>
        <v>269.77739619445515</v>
      </c>
      <c r="T73" s="59">
        <f t="shared" si="88"/>
        <v>347.56964743629885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62.819929510464682</v>
      </c>
      <c r="AA73" s="21">
        <f>EXP(-LN(2)/25)*AA72+(1-EXP(-LN(2)/25))/(LN(2)/25)*Calculateur!V73*Calculateur!X73*VLOOKUP('Données projet'!$B$9,Paramètres!$A$1:$I$89,3,0)*0.475*44/12</f>
        <v>30.263637011157197</v>
      </c>
      <c r="AB73" s="21">
        <f>EXP(-LN(2)/2)*AB72+(1-EXP(-LN(2)/2))/(LN(2)/2)*V73*Y73*VLOOKUP('Données projet'!$B$9,Paramètres!$A$1:$I$89,3,0)*0.475*44/12</f>
        <v>2.3687692667948584E-8</v>
      </c>
      <c r="AC73" s="22">
        <f t="shared" si="57"/>
        <v>93.083566545309566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712</v>
      </c>
      <c r="AG73" s="12">
        <f>VLOOKUP(A73,'Données projet'!$A$61:$I$81,9,0)</f>
        <v>17.2</v>
      </c>
      <c r="AH73" s="12">
        <f t="array" ref="AH73">INDEX(AG:AG,MIN(IF(ISNUMBER(AG73:AG269),ROW(AG73:AG269),"")))</f>
        <v>17.2</v>
      </c>
      <c r="AI73" s="13">
        <f>IF('Données projet'!$A$62&gt;35,AI72+AH73-AQ72,IF(A73&lt;'Données projet'!$A$62,$AF$205^A73,IF(A73='Données projet'!$A$62,'Données projet'!$B$62,AI72+AH73-AQ72)))</f>
        <v>712.00000000000023</v>
      </c>
      <c r="AJ73" s="13">
        <f>AI73*VLOOKUP('Données projet'!$B$10,Paramètres!$A$1:$I$89,3,0)*VLOOKUP('Données projet'!$B$10,Paramètres!$A$1:$I$89,5,0)</f>
        <v>333.21600000000007</v>
      </c>
      <c r="AK73" s="13">
        <f t="shared" si="89"/>
        <v>78.096689211412567</v>
      </c>
      <c r="AL73" s="20">
        <f t="shared" si="58"/>
        <v>716.36960037654364</v>
      </c>
      <c r="AM73" s="59">
        <f t="shared" si="59"/>
        <v>1009.702933709877</v>
      </c>
      <c r="AN73" s="59">
        <f ca="1">AVERAGE(OFFSET($AM$3,0,0,'Données projet'!$E$10+1,1))-AVERAGE(OFFSET($H$3,0,0,'Données projet'!$E$10+1,1))</f>
        <v>342.49944586217674</v>
      </c>
      <c r="AO73" s="59">
        <f t="shared" si="90"/>
        <v>282.29766600872563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45</v>
      </c>
      <c r="AR73" s="16">
        <f>IF(ISNA(VLOOKUP(A73,'Données projet'!$A$61:$I$81,5,0)),0%,VLOOKUP(A73,'Données projet'!$A$61:$I$81,5,0)*VLOOKUP('Données projet'!$B$10,Paramètres!$A$1:$I$89,7,0))</f>
        <v>0.55000000000000004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110.49773847387014</v>
      </c>
      <c r="AV73" s="21">
        <f>EXP(-LN(2)/25)*AV72+(1-EXP(-LN(2)/25))/(LN(2)/25)*Calculateur!AQ73*Calculateur!AS73*VLOOKUP('Données projet'!$B$10,Paramètres!$A$1:$I$89,3,0)*0.475*44/12</f>
        <v>13.221646742927947</v>
      </c>
      <c r="AW73" s="21">
        <f>EXP(-LN(2)/2)*AW72+(1-EXP(-LN(2)/2))/(LN(2)/2)*AQ73*AT73*VLOOKUP('Données projet'!$B$10,Paramètres!$A$1:$I$89,3,0)*0.475*44/12</f>
        <v>7.895897555982868E-8</v>
      </c>
      <c r="AX73" s="21">
        <f t="shared" si="60"/>
        <v>123.71938529575706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251.40959999999995</v>
      </c>
      <c r="BF73" s="13">
        <f t="shared" si="91"/>
        <v>60.887686632376123</v>
      </c>
      <c r="BG73" s="20">
        <f t="shared" si="61"/>
        <v>543.917774218055</v>
      </c>
      <c r="BH73" s="59">
        <f t="shared" si="62"/>
        <v>837.25110755138826</v>
      </c>
      <c r="BI73" s="59">
        <f ca="1">AVERAGE(OFFSET($BH$3,0,0,'Données projet'!$E$11+1,1))-AVERAGE(OFFSET($H$3,0,0,'Données projet'!$E$11+1,1))</f>
        <v>279.49721661620544</v>
      </c>
      <c r="BJ73" s="59">
        <f t="shared" si="92"/>
        <v>275.18739333988754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52.386303394971065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52.386303394971065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711</v>
      </c>
      <c r="BW73" s="12">
        <f>VLOOKUP(A73,'Données projet'!$A$113:$I$133,9,0)</f>
        <v>18</v>
      </c>
      <c r="BX73" s="12">
        <f t="array" ref="BX73">INDEX(BW:BW,MIN(IF(ISNUMBER(BW73:BW269),ROW(BW73:BW269),"")))</f>
        <v>18</v>
      </c>
      <c r="BY73" s="12">
        <f>IF('Données projet'!$A$114&gt;35,BY72+BX73-CG72,IF(A73&lt;'Données projet'!$A$114,$BV$205^A73,IF(A73='Données projet'!$A$114,'Données projet'!$B$114,BY72+BX73-CG72)))</f>
        <v>711.00000000000011</v>
      </c>
      <c r="BZ73" s="13">
        <f>BY73*VLOOKUP('Données projet'!$B$12,Paramètres!$A$1:$I$89,3,0)*VLOOKUP('Données projet'!$B$12,Paramètres!$A$1:$I$89,5,0)</f>
        <v>341.9910000000001</v>
      </c>
      <c r="CA73" s="13">
        <f t="shared" si="93"/>
        <v>79.911159737819077</v>
      </c>
      <c r="CB73" s="20">
        <f t="shared" si="64"/>
        <v>734.81292821003501</v>
      </c>
      <c r="CC73" s="59">
        <f t="shared" si="65"/>
        <v>1028.1462615433684</v>
      </c>
      <c r="CD73" s="59">
        <f ca="1">AVERAGE(OFFSET($CC$3,0,0,'Données projet'!$E$12+1,1))-AVERAGE(OFFSET($H$3,0,0,'Données projet'!$E$12+1,1))</f>
        <v>349.65790906807746</v>
      </c>
      <c r="CE73" s="59">
        <f t="shared" si="94"/>
        <v>291.88925884278888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48</v>
      </c>
      <c r="CH73" s="16">
        <f>IF(ISNA(VLOOKUP(A73,'Données projet'!$A$113:$I$133,5,0)),0%,VLOOKUP(A73,'Données projet'!$A$113:$I$133,5,0)*VLOOKUP('Données projet'!$B$12,Paramètres!$A$1:$I$89,7,0))</f>
        <v>0.55000000000000004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116.32580081498925</v>
      </c>
      <c r="CL73" s="21">
        <f>EXP(-LN(2)/25)*CL72+(1-EXP(-LN(2)/25))/(LN(2)/25)*Calculateur!CG73*Calculateur!CI73*VLOOKUP('Données projet'!$B$12,Paramètres!$A$1:$I$89,3,0)*0.475*44/12</f>
        <v>13.588914708009295</v>
      </c>
      <c r="CM73" s="21">
        <f>EXP(-LN(2)/2)*CM72+(1-EXP(-LN(2)/2))/(LN(2)/2)*CG73*CJ73*VLOOKUP('Données projet'!$B$12,Paramètres!$A$1:$I$89,3,0)*0.475*44/12</f>
        <v>4.8691368261894316E-8</v>
      </c>
      <c r="CN73" s="22">
        <f t="shared" si="66"/>
        <v>129.9147155716899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280</v>
      </c>
      <c r="CR73" s="12">
        <f>VLOOKUP(A73,'Données projet'!$A$139:$I$159,9,0)</f>
        <v>6</v>
      </c>
      <c r="CS73" s="12">
        <f t="array" ref="CS73">INDEX(CR:CR,MIN(IF(ISNUMBER(CR73:CR269),ROW(CR73:CR269),"")))</f>
        <v>6</v>
      </c>
      <c r="CT73" s="12">
        <f>IF('Données projet'!$A$140&gt;35,CT72+CS73-DB72,IF(A73&lt;'Données projet'!$A$140,$CQ$205^A73,IF(A73='Données projet'!$A$140,'Données projet'!$B$140,CT72+CS73-DB72)))</f>
        <v>279.99999999999977</v>
      </c>
      <c r="CU73" s="17">
        <f>CT73*VLOOKUP('Données projet'!$B$13,Paramètres!$A$1:$I$89,3,0)*VLOOKUP('Données projet'!$B$13,Paramètres!$A$1:$I$89,5,0)</f>
        <v>218.39999999999984</v>
      </c>
      <c r="CV73" s="13">
        <f t="shared" si="95"/>
        <v>53.766986031998471</v>
      </c>
      <c r="CW73" s="20">
        <f t="shared" si="67"/>
        <v>474.02416733906375</v>
      </c>
      <c r="CX73" s="59">
        <f t="shared" si="68"/>
        <v>767.35750067239701</v>
      </c>
      <c r="CY73" s="59">
        <f ca="1">AVERAGE(OFFSET($CX$3,0,0,'Données projet'!$E$13+1,1))-AVERAGE(OFFSET($H$3,0,0,'Données projet'!$E$13+1,1))</f>
        <v>215.84581110302656</v>
      </c>
      <c r="CZ73" s="59">
        <f t="shared" si="96"/>
        <v>193.88588526156104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20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58.670075553541032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58.670075553541032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401</v>
      </c>
      <c r="O74" s="13">
        <f>N74*VLOOKUP('Données projet'!$B$9,Paramètres!$A$1:$I$89,3,0)*VLOOKUP('Données projet'!$B$9,Paramètres!$A$1:$I$89,5,0)</f>
        <v>250.22399999999999</v>
      </c>
      <c r="P74" s="13">
        <f t="shared" si="87"/>
        <v>60.633904580527918</v>
      </c>
      <c r="Q74" s="20">
        <f t="shared" si="54"/>
        <v>541.41085047775289</v>
      </c>
      <c r="R74" s="59">
        <f t="shared" si="55"/>
        <v>834.74418381108626</v>
      </c>
      <c r="S74" s="59">
        <f ca="1">AVERAGE(OFFSET($R$3,0,0,'Données projet'!$E$9+1,1))-AVERAGE(OFFSET($H$3,0,0,'Données projet'!$E$9+1,1))</f>
        <v>269.77739619445515</v>
      </c>
      <c r="T74" s="59">
        <f t="shared" si="88"/>
        <v>347.56964743629885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61.588069009138046</v>
      </c>
      <c r="AA74" s="21">
        <f>EXP(-LN(2)/25)*AA73+(1-EXP(-LN(2)/25))/(LN(2)/25)*Calculateur!V74*Calculateur!X74*VLOOKUP('Données projet'!$B$9,Paramètres!$A$1:$I$89,3,0)*0.475*44/12</f>
        <v>29.436076265591602</v>
      </c>
      <c r="AB74" s="21">
        <f>EXP(-LN(2)/2)*AB73+(1-EXP(-LN(2)/2))/(LN(2)/2)*V74*Y74*VLOOKUP('Données projet'!$B$9,Paramètres!$A$1:$I$89,3,0)*0.475*44/12</f>
        <v>1.6749728116169305E-8</v>
      </c>
      <c r="AC74" s="22">
        <f t="shared" si="57"/>
        <v>91.024145291479371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15.8</v>
      </c>
      <c r="AI74" s="13">
        <f>IF('Données projet'!$A$62&gt;35,AI73+AH74-AQ73,IF(A74&lt;'Données projet'!$A$62,$AF$205^A74,IF(A74='Données projet'!$A$62,'Données projet'!$B$62,AI73+AH74-AQ73)))</f>
        <v>682.80000000000018</v>
      </c>
      <c r="AJ74" s="13">
        <f>AI74*VLOOKUP('Données projet'!$B$10,Paramètres!$A$1:$I$89,3,0)*VLOOKUP('Données projet'!$B$10,Paramètres!$A$1:$I$89,5,0)</f>
        <v>319.55040000000008</v>
      </c>
      <c r="AK74" s="13">
        <f t="shared" si="89"/>
        <v>75.259797985579624</v>
      </c>
      <c r="AL74" s="20">
        <f t="shared" si="58"/>
        <v>687.62776149155127</v>
      </c>
      <c r="AM74" s="59">
        <f t="shared" si="59"/>
        <v>980.96109482488464</v>
      </c>
      <c r="AN74" s="59">
        <f ca="1">AVERAGE(OFFSET($AM$3,0,0,'Données projet'!$E$10+1,1))-AVERAGE(OFFSET($H$3,0,0,'Données projet'!$E$10+1,1))</f>
        <v>342.49944586217674</v>
      </c>
      <c r="AO74" s="59">
        <f t="shared" si="90"/>
        <v>282.29766600872563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108.33094521936312</v>
      </c>
      <c r="AV74" s="21">
        <f>EXP(-LN(2)/25)*AV73+(1-EXP(-LN(2)/25))/(LN(2)/25)*Calculateur!AQ74*Calculateur!AS74*VLOOKUP('Données projet'!$B$10,Paramètres!$A$1:$I$89,3,0)*0.475*44/12</f>
        <v>12.860100117446398</v>
      </c>
      <c r="AW74" s="21">
        <f>EXP(-LN(2)/2)*AW73+(1-EXP(-LN(2)/2))/(LN(2)/2)*AQ74*AT74*VLOOKUP('Données projet'!$B$10,Paramètres!$A$1:$I$89,3,0)*0.475*44/12</f>
        <v>5.5832427053897733E-8</v>
      </c>
      <c r="AX74" s="21">
        <f t="shared" si="60"/>
        <v>121.19104539264194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244.40831999999995</v>
      </c>
      <c r="BF74" s="13">
        <f t="shared" si="91"/>
        <v>59.38699493610541</v>
      </c>
      <c r="BG74" s="20">
        <f t="shared" si="61"/>
        <v>529.11017351371675</v>
      </c>
      <c r="BH74" s="59">
        <f t="shared" si="62"/>
        <v>822.44350684705</v>
      </c>
      <c r="BI74" s="59">
        <f ca="1">AVERAGE(OFFSET($BH$3,0,0,'Données projet'!$E$11+1,1))-AVERAGE(OFFSET($H$3,0,0,'Données projet'!$E$11+1,1))</f>
        <v>279.49721661620544</v>
      </c>
      <c r="BJ74" s="59">
        <f t="shared" si="92"/>
        <v>275.18739333988754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51.359039937885704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51.359039937885704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16.8</v>
      </c>
      <c r="BY74" s="12">
        <f>IF('Données projet'!$A$114&gt;35,BY73+BX74-CG73,IF(A74&lt;'Données projet'!$A$114,$BV$205^A74,IF(A74='Données projet'!$A$114,'Données projet'!$B$114,BY73+BX74-CG73)))</f>
        <v>679.80000000000007</v>
      </c>
      <c r="BZ74" s="13">
        <f>BY74*VLOOKUP('Données projet'!$B$12,Paramètres!$A$1:$I$89,3,0)*VLOOKUP('Données projet'!$B$12,Paramètres!$A$1:$I$89,5,0)</f>
        <v>326.98380000000003</v>
      </c>
      <c r="CA74" s="13">
        <f t="shared" si="93"/>
        <v>76.804638175603472</v>
      </c>
      <c r="CB74" s="20">
        <f t="shared" si="64"/>
        <v>703.2648631558427</v>
      </c>
      <c r="CC74" s="59">
        <f t="shared" si="65"/>
        <v>996.59819648917596</v>
      </c>
      <c r="CD74" s="59">
        <f ca="1">AVERAGE(OFFSET($CC$3,0,0,'Données projet'!$E$12+1,1))-AVERAGE(OFFSET($H$3,0,0,'Données projet'!$E$12+1,1))</f>
        <v>349.65790906807746</v>
      </c>
      <c r="CE74" s="59">
        <f t="shared" si="94"/>
        <v>291.88925884278888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114.04472281273991</v>
      </c>
      <c r="CL74" s="21">
        <f>EXP(-LN(2)/25)*CL73+(1-EXP(-LN(2)/25))/(LN(2)/25)*Calculateur!CG74*Calculateur!CI74*VLOOKUP('Données projet'!$B$12,Paramètres!$A$1:$I$89,3,0)*0.475*44/12</f>
        <v>13.217325120708814</v>
      </c>
      <c r="CM74" s="21">
        <f>EXP(-LN(2)/2)*CM73+(1-EXP(-LN(2)/2))/(LN(2)/2)*CG74*CJ74*VLOOKUP('Données projet'!$B$12,Paramètres!$A$1:$I$89,3,0)*0.475*44/12</f>
        <v>3.4429996683236909E-8</v>
      </c>
      <c r="CN74" s="22">
        <f t="shared" si="66"/>
        <v>127.26204796787871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5.2</v>
      </c>
      <c r="CT74" s="12">
        <f>IF('Données projet'!$A$140&gt;35,CT73+CS74-DB73,IF(A74&lt;'Données projet'!$A$140,$CQ$205^A74,IF(A74='Données projet'!$A$140,'Données projet'!$B$140,CT73+CS74-DB73)))</f>
        <v>265.19999999999976</v>
      </c>
      <c r="CU74" s="17">
        <f>CT74*VLOOKUP('Données projet'!$B$13,Paramètres!$A$1:$I$89,3,0)*VLOOKUP('Données projet'!$B$13,Paramètres!$A$1:$I$89,5,0)</f>
        <v>206.85599999999982</v>
      </c>
      <c r="CV74" s="13">
        <f t="shared" si="95"/>
        <v>51.247940588293027</v>
      </c>
      <c r="CW74" s="20">
        <f t="shared" si="67"/>
        <v>449.53102985794334</v>
      </c>
      <c r="CX74" s="59">
        <f t="shared" si="68"/>
        <v>742.86436319127665</v>
      </c>
      <c r="CY74" s="59">
        <f ca="1">AVERAGE(OFFSET($CX$3,0,0,'Données projet'!$E$13+1,1))-AVERAGE(OFFSET($H$3,0,0,'Données projet'!$E$13+1,1))</f>
        <v>215.84581110302656</v>
      </c>
      <c r="CZ74" s="59">
        <f t="shared" si="96"/>
        <v>193.88588526156104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57.519591157148682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57.519591157148682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401</v>
      </c>
      <c r="O75" s="13">
        <f>N75*VLOOKUP('Données projet'!$B$9,Paramètres!$A$1:$I$89,3,0)*VLOOKUP('Données projet'!$B$9,Paramètres!$A$1:$I$89,5,0)</f>
        <v>250.22399999999999</v>
      </c>
      <c r="P75" s="13">
        <f t="shared" si="87"/>
        <v>60.633904580527918</v>
      </c>
      <c r="Q75" s="20">
        <f t="shared" si="54"/>
        <v>541.41085047775289</v>
      </c>
      <c r="R75" s="59">
        <f t="shared" si="55"/>
        <v>834.74418381108626</v>
      </c>
      <c r="S75" s="59">
        <f ca="1">AVERAGE(OFFSET($R$3,0,0,'Données projet'!$E$9+1,1))-AVERAGE(OFFSET($H$3,0,0,'Données projet'!$E$9+1,1))</f>
        <v>269.77739619445515</v>
      </c>
      <c r="T75" s="59">
        <f t="shared" si="88"/>
        <v>347.56964743629885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60.380364540881708</v>
      </c>
      <c r="AA75" s="21">
        <f>EXP(-LN(2)/25)*AA74+(1-EXP(-LN(2)/25))/(LN(2)/25)*Calculateur!V75*Calculateur!X75*VLOOKUP('Données projet'!$B$9,Paramètres!$A$1:$I$89,3,0)*0.475*44/12</f>
        <v>28.631145212133024</v>
      </c>
      <c r="AB75" s="21">
        <f>EXP(-LN(2)/2)*AB74+(1-EXP(-LN(2)/2))/(LN(2)/2)*V75*Y75*VLOOKUP('Données projet'!$B$9,Paramètres!$A$1:$I$89,3,0)*0.475*44/12</f>
        <v>1.1843846333974292E-8</v>
      </c>
      <c r="AC75" s="22">
        <f t="shared" si="57"/>
        <v>89.011509764858587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15.8</v>
      </c>
      <c r="AI75" s="13">
        <f>IF('Données projet'!$A$62&gt;35,AI74+AH75-AQ74,IF(A75&lt;'Données projet'!$A$62,$AF$205^A75,IF(A75='Données projet'!$A$62,'Données projet'!$B$62,AI74+AH75-AQ74)))</f>
        <v>698.60000000000014</v>
      </c>
      <c r="AJ75" s="13">
        <f>AI75*VLOOKUP('Données projet'!$B$10,Paramètres!$A$1:$I$89,3,0)*VLOOKUP('Données projet'!$B$10,Paramètres!$A$1:$I$89,5,0)</f>
        <v>326.94480000000004</v>
      </c>
      <c r="AK75" s="13">
        <f t="shared" si="89"/>
        <v>76.796543777878767</v>
      </c>
      <c r="AL75" s="20">
        <f t="shared" si="58"/>
        <v>703.18284041313893</v>
      </c>
      <c r="AM75" s="59">
        <f t="shared" si="59"/>
        <v>996.5161737464723</v>
      </c>
      <c r="AN75" s="59">
        <f ca="1">AVERAGE(OFFSET($AM$3,0,0,'Données projet'!$E$10+1,1))-AVERAGE(OFFSET($H$3,0,0,'Données projet'!$E$10+1,1))</f>
        <v>342.49944586217674</v>
      </c>
      <c r="AO75" s="59">
        <f t="shared" si="90"/>
        <v>282.29766600872563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106.20664145896359</v>
      </c>
      <c r="AV75" s="21">
        <f>EXP(-LN(2)/25)*AV74+(1-EXP(-LN(2)/25))/(LN(2)/25)*Calculateur!AQ75*Calculateur!AS75*VLOOKUP('Données projet'!$B$10,Paramètres!$A$1:$I$89,3,0)*0.475*44/12</f>
        <v>12.508440003451554</v>
      </c>
      <c r="AW75" s="21">
        <f>EXP(-LN(2)/2)*AW74+(1-EXP(-LN(2)/2))/(LN(2)/2)*AQ75*AT75*VLOOKUP('Données projet'!$B$10,Paramètres!$A$1:$I$89,3,0)*0.475*44/12</f>
        <v>3.947948777991434E-8</v>
      </c>
      <c r="AX75" s="21">
        <f t="shared" si="60"/>
        <v>118.71508150189463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247.74983999999995</v>
      </c>
      <c r="BF75" s="13">
        <f t="shared" si="91"/>
        <v>60.103849700617872</v>
      </c>
      <c r="BG75" s="20">
        <f t="shared" si="61"/>
        <v>536.17850956190932</v>
      </c>
      <c r="BH75" s="59">
        <f t="shared" si="62"/>
        <v>829.51184289524258</v>
      </c>
      <c r="BI75" s="59">
        <f ca="1">AVERAGE(OFFSET($BH$3,0,0,'Données projet'!$E$11+1,1))-AVERAGE(OFFSET($H$3,0,0,'Données projet'!$E$11+1,1))</f>
        <v>279.49721661620544</v>
      </c>
      <c r="BJ75" s="59">
        <f t="shared" si="92"/>
        <v>275.18739333988754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50.351920490624948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50.351920490624948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16.8</v>
      </c>
      <c r="BY75" s="12">
        <f>IF('Données projet'!$A$114&gt;35,BY74+BX75-CG74,IF(A75&lt;'Données projet'!$A$114,$BV$205^A75,IF(A75='Données projet'!$A$114,'Données projet'!$B$114,BY74+BX75-CG74)))</f>
        <v>696.6</v>
      </c>
      <c r="BZ75" s="13">
        <f>BY75*VLOOKUP('Données projet'!$B$12,Paramètres!$A$1:$I$89,3,0)*VLOOKUP('Données projet'!$B$12,Paramètres!$A$1:$I$89,5,0)</f>
        <v>335.06460000000004</v>
      </c>
      <c r="CA75" s="13">
        <f t="shared" si="93"/>
        <v>78.479395389925372</v>
      </c>
      <c r="CB75" s="20">
        <f t="shared" si="64"/>
        <v>720.25579197078662</v>
      </c>
      <c r="CC75" s="59">
        <f t="shared" si="65"/>
        <v>1013.58912530412</v>
      </c>
      <c r="CD75" s="59">
        <f ca="1">AVERAGE(OFFSET($CC$3,0,0,'Données projet'!$E$12+1,1))-AVERAGE(OFFSET($H$3,0,0,'Données projet'!$E$12+1,1))</f>
        <v>349.65790906807746</v>
      </c>
      <c r="CE75" s="59">
        <f t="shared" si="94"/>
        <v>291.88925884278888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111.80837535879448</v>
      </c>
      <c r="CL75" s="21">
        <f>EXP(-LN(2)/25)*CL74+(1-EXP(-LN(2)/25))/(LN(2)/25)*Calculateur!CG75*Calculateur!CI75*VLOOKUP('Données projet'!$B$12,Paramètres!$A$1:$I$89,3,0)*0.475*44/12</f>
        <v>12.855896670214113</v>
      </c>
      <c r="CM75" s="21">
        <f>EXP(-LN(2)/2)*CM74+(1-EXP(-LN(2)/2))/(LN(2)/2)*CG75*CJ75*VLOOKUP('Données projet'!$B$12,Paramètres!$A$1:$I$89,3,0)*0.475*44/12</f>
        <v>2.4345684130947158E-8</v>
      </c>
      <c r="CN75" s="22">
        <f t="shared" si="66"/>
        <v>124.66427205335427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5.2</v>
      </c>
      <c r="CT75" s="12">
        <f>IF('Données projet'!$A$140&gt;35,CT74+CS75-DB74,IF(A75&lt;'Données projet'!$A$140,$CQ$205^A75,IF(A75='Données projet'!$A$140,'Données projet'!$B$140,CT74+CS75-DB74)))</f>
        <v>270.39999999999975</v>
      </c>
      <c r="CU75" s="17">
        <f>CT75*VLOOKUP('Données projet'!$B$13,Paramètres!$A$1:$I$89,3,0)*VLOOKUP('Données projet'!$B$13,Paramètres!$A$1:$I$89,5,0)</f>
        <v>210.91199999999981</v>
      </c>
      <c r="CV75" s="13">
        <f t="shared" si="95"/>
        <v>52.134830352456738</v>
      </c>
      <c r="CW75" s="20">
        <f t="shared" si="67"/>
        <v>458.13989619719513</v>
      </c>
      <c r="CX75" s="59">
        <f t="shared" si="68"/>
        <v>751.47322953052844</v>
      </c>
      <c r="CY75" s="59">
        <f ca="1">AVERAGE(OFFSET($CX$3,0,0,'Données projet'!$E$13+1,1))-AVERAGE(OFFSET($H$3,0,0,'Données projet'!$E$13+1,1))</f>
        <v>215.84581110302656</v>
      </c>
      <c r="CZ75" s="59">
        <f t="shared" si="96"/>
        <v>193.88588526156104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56.391667058043396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56.391667058043396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401</v>
      </c>
      <c r="O76" s="13">
        <f>N76*VLOOKUP('Données projet'!$B$9,Paramètres!$A$1:$I$89,3,0)*VLOOKUP('Données projet'!$B$9,Paramètres!$A$1:$I$89,5,0)</f>
        <v>250.22399999999999</v>
      </c>
      <c r="P76" s="13">
        <f t="shared" si="87"/>
        <v>60.633904580527918</v>
      </c>
      <c r="Q76" s="20">
        <f t="shared" si="54"/>
        <v>541.41085047775289</v>
      </c>
      <c r="R76" s="59">
        <f t="shared" si="55"/>
        <v>834.74418381108626</v>
      </c>
      <c r="S76" s="59">
        <f ca="1">AVERAGE(OFFSET($R$3,0,0,'Données projet'!$E$9+1,1))-AVERAGE(OFFSET($H$3,0,0,'Données projet'!$E$9+1,1))</f>
        <v>269.77739619445515</v>
      </c>
      <c r="T76" s="59">
        <f t="shared" si="88"/>
        <v>347.56964743629885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59.196342420620887</v>
      </c>
      <c r="AA76" s="21">
        <f>EXP(-LN(2)/25)*AA75+(1-EXP(-LN(2)/25))/(LN(2)/25)*Calculateur!V76*Calculateur!X76*VLOOKUP('Données projet'!$B$9,Paramètres!$A$1:$I$89,3,0)*0.475*44/12</f>
        <v>27.848225040660758</v>
      </c>
      <c r="AB76" s="21">
        <f>EXP(-LN(2)/2)*AB75+(1-EXP(-LN(2)/2))/(LN(2)/2)*V76*Y76*VLOOKUP('Données projet'!$B$9,Paramètres!$A$1:$I$89,3,0)*0.475*44/12</f>
        <v>8.3748640580846526E-9</v>
      </c>
      <c r="AC76" s="22">
        <f t="shared" si="57"/>
        <v>87.044567469656513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15.8</v>
      </c>
      <c r="AI76" s="13">
        <f>IF('Données projet'!$A$62&gt;35,AI75+AH76-AQ75,IF(A76&lt;'Données projet'!$A$62,$AF$205^A76,IF(A76='Données projet'!$A$62,'Données projet'!$B$62,AI75+AH76-AQ75)))</f>
        <v>714.40000000000009</v>
      </c>
      <c r="AJ76" s="13">
        <f>AI76*VLOOKUP('Données projet'!$B$10,Paramètres!$A$1:$I$89,3,0)*VLOOKUP('Données projet'!$B$10,Paramètres!$A$1:$I$89,5,0)</f>
        <v>334.33920000000006</v>
      </c>
      <c r="AK76" s="13">
        <f t="shared" si="89"/>
        <v>78.32924892122405</v>
      </c>
      <c r="AL76" s="20">
        <f t="shared" si="58"/>
        <v>718.73088187113206</v>
      </c>
      <c r="AM76" s="59">
        <f t="shared" si="59"/>
        <v>1012.0642152044654</v>
      </c>
      <c r="AN76" s="59">
        <f ca="1">AVERAGE(OFFSET($AM$3,0,0,'Données projet'!$E$10+1,1))-AVERAGE(OFFSET($H$3,0,0,'Données projet'!$E$10+1,1))</f>
        <v>342.49944586217674</v>
      </c>
      <c r="AO76" s="59">
        <f t="shared" si="90"/>
        <v>282.29766600872563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104.12399399960815</v>
      </c>
      <c r="AV76" s="21">
        <f>EXP(-LN(2)/25)*AV75+(1-EXP(-LN(2)/25))/(LN(2)/25)*Calculateur!AQ76*Calculateur!AS76*VLOOKUP('Données projet'!$B$10,Paramètres!$A$1:$I$89,3,0)*0.475*44/12</f>
        <v>12.166396053766899</v>
      </c>
      <c r="AW76" s="21">
        <f>EXP(-LN(2)/2)*AW75+(1-EXP(-LN(2)/2))/(LN(2)/2)*AQ76*AT76*VLOOKUP('Données projet'!$B$10,Paramètres!$A$1:$I$89,3,0)*0.475*44/12</f>
        <v>2.7916213526948866E-8</v>
      </c>
      <c r="AX76" s="21">
        <f t="shared" si="60"/>
        <v>116.29039008129126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251.09135999999995</v>
      </c>
      <c r="BF76" s="13">
        <f t="shared" si="91"/>
        <v>60.81957989149403</v>
      </c>
      <c r="BG76" s="20">
        <f t="shared" si="61"/>
        <v>543.24488697768527</v>
      </c>
      <c r="BH76" s="59">
        <f t="shared" si="62"/>
        <v>836.57822031101864</v>
      </c>
      <c r="BI76" s="59">
        <f ca="1">AVERAGE(OFFSET($BH$3,0,0,'Données projet'!$E$11+1,1))-AVERAGE(OFFSET($H$3,0,0,'Données projet'!$E$11+1,1))</f>
        <v>279.49721661620544</v>
      </c>
      <c r="BJ76" s="59">
        <f t="shared" si="92"/>
        <v>275.18739333988754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49.364550041442769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49.364550041442769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16.8</v>
      </c>
      <c r="BY76" s="12">
        <f>IF('Données projet'!$A$114&gt;35,BY75+BX76-CG75,IF(A76&lt;'Données projet'!$A$114,$BV$205^A76,IF(A76='Données projet'!$A$114,'Données projet'!$B$114,BY75+BX76-CG75)))</f>
        <v>713.4</v>
      </c>
      <c r="BZ76" s="13">
        <f>BY76*VLOOKUP('Données projet'!$B$12,Paramètres!$A$1:$I$89,3,0)*VLOOKUP('Données projet'!$B$12,Paramètres!$A$1:$I$89,5,0)</f>
        <v>343.1454</v>
      </c>
      <c r="CA76" s="13">
        <f t="shared" si="93"/>
        <v>80.149457278745572</v>
      </c>
      <c r="CB76" s="20">
        <f t="shared" si="64"/>
        <v>737.23854309381511</v>
      </c>
      <c r="CC76" s="59">
        <f t="shared" si="65"/>
        <v>1030.5718764271485</v>
      </c>
      <c r="CD76" s="59">
        <f ca="1">AVERAGE(OFFSET($CC$3,0,0,'Données projet'!$E$12+1,1))-AVERAGE(OFFSET($H$3,0,0,'Données projet'!$E$12+1,1))</f>
        <v>349.65790906807746</v>
      </c>
      <c r="CE76" s="59">
        <f t="shared" si="94"/>
        <v>291.88925884278888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109.61588131438366</v>
      </c>
      <c r="CL76" s="21">
        <f>EXP(-LN(2)/25)*CL75+(1-EXP(-LN(2)/25))/(LN(2)/25)*Calculateur!CG76*Calculateur!CI76*VLOOKUP('Données projet'!$B$12,Paramètres!$A$1:$I$89,3,0)*0.475*44/12</f>
        <v>12.504351499704885</v>
      </c>
      <c r="CM76" s="21">
        <f>EXP(-LN(2)/2)*CM75+(1-EXP(-LN(2)/2))/(LN(2)/2)*CG76*CJ76*VLOOKUP('Données projet'!$B$12,Paramètres!$A$1:$I$89,3,0)*0.475*44/12</f>
        <v>1.7214998341618454E-8</v>
      </c>
      <c r="CN76" s="22">
        <f t="shared" si="66"/>
        <v>122.12023283130354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5.2</v>
      </c>
      <c r="CT76" s="12">
        <f>IF('Données projet'!$A$140&gt;35,CT75+CS76-DB75,IF(A76&lt;'Données projet'!$A$140,$CQ$205^A76,IF(A76='Données projet'!$A$140,'Données projet'!$B$140,CT75+CS76-DB75)))</f>
        <v>275.59999999999974</v>
      </c>
      <c r="CU76" s="17">
        <f>CT76*VLOOKUP('Données projet'!$B$13,Paramètres!$A$1:$I$89,3,0)*VLOOKUP('Données projet'!$B$13,Paramètres!$A$1:$I$89,5,0)</f>
        <v>214.96799999999979</v>
      </c>
      <c r="CV76" s="13">
        <f t="shared" si="95"/>
        <v>53.019736939092944</v>
      </c>
      <c r="CW76" s="20">
        <f t="shared" si="67"/>
        <v>466.74530850225307</v>
      </c>
      <c r="CX76" s="59">
        <f t="shared" si="68"/>
        <v>760.07864183558638</v>
      </c>
      <c r="CY76" s="59">
        <f ca="1">AVERAGE(OFFSET($CX$3,0,0,'Données projet'!$E$13+1,1))-AVERAGE(OFFSET($H$3,0,0,'Données projet'!$E$13+1,1))</f>
        <v>215.84581110302656</v>
      </c>
      <c r="CZ76" s="59">
        <f t="shared" si="96"/>
        <v>193.88588526156104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55.285860862555793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55.285860862555793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401</v>
      </c>
      <c r="O77" s="13">
        <f>N77*VLOOKUP('Données projet'!$B$9,Paramètres!$A$1:$I$89,3,0)*VLOOKUP('Données projet'!$B$9,Paramètres!$A$1:$I$89,5,0)</f>
        <v>250.22399999999999</v>
      </c>
      <c r="P77" s="13">
        <f t="shared" si="87"/>
        <v>60.633904580527918</v>
      </c>
      <c r="Q77" s="20">
        <f t="shared" si="54"/>
        <v>541.41085047775289</v>
      </c>
      <c r="R77" s="59">
        <f t="shared" si="55"/>
        <v>834.74418381108626</v>
      </c>
      <c r="S77" s="59">
        <f ca="1">AVERAGE(OFFSET($R$3,0,0,'Données projet'!$E$9+1,1))-AVERAGE(OFFSET($H$3,0,0,'Données projet'!$E$9+1,1))</f>
        <v>269.77739619445515</v>
      </c>
      <c r="T77" s="59">
        <f t="shared" si="88"/>
        <v>347.56964743629885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58.035538251956197</v>
      </c>
      <c r="AA77" s="21">
        <f>EXP(-LN(2)/25)*AA76+(1-EXP(-LN(2)/25))/(LN(2)/25)*Calculateur!V77*Calculateur!X77*VLOOKUP('Données projet'!$B$9,Paramètres!$A$1:$I$89,3,0)*0.475*44/12</f>
        <v>27.086713862449383</v>
      </c>
      <c r="AB77" s="21">
        <f>EXP(-LN(2)/2)*AB76+(1-EXP(-LN(2)/2))/(LN(2)/2)*V77*Y77*VLOOKUP('Données projet'!$B$9,Paramètres!$A$1:$I$89,3,0)*0.475*44/12</f>
        <v>5.921923166987146E-9</v>
      </c>
      <c r="AC77" s="22">
        <f t="shared" si="57"/>
        <v>85.122252120327502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15.8</v>
      </c>
      <c r="AI77" s="13">
        <f>IF('Données projet'!$A$62&gt;35,AI76+AH77-AQ76,IF(A77&lt;'Données projet'!$A$62,$AF$205^A77,IF(A77='Données projet'!$A$62,'Données projet'!$B$62,AI76+AH77-AQ76)))</f>
        <v>730.2</v>
      </c>
      <c r="AJ77" s="13">
        <f>AI77*VLOOKUP('Données projet'!$B$10,Paramètres!$A$1:$I$89,3,0)*VLOOKUP('Données projet'!$B$10,Paramètres!$A$1:$I$89,5,0)</f>
        <v>341.73360000000002</v>
      </c>
      <c r="AK77" s="13">
        <f t="shared" si="89"/>
        <v>79.858013070646606</v>
      </c>
      <c r="AL77" s="20">
        <f t="shared" si="58"/>
        <v>734.27205943137631</v>
      </c>
      <c r="AM77" s="59">
        <f t="shared" si="59"/>
        <v>1027.6053927647097</v>
      </c>
      <c r="AN77" s="59">
        <f ca="1">AVERAGE(OFFSET($AM$3,0,0,'Données projet'!$E$10+1,1))-AVERAGE(OFFSET($H$3,0,0,'Données projet'!$E$10+1,1))</f>
        <v>342.49944586217674</v>
      </c>
      <c r="AO77" s="59">
        <f t="shared" si="90"/>
        <v>282.29766600872563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102.08218598664114</v>
      </c>
      <c r="AV77" s="21">
        <f>EXP(-LN(2)/25)*AV76+(1-EXP(-LN(2)/25))/(LN(2)/25)*Calculateur!AQ77*Calculateur!AS77*VLOOKUP('Données projet'!$B$10,Paramètres!$A$1:$I$89,3,0)*0.475*44/12</f>
        <v>11.833705313873681</v>
      </c>
      <c r="AW77" s="21">
        <f>EXP(-LN(2)/2)*AW76+(1-EXP(-LN(2)/2))/(LN(2)/2)*AQ77*AT77*VLOOKUP('Données projet'!$B$10,Paramètres!$A$1:$I$89,3,0)*0.475*44/12</f>
        <v>1.973974388995717E-8</v>
      </c>
      <c r="AX77" s="21">
        <f t="shared" si="60"/>
        <v>113.91589132025456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254.43287999999995</v>
      </c>
      <c r="BF77" s="13">
        <f t="shared" si="91"/>
        <v>61.534202204620392</v>
      </c>
      <c r="BG77" s="20">
        <f t="shared" si="61"/>
        <v>550.30933483971376</v>
      </c>
      <c r="BH77" s="59">
        <f t="shared" si="62"/>
        <v>843.64266817304701</v>
      </c>
      <c r="BI77" s="59">
        <f ca="1">AVERAGE(OFFSET($BH$3,0,0,'Données projet'!$E$11+1,1))-AVERAGE(OFFSET($H$3,0,0,'Données projet'!$E$11+1,1))</f>
        <v>279.49721661620544</v>
      </c>
      <c r="BJ77" s="59">
        <f t="shared" si="92"/>
        <v>275.18739333988754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48.396541324532542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48.396541324532542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16.8</v>
      </c>
      <c r="BY77" s="12">
        <f>IF('Données projet'!$A$114&gt;35,BY76+BX77-CG76,IF(A77&lt;'Données projet'!$A$114,$BV$205^A77,IF(A77='Données projet'!$A$114,'Données projet'!$B$114,BY76+BX77-CG76)))</f>
        <v>730.19999999999993</v>
      </c>
      <c r="BZ77" s="13">
        <f>BY77*VLOOKUP('Données projet'!$B$12,Paramètres!$A$1:$I$89,3,0)*VLOOKUP('Données projet'!$B$12,Paramètres!$A$1:$I$89,5,0)</f>
        <v>351.22620000000001</v>
      </c>
      <c r="CA77" s="13">
        <f t="shared" si="93"/>
        <v>81.814947137719528</v>
      </c>
      <c r="CB77" s="20">
        <f t="shared" si="64"/>
        <v>754.21333126486149</v>
      </c>
      <c r="CC77" s="59">
        <f t="shared" si="65"/>
        <v>1047.5466645981949</v>
      </c>
      <c r="CD77" s="59">
        <f ca="1">AVERAGE(OFFSET($CC$3,0,0,'Données projet'!$E$12+1,1))-AVERAGE(OFFSET($H$3,0,0,'Données projet'!$E$12+1,1))</f>
        <v>349.65790906807746</v>
      </c>
      <c r="CE77" s="59">
        <f t="shared" si="94"/>
        <v>291.88925884278888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107.46638074089441</v>
      </c>
      <c r="CL77" s="21">
        <f>EXP(-LN(2)/25)*CL76+(1-EXP(-LN(2)/25))/(LN(2)/25)*Calculateur!CG77*Calculateur!CI77*VLOOKUP('Données projet'!$B$12,Paramètres!$A$1:$I$89,3,0)*0.475*44/12</f>
        <v>12.16241935037019</v>
      </c>
      <c r="CM77" s="21">
        <f>EXP(-LN(2)/2)*CM76+(1-EXP(-LN(2)/2))/(LN(2)/2)*CG77*CJ77*VLOOKUP('Données projet'!$B$12,Paramètres!$A$1:$I$89,3,0)*0.475*44/12</f>
        <v>1.2172842065473579E-8</v>
      </c>
      <c r="CN77" s="22">
        <f t="shared" si="66"/>
        <v>119.62880010343744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5.2</v>
      </c>
      <c r="CT77" s="12">
        <f>IF('Données projet'!$A$140&gt;35,CT76+CS77-DB76,IF(A77&lt;'Données projet'!$A$140,$CQ$205^A77,IF(A77='Données projet'!$A$140,'Données projet'!$B$140,CT76+CS77-DB76)))</f>
        <v>280.79999999999973</v>
      </c>
      <c r="CU77" s="17">
        <f>CT77*VLOOKUP('Données projet'!$B$13,Paramètres!$A$1:$I$89,3,0)*VLOOKUP('Données projet'!$B$13,Paramètres!$A$1:$I$89,5,0)</f>
        <v>219.0239999999998</v>
      </c>
      <c r="CV77" s="13">
        <f t="shared" si="95"/>
        <v>53.902702081308306</v>
      </c>
      <c r="CW77" s="20">
        <f t="shared" si="67"/>
        <v>475.34733945827821</v>
      </c>
      <c r="CX77" s="59">
        <f t="shared" si="68"/>
        <v>768.68067279161153</v>
      </c>
      <c r="CY77" s="59">
        <f ca="1">AVERAGE(OFFSET($CX$3,0,0,'Données projet'!$E$13+1,1))-AVERAGE(OFFSET($H$3,0,0,'Données projet'!$E$13+1,1))</f>
        <v>215.84581110302656</v>
      </c>
      <c r="CZ77" s="59">
        <f t="shared" si="96"/>
        <v>193.88588526156104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54.201738852086521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54.201738852086521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401</v>
      </c>
      <c r="O78" s="13">
        <f>N78*VLOOKUP('Données projet'!$B$9,Paramètres!$A$1:$I$89,3,0)*VLOOKUP('Données projet'!$B$9,Paramètres!$A$1:$I$89,5,0)</f>
        <v>250.22399999999999</v>
      </c>
      <c r="P78" s="13">
        <f t="shared" si="87"/>
        <v>60.633904580527918</v>
      </c>
      <c r="Q78" s="20">
        <f t="shared" si="54"/>
        <v>541.41085047775289</v>
      </c>
      <c r="R78" s="59">
        <f t="shared" si="55"/>
        <v>834.74418381108626</v>
      </c>
      <c r="S78" s="59">
        <f ca="1">AVERAGE(OFFSET($R$3,0,0,'Données projet'!$E$9+1,1))-AVERAGE(OFFSET($H$3,0,0,'Données projet'!$E$9+1,1))</f>
        <v>269.77739619445515</v>
      </c>
      <c r="T78" s="59">
        <f t="shared" si="88"/>
        <v>347.56964743629885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56.897496745018387</v>
      </c>
      <c r="AA78" s="21">
        <f>EXP(-LN(2)/25)*AA77+(1-EXP(-LN(2)/25))/(LN(2)/25)*Calculateur!V78*Calculateur!X78*VLOOKUP('Données projet'!$B$9,Paramètres!$A$1:$I$89,3,0)*0.475*44/12</f>
        <v>26.346026247452329</v>
      </c>
      <c r="AB78" s="21">
        <f>EXP(-LN(2)/2)*AB77+(1-EXP(-LN(2)/2))/(LN(2)/2)*V78*Y78*VLOOKUP('Données projet'!$B$9,Paramètres!$A$1:$I$89,3,0)*0.475*44/12</f>
        <v>4.1874320290423263E-9</v>
      </c>
      <c r="AC78" s="22">
        <f t="shared" si="57"/>
        <v>83.243522996658143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746</v>
      </c>
      <c r="AG78" s="12">
        <f>VLOOKUP(A78,'Données projet'!$A$61:$I$81,9,0)</f>
        <v>15.8</v>
      </c>
      <c r="AH78" s="12">
        <f t="array" ref="AH78">INDEX(AG:AG,MIN(IF(ISNUMBER(AG78:AG274),ROW(AG78:AG274),"")))</f>
        <v>15.8</v>
      </c>
      <c r="AI78" s="13">
        <f>IF('Données projet'!$A$62&gt;35,AI77+AH78-AQ77,IF(A78&lt;'Données projet'!$A$62,$AF$205^A78,IF(A78='Données projet'!$A$62,'Données projet'!$B$62,AI77+AH78-AQ77)))</f>
        <v>746</v>
      </c>
      <c r="AJ78" s="13">
        <f>AI78*VLOOKUP('Données projet'!$B$10,Paramètres!$A$1:$I$89,3,0)*VLOOKUP('Données projet'!$B$10,Paramètres!$A$1:$I$89,5,0)</f>
        <v>349.12800000000004</v>
      </c>
      <c r="AK78" s="13">
        <f t="shared" si="89"/>
        <v>81.382931322201784</v>
      </c>
      <c r="AL78" s="20">
        <f t="shared" si="58"/>
        <v>749.80653871950153</v>
      </c>
      <c r="AM78" s="59">
        <f t="shared" si="59"/>
        <v>1043.1398720528348</v>
      </c>
      <c r="AN78" s="59">
        <f ca="1">AVERAGE(OFFSET($AM$3,0,0,'Données projet'!$E$10+1,1))-AVERAGE(OFFSET($H$3,0,0,'Données projet'!$E$10+1,1))</f>
        <v>342.49944586217674</v>
      </c>
      <c r="AO78" s="59">
        <f t="shared" si="90"/>
        <v>282.29766600872563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43</v>
      </c>
      <c r="AR78" s="16">
        <f>IF(ISNA(VLOOKUP(A78,'Données projet'!$A$61:$I$81,5,0)),0%,VLOOKUP(A78,'Données projet'!$A$61:$I$81,5,0)*VLOOKUP('Données projet'!$B$10,Paramètres!$A$1:$I$89,7,0))</f>
        <v>0.55000000000000004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114.76309728912442</v>
      </c>
      <c r="AV78" s="21">
        <f>EXP(-LN(2)/25)*AV77+(1-EXP(-LN(2)/25))/(LN(2)/25)*Calculateur!AQ78*Calculateur!AS78*VLOOKUP('Données projet'!$B$10,Paramètres!$A$1:$I$89,3,0)*0.475*44/12</f>
        <v>11.510112019758289</v>
      </c>
      <c r="AW78" s="21">
        <f>EXP(-LN(2)/2)*AW77+(1-EXP(-LN(2)/2))/(LN(2)/2)*AQ78*AT78*VLOOKUP('Données projet'!$B$10,Paramètres!$A$1:$I$89,3,0)*0.475*44/12</f>
        <v>1.3958106763474433E-8</v>
      </c>
      <c r="AX78" s="21">
        <f t="shared" si="60"/>
        <v>126.27320932284081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257.77439999999996</v>
      </c>
      <c r="BF78" s="13">
        <f t="shared" si="91"/>
        <v>62.247732872134293</v>
      </c>
      <c r="BG78" s="20">
        <f t="shared" si="61"/>
        <v>557.37188141896718</v>
      </c>
      <c r="BH78" s="59">
        <f t="shared" si="62"/>
        <v>850.70521475230044</v>
      </c>
      <c r="BI78" s="59">
        <f ca="1">AVERAGE(OFFSET($BH$3,0,0,'Données projet'!$E$11+1,1))-AVERAGE(OFFSET($H$3,0,0,'Données projet'!$E$11+1,1))</f>
        <v>279.49721661620544</v>
      </c>
      <c r="BJ78" s="59">
        <f t="shared" si="92"/>
        <v>275.18739333988754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53.04121247609671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53.04121247609671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747</v>
      </c>
      <c r="BW78" s="12">
        <f>VLOOKUP(A78,'Données projet'!$A$113:$I$133,9,0)</f>
        <v>16.8</v>
      </c>
      <c r="BX78" s="12">
        <f t="array" ref="BX78">INDEX(BW:BW,MIN(IF(ISNUMBER(BW78:BW274),ROW(BW78:BW274),"")))</f>
        <v>16.8</v>
      </c>
      <c r="BY78" s="12">
        <f>IF('Données projet'!$A$114&gt;35,BY77+BX78-CG77,IF(A78&lt;'Données projet'!$A$114,$BV$205^A78,IF(A78='Données projet'!$A$114,'Données projet'!$B$114,BY77+BX78-CG77)))</f>
        <v>746.99999999999989</v>
      </c>
      <c r="BZ78" s="13">
        <f>BY78*VLOOKUP('Données projet'!$B$12,Paramètres!$A$1:$I$89,3,0)*VLOOKUP('Données projet'!$B$12,Paramètres!$A$1:$I$89,5,0)</f>
        <v>359.3069999999999</v>
      </c>
      <c r="CA78" s="13">
        <f t="shared" si="93"/>
        <v>83.475982265325911</v>
      </c>
      <c r="CB78" s="20">
        <f t="shared" si="64"/>
        <v>771.18036077877571</v>
      </c>
      <c r="CC78" s="59">
        <f t="shared" si="65"/>
        <v>1064.5136941121091</v>
      </c>
      <c r="CD78" s="59">
        <f ca="1">AVERAGE(OFFSET($CC$3,0,0,'Données projet'!$E$12+1,1))-AVERAGE(OFFSET($H$3,0,0,'Données projet'!$E$12+1,1))</f>
        <v>349.65790906807746</v>
      </c>
      <c r="CE78" s="59">
        <f t="shared" si="94"/>
        <v>291.88925884278888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47</v>
      </c>
      <c r="CH78" s="16">
        <f>IF(ISNA(VLOOKUP(A78,'Données projet'!$A$113:$I$133,5,0)),0%,VLOOKUP(A78,'Données projet'!$A$113:$I$133,5,0)*VLOOKUP('Données projet'!$B$12,Paramètres!$A$1:$I$89,7,0))</f>
        <v>0.55000000000000004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121.85333401685232</v>
      </c>
      <c r="CL78" s="21">
        <f>EXP(-LN(2)/25)*CL77+(1-EXP(-LN(2)/25))/(LN(2)/25)*Calculateur!CG78*Calculateur!CI78*VLOOKUP('Données projet'!$B$12,Paramètres!$A$1:$I$89,3,0)*0.475*44/12</f>
        <v>11.82983735364048</v>
      </c>
      <c r="CM78" s="21">
        <f>EXP(-LN(2)/2)*CM77+(1-EXP(-LN(2)/2))/(LN(2)/2)*CG78*CJ78*VLOOKUP('Données projet'!$B$12,Paramètres!$A$1:$I$89,3,0)*0.475*44/12</f>
        <v>8.6074991708092272E-9</v>
      </c>
      <c r="CN78" s="22">
        <f t="shared" si="66"/>
        <v>133.68317137910029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286</v>
      </c>
      <c r="CR78" s="12">
        <f>VLOOKUP(A78,'Données projet'!$A$139:$I$159,9,0)</f>
        <v>5.2</v>
      </c>
      <c r="CS78" s="12">
        <f t="array" ref="CS78">INDEX(CR:CR,MIN(IF(ISNUMBER(CR78:CR274),ROW(CR78:CR274),"")))</f>
        <v>5.2</v>
      </c>
      <c r="CT78" s="12">
        <f>IF('Données projet'!$A$140&gt;35,CT77+CS78-DB77,IF(A78&lt;'Données projet'!$A$140,$CQ$205^A78,IF(A78='Données projet'!$A$140,'Données projet'!$B$140,CT77+CS78-DB77)))</f>
        <v>285.99999999999972</v>
      </c>
      <c r="CU78" s="17">
        <f>CT78*VLOOKUP('Données projet'!$B$13,Paramètres!$A$1:$I$89,3,0)*VLOOKUP('Données projet'!$B$13,Paramètres!$A$1:$I$89,5,0)</f>
        <v>223.07999999999979</v>
      </c>
      <c r="CV78" s="13">
        <f t="shared" si="95"/>
        <v>54.783765878062617</v>
      </c>
      <c r="CW78" s="20">
        <f t="shared" si="67"/>
        <v>483.94605890429199</v>
      </c>
      <c r="CX78" s="59">
        <f t="shared" si="68"/>
        <v>777.2793922376253</v>
      </c>
      <c r="CY78" s="59">
        <f ca="1">AVERAGE(OFFSET($CX$3,0,0,'Données projet'!$E$13+1,1))-AVERAGE(OFFSET($H$3,0,0,'Données projet'!$E$13+1,1))</f>
        <v>215.84581110302656</v>
      </c>
      <c r="CZ78" s="59">
        <f t="shared" si="96"/>
        <v>193.88588526156104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53.138875812993419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53.138875812993419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401</v>
      </c>
      <c r="O79" s="13">
        <f>N79*VLOOKUP('Données projet'!$B$9,Paramètres!$A$1:$I$89,3,0)*VLOOKUP('Données projet'!$B$9,Paramètres!$A$1:$I$89,5,0)</f>
        <v>250.22399999999999</v>
      </c>
      <c r="P79" s="13">
        <f t="shared" si="87"/>
        <v>60.633904580527918</v>
      </c>
      <c r="Q79" s="20">
        <f t="shared" si="54"/>
        <v>541.41085047775289</v>
      </c>
      <c r="R79" s="59">
        <f t="shared" si="55"/>
        <v>834.74418381108626</v>
      </c>
      <c r="S79" s="59">
        <f ca="1">AVERAGE(OFFSET($R$3,0,0,'Données projet'!$E$9+1,1))-AVERAGE(OFFSET($H$3,0,0,'Données projet'!$E$9+1,1))</f>
        <v>269.77739619445515</v>
      </c>
      <c r="T79" s="59">
        <f t="shared" si="88"/>
        <v>347.56964743629885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55.781771537894848</v>
      </c>
      <c r="AA79" s="21">
        <f>EXP(-LN(2)/25)*AA78+(1-EXP(-LN(2)/25))/(LN(2)/25)*Calculateur!V79*Calculateur!X79*VLOOKUP('Données projet'!$B$9,Paramètres!$A$1:$I$89,3,0)*0.475*44/12</f>
        <v>25.625592774238438</v>
      </c>
      <c r="AB79" s="21">
        <f>EXP(-LN(2)/2)*AB78+(1-EXP(-LN(2)/2))/(LN(2)/2)*V79*Y79*VLOOKUP('Données projet'!$B$9,Paramètres!$A$1:$I$89,3,0)*0.475*44/12</f>
        <v>2.960961583493573E-9</v>
      </c>
      <c r="AC79" s="22">
        <f t="shared" si="57"/>
        <v>81.407364315094242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14.6</v>
      </c>
      <c r="AI79" s="13">
        <f>IF('Données projet'!$A$62&gt;35,AI78+AH79-AQ78,IF(A79&lt;'Données projet'!$A$62,$AF$205^A79,IF(A79='Données projet'!$A$62,'Données projet'!$B$62,AI78+AH79-AQ78)))</f>
        <v>717.6</v>
      </c>
      <c r="AJ79" s="13">
        <f>AI79*VLOOKUP('Données projet'!$B$10,Paramètres!$A$1:$I$89,3,0)*VLOOKUP('Données projet'!$B$10,Paramètres!$A$1:$I$89,5,0)</f>
        <v>335.83680000000004</v>
      </c>
      <c r="AK79" s="13">
        <f t="shared" si="89"/>
        <v>78.639187157507763</v>
      </c>
      <c r="AL79" s="20">
        <f t="shared" si="58"/>
        <v>721.87901096599273</v>
      </c>
      <c r="AM79" s="59">
        <f t="shared" si="59"/>
        <v>1015.2123442993261</v>
      </c>
      <c r="AN79" s="59">
        <f ca="1">AVERAGE(OFFSET($AM$3,0,0,'Données projet'!$E$10+1,1))-AVERAGE(OFFSET($H$3,0,0,'Données projet'!$E$10+1,1))</f>
        <v>342.49944586217674</v>
      </c>
      <c r="AO79" s="59">
        <f t="shared" si="90"/>
        <v>282.29766600872563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112.51266294986225</v>
      </c>
      <c r="AV79" s="21">
        <f>EXP(-LN(2)/25)*AV78+(1-EXP(-LN(2)/25))/(LN(2)/25)*Calculateur!AQ79*Calculateur!AS79*VLOOKUP('Données projet'!$B$10,Paramètres!$A$1:$I$89,3,0)*0.475*44/12</f>
        <v>11.195367401287514</v>
      </c>
      <c r="AW79" s="21">
        <f>EXP(-LN(2)/2)*AW78+(1-EXP(-LN(2)/2))/(LN(2)/2)*AQ79*AT79*VLOOKUP('Données projet'!$B$10,Paramètres!$A$1:$I$89,3,0)*0.475*44/12</f>
        <v>9.869871944978585E-9</v>
      </c>
      <c r="AX79" s="21">
        <f t="shared" si="60"/>
        <v>123.70803036101962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251.09135999999995</v>
      </c>
      <c r="BF79" s="13">
        <f t="shared" si="91"/>
        <v>60.81957989149403</v>
      </c>
      <c r="BG79" s="20">
        <f t="shared" si="61"/>
        <v>543.24488697768527</v>
      </c>
      <c r="BH79" s="59">
        <f t="shared" si="62"/>
        <v>836.57822031101864</v>
      </c>
      <c r="BI79" s="59">
        <f ca="1">AVERAGE(OFFSET($BH$3,0,0,'Données projet'!$E$11+1,1))-AVERAGE(OFFSET($H$3,0,0,'Données projet'!$E$11+1,1))</f>
        <v>279.49721661620544</v>
      </c>
      <c r="BJ79" s="59">
        <f t="shared" si="92"/>
        <v>275.18739333988754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52.001106651385577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52.001106651385577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15.8</v>
      </c>
      <c r="BY79" s="12">
        <f>IF('Données projet'!$A$114&gt;35,BY78+BX79-CG78,IF(A79&lt;'Données projet'!$A$114,$BV$205^A79,IF(A79='Données projet'!$A$114,'Données projet'!$B$114,BY78+BX79-CG78)))</f>
        <v>715.79999999999984</v>
      </c>
      <c r="BZ79" s="13">
        <f>BY79*VLOOKUP('Données projet'!$B$12,Paramètres!$A$1:$I$89,3,0)*VLOOKUP('Données projet'!$B$12,Paramètres!$A$1:$I$89,5,0)</f>
        <v>344.29979999999995</v>
      </c>
      <c r="CA79" s="13">
        <f t="shared" si="93"/>
        <v>80.387661522922144</v>
      </c>
      <c r="CB79" s="20">
        <f t="shared" si="64"/>
        <v>739.66399548575589</v>
      </c>
      <c r="CC79" s="59">
        <f t="shared" si="65"/>
        <v>1032.9973288190893</v>
      </c>
      <c r="CD79" s="59">
        <f ca="1">AVERAGE(OFFSET($CC$3,0,0,'Données projet'!$E$12+1,1))-AVERAGE(OFFSET($H$3,0,0,'Données projet'!$E$12+1,1))</f>
        <v>349.65790906807746</v>
      </c>
      <c r="CE79" s="59">
        <f t="shared" si="94"/>
        <v>291.88925884278888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119.46386445997679</v>
      </c>
      <c r="CL79" s="21">
        <f>EXP(-LN(2)/25)*CL78+(1-EXP(-LN(2)/25))/(LN(2)/25)*Calculateur!CG79*Calculateur!CI79*VLOOKUP('Données projet'!$B$12,Paramètres!$A$1:$I$89,3,0)*0.475*44/12</f>
        <v>11.506349829101072</v>
      </c>
      <c r="CM79" s="21">
        <f>EXP(-LN(2)/2)*CM78+(1-EXP(-LN(2)/2))/(LN(2)/2)*CG79*CJ79*VLOOKUP('Données projet'!$B$12,Paramètres!$A$1:$I$89,3,0)*0.475*44/12</f>
        <v>6.0864210327367895E-9</v>
      </c>
      <c r="CN79" s="22">
        <f t="shared" si="66"/>
        <v>130.97021429516428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285.99999999999972</v>
      </c>
      <c r="CU79" s="17">
        <f>CT79*VLOOKUP('Données projet'!$B$13,Paramètres!$A$1:$I$89,3,0)*VLOOKUP('Données projet'!$B$13,Paramètres!$A$1:$I$89,5,0)</f>
        <v>223.07999999999979</v>
      </c>
      <c r="CV79" s="13">
        <f t="shared" si="95"/>
        <v>54.783765878062617</v>
      </c>
      <c r="CW79" s="20">
        <f t="shared" si="67"/>
        <v>483.94605890429199</v>
      </c>
      <c r="CX79" s="59">
        <f t="shared" si="68"/>
        <v>777.2793922376253</v>
      </c>
      <c r="CY79" s="59">
        <f ca="1">AVERAGE(OFFSET($CX$3,0,0,'Données projet'!$E$13+1,1))-AVERAGE(OFFSET($H$3,0,0,'Données projet'!$E$13+1,1))</f>
        <v>215.84581110302656</v>
      </c>
      <c r="CZ79" s="59">
        <f t="shared" si="96"/>
        <v>193.88588526156104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52.096854869814493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52.096854869814493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401</v>
      </c>
      <c r="O80" s="13">
        <f>N80*VLOOKUP('Données projet'!$B$9,Paramètres!$A$1:$I$89,3,0)*VLOOKUP('Données projet'!$B$9,Paramètres!$A$1:$I$89,5,0)</f>
        <v>250.22399999999999</v>
      </c>
      <c r="P80" s="13">
        <f t="shared" si="87"/>
        <v>60.633904580527918</v>
      </c>
      <c r="Q80" s="20">
        <f t="shared" si="54"/>
        <v>541.41085047775289</v>
      </c>
      <c r="R80" s="59">
        <f t="shared" si="55"/>
        <v>834.74418381108626</v>
      </c>
      <c r="S80" s="59">
        <f ca="1">AVERAGE(OFFSET($R$3,0,0,'Données projet'!$E$9+1,1))-AVERAGE(OFFSET($H$3,0,0,'Données projet'!$E$9+1,1))</f>
        <v>269.77739619445515</v>
      </c>
      <c r="T80" s="59">
        <f t="shared" si="88"/>
        <v>347.56964743629885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54.687925021557824</v>
      </c>
      <c r="AA80" s="21">
        <f>EXP(-LN(2)/25)*AA79+(1-EXP(-LN(2)/25))/(LN(2)/25)*Calculateur!V80*Calculateur!X80*VLOOKUP('Données projet'!$B$9,Paramètres!$A$1:$I$89,3,0)*0.475*44/12</f>
        <v>24.924859592235531</v>
      </c>
      <c r="AB80" s="21">
        <f>EXP(-LN(2)/2)*AB79+(1-EXP(-LN(2)/2))/(LN(2)/2)*V80*Y80*VLOOKUP('Données projet'!$B$9,Paramètres!$A$1:$I$89,3,0)*0.475*44/12</f>
        <v>2.0937160145211631E-9</v>
      </c>
      <c r="AC80" s="22">
        <f t="shared" si="57"/>
        <v>79.612784615887065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14.6</v>
      </c>
      <c r="AI80" s="13">
        <f>IF('Données projet'!$A$62&gt;35,AI79+AH80-AQ79,IF(A80&lt;'Données projet'!$A$62,$AF$205^A80,IF(A80='Données projet'!$A$62,'Données projet'!$B$62,AI79+AH80-AQ79)))</f>
        <v>732.2</v>
      </c>
      <c r="AJ80" s="13">
        <f>AI80*VLOOKUP('Données projet'!$B$10,Paramètres!$A$1:$I$89,3,0)*VLOOKUP('Données projet'!$B$10,Paramètres!$A$1:$I$89,5,0)</f>
        <v>342.6696</v>
      </c>
      <c r="AK80" s="13">
        <f t="shared" si="89"/>
        <v>80.051251371214221</v>
      </c>
      <c r="AL80" s="20">
        <f t="shared" si="58"/>
        <v>736.2388161381981</v>
      </c>
      <c r="AM80" s="59">
        <f t="shared" si="59"/>
        <v>1029.5721494715315</v>
      </c>
      <c r="AN80" s="59">
        <f ca="1">AVERAGE(OFFSET($AM$3,0,0,'Données projet'!$E$10+1,1))-AVERAGE(OFFSET($H$3,0,0,'Données projet'!$E$10+1,1))</f>
        <v>342.49944586217674</v>
      </c>
      <c r="AO80" s="59">
        <f t="shared" si="90"/>
        <v>282.29766600872563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110.30635825536359</v>
      </c>
      <c r="AV80" s="21">
        <f>EXP(-LN(2)/25)*AV79+(1-EXP(-LN(2)/25))/(LN(2)/25)*Calculateur!AQ80*Calculateur!AS80*VLOOKUP('Données projet'!$B$10,Paramètres!$A$1:$I$89,3,0)*0.475*44/12</f>
        <v>10.889229490960522</v>
      </c>
      <c r="AW80" s="21">
        <f>EXP(-LN(2)/2)*AW79+(1-EXP(-LN(2)/2))/(LN(2)/2)*AQ80*AT80*VLOOKUP('Données projet'!$B$10,Paramètres!$A$1:$I$89,3,0)*0.475*44/12</f>
        <v>6.9790533817372166E-9</v>
      </c>
      <c r="AX80" s="21">
        <f t="shared" si="60"/>
        <v>121.19558775330316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253.95551999999998</v>
      </c>
      <c r="BF80" s="13">
        <f t="shared" si="91"/>
        <v>61.432180511879253</v>
      </c>
      <c r="BG80" s="20">
        <f t="shared" si="61"/>
        <v>549.30024505818972</v>
      </c>
      <c r="BH80" s="59">
        <f t="shared" si="62"/>
        <v>842.63357839152309</v>
      </c>
      <c r="BI80" s="59">
        <f ca="1">AVERAGE(OFFSET($BH$3,0,0,'Données projet'!$E$11+1,1))-AVERAGE(OFFSET($H$3,0,0,'Données projet'!$E$11+1,1))</f>
        <v>279.49721661620544</v>
      </c>
      <c r="BJ80" s="59">
        <f t="shared" si="92"/>
        <v>275.18739333988754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50.981396667495119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50.981396667495119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15.8</v>
      </c>
      <c r="BY80" s="12">
        <f>IF('Données projet'!$A$114&gt;35,BY79+BX80-CG79,IF(A80&lt;'Données projet'!$A$114,$BV$205^A80,IF(A80='Données projet'!$A$114,'Données projet'!$B$114,BY79+BX80-CG79)))</f>
        <v>731.5999999999998</v>
      </c>
      <c r="BZ80" s="13">
        <f>BY80*VLOOKUP('Données projet'!$B$12,Paramètres!$A$1:$I$89,3,0)*VLOOKUP('Données projet'!$B$12,Paramètres!$A$1:$I$89,5,0)</f>
        <v>351.89959999999985</v>
      </c>
      <c r="CA80" s="13">
        <f t="shared" si="93"/>
        <v>81.95353530100887</v>
      </c>
      <c r="CB80" s="20">
        <f t="shared" si="64"/>
        <v>755.62754398259005</v>
      </c>
      <c r="CC80" s="59">
        <f t="shared" si="65"/>
        <v>1048.9608773159234</v>
      </c>
      <c r="CD80" s="59">
        <f ca="1">AVERAGE(OFFSET($CC$3,0,0,'Données projet'!$E$12+1,1))-AVERAGE(OFFSET($H$3,0,0,'Données projet'!$E$12+1,1))</f>
        <v>349.65790906807746</v>
      </c>
      <c r="CE80" s="59">
        <f t="shared" si="94"/>
        <v>291.88925884278888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117.12125094367907</v>
      </c>
      <c r="CL80" s="21">
        <f>EXP(-LN(2)/25)*CL79+(1-EXP(-LN(2)/25))/(LN(2)/25)*Calculateur!CG80*Calculateur!CI80*VLOOKUP('Données projet'!$B$12,Paramètres!$A$1:$I$89,3,0)*0.475*44/12</f>
        <v>11.191708087931664</v>
      </c>
      <c r="CM80" s="21">
        <f>EXP(-LN(2)/2)*CM79+(1-EXP(-LN(2)/2))/(LN(2)/2)*CG80*CJ80*VLOOKUP('Données projet'!$B$12,Paramètres!$A$1:$I$89,3,0)*0.475*44/12</f>
        <v>4.3037495854046136E-9</v>
      </c>
      <c r="CN80" s="22">
        <f t="shared" si="66"/>
        <v>128.3129590359145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285.99999999999972</v>
      </c>
      <c r="CU80" s="17">
        <f>CT80*VLOOKUP('Données projet'!$B$13,Paramètres!$A$1:$I$89,3,0)*VLOOKUP('Données projet'!$B$13,Paramètres!$A$1:$I$89,5,0)</f>
        <v>223.07999999999979</v>
      </c>
      <c r="CV80" s="13">
        <f t="shared" si="95"/>
        <v>54.783765878062617</v>
      </c>
      <c r="CW80" s="20">
        <f t="shared" si="67"/>
        <v>483.94605890429199</v>
      </c>
      <c r="CX80" s="59">
        <f t="shared" si="68"/>
        <v>777.2793922376253</v>
      </c>
      <c r="CY80" s="59">
        <f ca="1">AVERAGE(OFFSET($CX$3,0,0,'Données projet'!$E$13+1,1))-AVERAGE(OFFSET($H$3,0,0,'Données projet'!$E$13+1,1))</f>
        <v>215.84581110302656</v>
      </c>
      <c r="CZ80" s="59">
        <f t="shared" si="96"/>
        <v>193.88588526156104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51.075267321761288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51.075267321761288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401</v>
      </c>
      <c r="O81" s="13">
        <f>N81*VLOOKUP('Données projet'!$B$9,Paramètres!$A$1:$I$89,3,0)*VLOOKUP('Données projet'!$B$9,Paramètres!$A$1:$I$89,5,0)</f>
        <v>250.22399999999999</v>
      </c>
      <c r="P81" s="13">
        <f t="shared" si="87"/>
        <v>60.633904580527918</v>
      </c>
      <c r="Q81" s="20">
        <f t="shared" si="54"/>
        <v>541.41085047775289</v>
      </c>
      <c r="R81" s="59">
        <f t="shared" si="55"/>
        <v>834.74418381108626</v>
      </c>
      <c r="S81" s="59">
        <f ca="1">AVERAGE(OFFSET($R$3,0,0,'Données projet'!$E$9+1,1))-AVERAGE(OFFSET($H$3,0,0,'Données projet'!$E$9+1,1))</f>
        <v>269.77739619445515</v>
      </c>
      <c r="T81" s="59">
        <f t="shared" si="88"/>
        <v>347.56964743629885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53.615528168225673</v>
      </c>
      <c r="AA81" s="21">
        <f>EXP(-LN(2)/25)*AA80+(1-EXP(-LN(2)/25))/(LN(2)/25)*Calculateur!V81*Calculateur!X81*VLOOKUP('Données projet'!$B$9,Paramètres!$A$1:$I$89,3,0)*0.475*44/12</f>
        <v>24.243287995944453</v>
      </c>
      <c r="AB81" s="21">
        <f>EXP(-LN(2)/2)*AB80+(1-EXP(-LN(2)/2))/(LN(2)/2)*V81*Y81*VLOOKUP('Données projet'!$B$9,Paramètres!$A$1:$I$89,3,0)*0.475*44/12</f>
        <v>1.4804807917467865E-9</v>
      </c>
      <c r="AC81" s="22">
        <f t="shared" si="57"/>
        <v>77.858816165650609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14.6</v>
      </c>
      <c r="AI81" s="13">
        <f>IF('Données projet'!$A$62&gt;35,AI80+AH81-AQ80,IF(A81&lt;'Données projet'!$A$62,$AF$205^A81,IF(A81='Données projet'!$A$62,'Données projet'!$B$62,AI80+AH81-AQ80)))</f>
        <v>746.80000000000007</v>
      </c>
      <c r="AJ81" s="13">
        <f>AI81*VLOOKUP('Données projet'!$B$10,Paramètres!$A$1:$I$89,3,0)*VLOOKUP('Données projet'!$B$10,Paramètres!$A$1:$I$89,5,0)</f>
        <v>349.50240000000002</v>
      </c>
      <c r="AK81" s="13">
        <f t="shared" si="89"/>
        <v>81.460041747724091</v>
      </c>
      <c r="AL81" s="20">
        <f t="shared" si="58"/>
        <v>750.59291937728619</v>
      </c>
      <c r="AM81" s="59">
        <f t="shared" si="59"/>
        <v>1043.9262527106196</v>
      </c>
      <c r="AN81" s="59">
        <f ca="1">AVERAGE(OFFSET($AM$3,0,0,'Données projet'!$E$10+1,1))-AVERAGE(OFFSET($H$3,0,0,'Données projet'!$E$10+1,1))</f>
        <v>342.49944586217674</v>
      </c>
      <c r="AO81" s="59">
        <f t="shared" si="90"/>
        <v>282.29766600872563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108.14331785021108</v>
      </c>
      <c r="AV81" s="21">
        <f>EXP(-LN(2)/25)*AV80+(1-EXP(-LN(2)/25))/(LN(2)/25)*Calculateur!AQ81*Calculateur!AS81*VLOOKUP('Données projet'!$B$10,Paramètres!$A$1:$I$89,3,0)*0.475*44/12</f>
        <v>10.591462937890515</v>
      </c>
      <c r="AW81" s="21">
        <f>EXP(-LN(2)/2)*AW80+(1-EXP(-LN(2)/2))/(LN(2)/2)*AQ81*AT81*VLOOKUP('Données projet'!$B$10,Paramètres!$A$1:$I$89,3,0)*0.475*44/12</f>
        <v>4.9349359724892925E-9</v>
      </c>
      <c r="AX81" s="21">
        <f t="shared" si="60"/>
        <v>118.73478079303652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256.81968000000001</v>
      </c>
      <c r="BF81" s="13">
        <f t="shared" si="91"/>
        <v>62.043977430851903</v>
      </c>
      <c r="BG81" s="20">
        <f t="shared" si="61"/>
        <v>555.35420335873368</v>
      </c>
      <c r="BH81" s="59">
        <f t="shared" si="62"/>
        <v>848.68753669206694</v>
      </c>
      <c r="BI81" s="59">
        <f ca="1">AVERAGE(OFFSET($BH$3,0,0,'Données projet'!$E$11+1,1))-AVERAGE(OFFSET($H$3,0,0,'Données projet'!$E$11+1,1))</f>
        <v>279.49721661620544</v>
      </c>
      <c r="BJ81" s="59">
        <f t="shared" si="92"/>
        <v>275.18739333988754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49.981682574427076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49.981682574427076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15.8</v>
      </c>
      <c r="BY81" s="12">
        <f>IF('Données projet'!$A$114&gt;35,BY80+BX81-CG80,IF(A81&lt;'Données projet'!$A$114,$BV$205^A81,IF(A81='Données projet'!$A$114,'Données projet'!$B$114,BY80+BX81-CG80)))</f>
        <v>747.39999999999975</v>
      </c>
      <c r="BZ81" s="13">
        <f>BY81*VLOOKUP('Données projet'!$B$12,Paramètres!$A$1:$I$89,3,0)*VLOOKUP('Données projet'!$B$12,Paramètres!$A$1:$I$89,5,0)</f>
        <v>359.49939999999987</v>
      </c>
      <c r="CA81" s="13">
        <f t="shared" si="93"/>
        <v>83.515477354858348</v>
      </c>
      <c r="CB81" s="20">
        <f t="shared" si="64"/>
        <v>771.58424472637807</v>
      </c>
      <c r="CC81" s="59">
        <f t="shared" si="65"/>
        <v>1064.9175780597113</v>
      </c>
      <c r="CD81" s="59">
        <f ca="1">AVERAGE(OFFSET($CC$3,0,0,'Données projet'!$E$12+1,1))-AVERAGE(OFFSET($H$3,0,0,'Données projet'!$E$12+1,1))</f>
        <v>349.65790906807746</v>
      </c>
      <c r="CE81" s="59">
        <f t="shared" si="94"/>
        <v>291.88925884278888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114.82457464958279</v>
      </c>
      <c r="CL81" s="21">
        <f>EXP(-LN(2)/25)*CL80+(1-EXP(-LN(2)/25))/(LN(2)/25)*Calculateur!CG81*Calculateur!CI81*VLOOKUP('Données projet'!$B$12,Paramètres!$A$1:$I$89,3,0)*0.475*44/12</f>
        <v>10.885670241720824</v>
      </c>
      <c r="CM81" s="21">
        <f>EXP(-LN(2)/2)*CM80+(1-EXP(-LN(2)/2))/(LN(2)/2)*CG81*CJ81*VLOOKUP('Données projet'!$B$12,Paramètres!$A$1:$I$89,3,0)*0.475*44/12</f>
        <v>3.0432105163683948E-9</v>
      </c>
      <c r="CN81" s="22">
        <f t="shared" si="66"/>
        <v>125.71024489434681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285.99999999999972</v>
      </c>
      <c r="CU81" s="17">
        <f>CT81*VLOOKUP('Données projet'!$B$13,Paramètres!$A$1:$I$89,3,0)*VLOOKUP('Données projet'!$B$13,Paramètres!$A$1:$I$89,5,0)</f>
        <v>223.07999999999979</v>
      </c>
      <c r="CV81" s="13">
        <f t="shared" si="95"/>
        <v>54.783765878062617</v>
      </c>
      <c r="CW81" s="20">
        <f t="shared" si="67"/>
        <v>483.94605890429199</v>
      </c>
      <c r="CX81" s="59">
        <f t="shared" si="68"/>
        <v>777.2793922376253</v>
      </c>
      <c r="CY81" s="59">
        <f ca="1">AVERAGE(OFFSET($CX$3,0,0,'Données projet'!$E$13+1,1))-AVERAGE(OFFSET($H$3,0,0,'Données projet'!$E$13+1,1))</f>
        <v>215.84581110302656</v>
      </c>
      <c r="CZ81" s="59">
        <f t="shared" si="96"/>
        <v>193.88588526156104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50.073712482418529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50.073712482418529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401</v>
      </c>
      <c r="O82" s="13">
        <f>N82*VLOOKUP('Données projet'!$B$9,Paramètres!$A$1:$I$89,3,0)*VLOOKUP('Données projet'!$B$9,Paramètres!$A$1:$I$89,5,0)</f>
        <v>250.22399999999999</v>
      </c>
      <c r="P82" s="13">
        <f t="shared" si="87"/>
        <v>60.633904580527918</v>
      </c>
      <c r="Q82" s="20">
        <f t="shared" si="54"/>
        <v>541.41085047775289</v>
      </c>
      <c r="R82" s="59">
        <f t="shared" si="55"/>
        <v>834.74418381108626</v>
      </c>
      <c r="S82" s="59">
        <f ca="1">AVERAGE(OFFSET($R$3,0,0,'Données projet'!$E$9+1,1))-AVERAGE(OFFSET($H$3,0,0,'Données projet'!$E$9+1,1))</f>
        <v>269.77739619445515</v>
      </c>
      <c r="T82" s="59">
        <f t="shared" si="88"/>
        <v>347.56964743629885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52.564160363089869</v>
      </c>
      <c r="AA82" s="21">
        <f>EXP(-LN(2)/25)*AA81+(1-EXP(-LN(2)/25))/(LN(2)/25)*Calculateur!V82*Calculateur!X82*VLOOKUP('Données projet'!$B$9,Paramètres!$A$1:$I$89,3,0)*0.475*44/12</f>
        <v>23.580354010796245</v>
      </c>
      <c r="AB82" s="21">
        <f>EXP(-LN(2)/2)*AB81+(1-EXP(-LN(2)/2))/(LN(2)/2)*V82*Y82*VLOOKUP('Données projet'!$B$9,Paramètres!$A$1:$I$89,3,0)*0.475*44/12</f>
        <v>1.0468580072605816E-9</v>
      </c>
      <c r="AC82" s="22">
        <f t="shared" si="57"/>
        <v>76.144514374932967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14.6</v>
      </c>
      <c r="AI82" s="13">
        <f>IF('Données projet'!$A$62&gt;35,AI81+AH82-AQ81,IF(A82&lt;'Données projet'!$A$62,$AF$205^A82,IF(A82='Données projet'!$A$62,'Données projet'!$B$62,AI81+AH82-AQ81)))</f>
        <v>761.40000000000009</v>
      </c>
      <c r="AJ82" s="13">
        <f>AI82*VLOOKUP('Données projet'!$B$10,Paramètres!$A$1:$I$89,3,0)*VLOOKUP('Données projet'!$B$10,Paramètres!$A$1:$I$89,5,0)</f>
        <v>356.33520000000004</v>
      </c>
      <c r="AK82" s="13">
        <f t="shared" si="89"/>
        <v>82.865629668793161</v>
      </c>
      <c r="AL82" s="20">
        <f t="shared" si="58"/>
        <v>764.94144500648144</v>
      </c>
      <c r="AM82" s="59">
        <f t="shared" si="59"/>
        <v>1058.2747783398147</v>
      </c>
      <c r="AN82" s="59">
        <f ca="1">AVERAGE(OFFSET($AM$3,0,0,'Données projet'!$E$10+1,1))-AVERAGE(OFFSET($H$3,0,0,'Données projet'!$E$10+1,1))</f>
        <v>342.49944586217674</v>
      </c>
      <c r="AO82" s="59">
        <f t="shared" si="90"/>
        <v>282.29766600872563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106.02269334807923</v>
      </c>
      <c r="AV82" s="21">
        <f>EXP(-LN(2)/25)*AV81+(1-EXP(-LN(2)/25))/(LN(2)/25)*Calculateur!AQ82*Calculateur!AS82*VLOOKUP('Données projet'!$B$10,Paramètres!$A$1:$I$89,3,0)*0.475*44/12</f>
        <v>10.30183882687307</v>
      </c>
      <c r="AW82" s="21">
        <f>EXP(-LN(2)/2)*AW81+(1-EXP(-LN(2)/2))/(LN(2)/2)*AQ82*AT82*VLOOKUP('Données projet'!$B$10,Paramètres!$A$1:$I$89,3,0)*0.475*44/12</f>
        <v>3.4895266908686083E-9</v>
      </c>
      <c r="AX82" s="21">
        <f t="shared" si="60"/>
        <v>116.32453217844183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259.68384000000003</v>
      </c>
      <c r="BF82" s="13">
        <f t="shared" si="91"/>
        <v>62.654980648867358</v>
      </c>
      <c r="BG82" s="20">
        <f t="shared" si="61"/>
        <v>561.40677929677736</v>
      </c>
      <c r="BH82" s="59">
        <f t="shared" si="62"/>
        <v>854.74011263011062</v>
      </c>
      <c r="BI82" s="59">
        <f ca="1">AVERAGE(OFFSET($BH$3,0,0,'Données projet'!$E$11+1,1))-AVERAGE(OFFSET($H$3,0,0,'Données projet'!$E$11+1,1))</f>
        <v>279.49721661620544</v>
      </c>
      <c r="BJ82" s="59">
        <f t="shared" si="92"/>
        <v>275.18739333988754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49.00157226495871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49.00157226495871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15.8</v>
      </c>
      <c r="BY82" s="12">
        <f>IF('Données projet'!$A$114&gt;35,BY81+BX82-CG81,IF(A82&lt;'Données projet'!$A$114,$BV$205^A82,IF(A82='Données projet'!$A$114,'Données projet'!$B$114,BY81+BX82-CG81)))</f>
        <v>763.1999999999997</v>
      </c>
      <c r="BZ82" s="13">
        <f>BY82*VLOOKUP('Données projet'!$B$12,Paramètres!$A$1:$I$89,3,0)*VLOOKUP('Données projet'!$B$12,Paramètres!$A$1:$I$89,5,0)</f>
        <v>367.09919999999988</v>
      </c>
      <c r="CA82" s="13">
        <f t="shared" si="93"/>
        <v>85.073580375557114</v>
      </c>
      <c r="CB82" s="20">
        <f t="shared" si="64"/>
        <v>787.53425915409514</v>
      </c>
      <c r="CC82" s="59">
        <f t="shared" si="65"/>
        <v>1080.8675924874285</v>
      </c>
      <c r="CD82" s="59">
        <f ca="1">AVERAGE(OFFSET($CC$3,0,0,'Données projet'!$E$12+1,1))-AVERAGE(OFFSET($H$3,0,0,'Données projet'!$E$12+1,1))</f>
        <v>349.65790906807746</v>
      </c>
      <c r="CE82" s="59">
        <f t="shared" si="94"/>
        <v>291.88925884278888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112.57293477677952</v>
      </c>
      <c r="CL82" s="21">
        <f>EXP(-LN(2)/25)*CL81+(1-EXP(-LN(2)/25))/(LN(2)/25)*Calculateur!CG82*Calculateur!CI82*VLOOKUP('Données projet'!$B$12,Paramètres!$A$1:$I$89,3,0)*0.475*44/12</f>
        <v>10.58800101650845</v>
      </c>
      <c r="CM82" s="21">
        <f>EXP(-LN(2)/2)*CM81+(1-EXP(-LN(2)/2))/(LN(2)/2)*CG82*CJ82*VLOOKUP('Données projet'!$B$12,Paramètres!$A$1:$I$89,3,0)*0.475*44/12</f>
        <v>2.1518747927023068E-9</v>
      </c>
      <c r="CN82" s="22">
        <f t="shared" si="66"/>
        <v>123.16093579543984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285.99999999999972</v>
      </c>
      <c r="CU82" s="17">
        <f>CT82*VLOOKUP('Données projet'!$B$13,Paramètres!$A$1:$I$89,3,0)*VLOOKUP('Données projet'!$B$13,Paramètres!$A$1:$I$89,5,0)</f>
        <v>223.07999999999979</v>
      </c>
      <c r="CV82" s="13">
        <f t="shared" si="95"/>
        <v>54.783765878062617</v>
      </c>
      <c r="CW82" s="20">
        <f t="shared" si="67"/>
        <v>483.94605890429199</v>
      </c>
      <c r="CX82" s="59">
        <f t="shared" si="68"/>
        <v>777.2793922376253</v>
      </c>
      <c r="CY82" s="59">
        <f ca="1">AVERAGE(OFFSET($CX$3,0,0,'Données projet'!$E$13+1,1))-AVERAGE(OFFSET($H$3,0,0,'Données projet'!$E$13+1,1))</f>
        <v>215.84581110302656</v>
      </c>
      <c r="CZ82" s="59">
        <f t="shared" si="96"/>
        <v>193.88588526156104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49.09179752258715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49.09179752258715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401</v>
      </c>
      <c r="O83" s="13">
        <f>N83*VLOOKUP('Données projet'!$B$9,Paramètres!$A$1:$I$89,3,0)*VLOOKUP('Données projet'!$B$9,Paramètres!$A$1:$I$89,5,0)</f>
        <v>250.22399999999999</v>
      </c>
      <c r="P83" s="13">
        <f t="shared" si="87"/>
        <v>60.633904580527918</v>
      </c>
      <c r="Q83" s="20">
        <f t="shared" si="54"/>
        <v>541.41085047775289</v>
      </c>
      <c r="R83" s="59">
        <f t="shared" si="55"/>
        <v>834.74418381108626</v>
      </c>
      <c r="S83" s="59">
        <f ca="1">AVERAGE(OFFSET($R$3,0,0,'Données projet'!$E$9+1,1))-AVERAGE(OFFSET($H$3,0,0,'Données projet'!$E$9+1,1))</f>
        <v>269.77739619445515</v>
      </c>
      <c r="T83" s="59">
        <f t="shared" si="88"/>
        <v>347.56964743629885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51.533409239341736</v>
      </c>
      <c r="AA83" s="21">
        <f>EXP(-LN(2)/25)*AA82+(1-EXP(-LN(2)/25))/(LN(2)/25)*Calculateur!V83*Calculateur!X83*VLOOKUP('Données projet'!$B$9,Paramètres!$A$1:$I$89,3,0)*0.475*44/12</f>
        <v>22.935547990334097</v>
      </c>
      <c r="AB83" s="21">
        <f>EXP(-LN(2)/2)*AB82+(1-EXP(-LN(2)/2))/(LN(2)/2)*V83*Y83*VLOOKUP('Données projet'!$B$9,Paramètres!$A$1:$I$89,3,0)*0.475*44/12</f>
        <v>7.4024039587339325E-10</v>
      </c>
      <c r="AC83" s="22">
        <f t="shared" si="57"/>
        <v>74.468957230416081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776</v>
      </c>
      <c r="AG83" s="12">
        <f>VLOOKUP(A83,'Données projet'!$A$61:$I$81,9,0)</f>
        <v>14.6</v>
      </c>
      <c r="AH83" s="12">
        <f t="array" ref="AH83">INDEX(AG:AG,MIN(IF(ISNUMBER(AG83:AG279),ROW(AG83:AG279),"")))</f>
        <v>14.6</v>
      </c>
      <c r="AI83" s="13">
        <f>IF('Données projet'!$A$62&gt;35,AI82+AH83-AQ82,IF(A83&lt;'Données projet'!$A$62,$AF$205^A83,IF(A83='Données projet'!$A$62,'Données projet'!$B$62,AI82+AH83-AQ82)))</f>
        <v>776.00000000000011</v>
      </c>
      <c r="AJ83" s="13">
        <f>AI83*VLOOKUP('Données projet'!$B$10,Paramètres!$A$1:$I$89,3,0)*VLOOKUP('Données projet'!$B$10,Paramètres!$A$1:$I$89,5,0)</f>
        <v>363.16800000000001</v>
      </c>
      <c r="AK83" s="13">
        <f t="shared" si="89"/>
        <v>84.268083622033274</v>
      </c>
      <c r="AL83" s="20">
        <f t="shared" si="58"/>
        <v>779.28451230837447</v>
      </c>
      <c r="AM83" s="59">
        <f t="shared" si="59"/>
        <v>1072.6178456417078</v>
      </c>
      <c r="AN83" s="59">
        <f ca="1">AVERAGE(OFFSET($AM$3,0,0,'Données projet'!$E$10+1,1))-AVERAGE(OFFSET($H$3,0,0,'Données projet'!$E$10+1,1))</f>
        <v>342.49944586217674</v>
      </c>
      <c r="AO83" s="59">
        <f t="shared" si="90"/>
        <v>282.29766600872563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41</v>
      </c>
      <c r="AR83" s="16">
        <f>IF(ISNA(VLOOKUP(A83,'Données projet'!$A$61:$I$81,5,0)),0%,VLOOKUP(A83,'Données projet'!$A$61:$I$81,5,0)*VLOOKUP('Données projet'!$B$10,Paramètres!$A$1:$I$89,7,0))</f>
        <v>0.55000000000000004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117.9434183230166</v>
      </c>
      <c r="AV83" s="21">
        <f>EXP(-LN(2)/25)*AV82+(1-EXP(-LN(2)/25))/(LN(2)/25)*Calculateur!AQ83*Calculateur!AS83*VLOOKUP('Données projet'!$B$10,Paramètres!$A$1:$I$89,3,0)*0.475*44/12</f>
        <v>10.020134502402067</v>
      </c>
      <c r="AW83" s="21">
        <f>EXP(-LN(2)/2)*AW82+(1-EXP(-LN(2)/2))/(LN(2)/2)*AQ83*AT83*VLOOKUP('Données projet'!$B$10,Paramètres!$A$1:$I$89,3,0)*0.475*44/12</f>
        <v>2.4674679862446462E-9</v>
      </c>
      <c r="AX83" s="21">
        <f t="shared" si="60"/>
        <v>127.96355282788615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262.548</v>
      </c>
      <c r="BF83" s="13">
        <f t="shared" si="91"/>
        <v>63.265199933079444</v>
      </c>
      <c r="BG83" s="20">
        <f t="shared" si="61"/>
        <v>567.45798988344666</v>
      </c>
      <c r="BH83" s="59">
        <f t="shared" si="62"/>
        <v>860.79132321678003</v>
      </c>
      <c r="BI83" s="59">
        <f ca="1">AVERAGE(OFFSET($BH$3,0,0,'Données projet'!$E$11+1,1))-AVERAGE(OFFSET($H$3,0,0,'Données projet'!$E$11+1,1))</f>
        <v>279.49721661620544</v>
      </c>
      <c r="BJ83" s="59">
        <f t="shared" si="92"/>
        <v>275.18739333988754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53.168237644816656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53.168237644816656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779</v>
      </c>
      <c r="BW83" s="12">
        <f>VLOOKUP(A83,'Données projet'!$A$113:$I$133,9,0)</f>
        <v>15.8</v>
      </c>
      <c r="BX83" s="12">
        <f t="array" ref="BX83">INDEX(BW:BW,MIN(IF(ISNUMBER(BW83:BW279),ROW(BW83:BW279),"")))</f>
        <v>15.8</v>
      </c>
      <c r="BY83" s="12">
        <f>IF('Données projet'!$A$114&gt;35,BY82+BX83-CG82,IF(A83&lt;'Données projet'!$A$114,$BV$205^A83,IF(A83='Données projet'!$A$114,'Données projet'!$B$114,BY82+BX83-CG82)))</f>
        <v>778.99999999999966</v>
      </c>
      <c r="BZ83" s="13">
        <f>BY83*VLOOKUP('Données projet'!$B$12,Paramètres!$A$1:$I$89,3,0)*VLOOKUP('Données projet'!$B$12,Paramètres!$A$1:$I$89,5,0)</f>
        <v>374.69899999999984</v>
      </c>
      <c r="CA83" s="13">
        <f t="shared" si="93"/>
        <v>86.627932997010461</v>
      </c>
      <c r="CB83" s="20">
        <f t="shared" si="64"/>
        <v>803.47774163645965</v>
      </c>
      <c r="CC83" s="59">
        <f t="shared" si="65"/>
        <v>1096.811074969793</v>
      </c>
      <c r="CD83" s="59">
        <f ca="1">AVERAGE(OFFSET($CC$3,0,0,'Données projet'!$E$12+1,1))-AVERAGE(OFFSET($H$3,0,0,'Données projet'!$E$12+1,1))</f>
        <v>349.65790906807746</v>
      </c>
      <c r="CE83" s="59">
        <f t="shared" si="94"/>
        <v>291.88925884278888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46</v>
      </c>
      <c r="CH83" s="16">
        <f>IF(ISNA(VLOOKUP(A83,'Données projet'!$A$113:$I$133,5,0)),0%,VLOOKUP(A83,'Données projet'!$A$113:$I$133,5,0)*VLOOKUP('Données projet'!$B$12,Paramètres!$A$1:$I$89,7,0))</f>
        <v>0.55000000000000004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126.5088090160976</v>
      </c>
      <c r="CL83" s="21">
        <f>EXP(-LN(2)/25)*CL82+(1-EXP(-LN(2)/25))/(LN(2)/25)*Calculateur!CG83*Calculateur!CI83*VLOOKUP('Données projet'!$B$12,Paramètres!$A$1:$I$89,3,0)*0.475*44/12</f>
        <v>10.298471571913252</v>
      </c>
      <c r="CM83" s="21">
        <f>EXP(-LN(2)/2)*CM82+(1-EXP(-LN(2)/2))/(LN(2)/2)*CG83*CJ83*VLOOKUP('Données projet'!$B$12,Paramètres!$A$1:$I$89,3,0)*0.475*44/12</f>
        <v>1.5216052581841974E-9</v>
      </c>
      <c r="CN83" s="22">
        <f t="shared" si="66"/>
        <v>136.80728058953247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285.99999999999972</v>
      </c>
      <c r="CU83" s="17">
        <f>CT83*VLOOKUP('Données projet'!$B$13,Paramètres!$A$1:$I$89,3,0)*VLOOKUP('Données projet'!$B$13,Paramètres!$A$1:$I$89,5,0)</f>
        <v>223.07999999999979</v>
      </c>
      <c r="CV83" s="13">
        <f t="shared" si="95"/>
        <v>54.783765878062617</v>
      </c>
      <c r="CW83" s="20">
        <f t="shared" si="67"/>
        <v>483.94605890429199</v>
      </c>
      <c r="CX83" s="59">
        <f t="shared" si="68"/>
        <v>777.2793922376253</v>
      </c>
      <c r="CY83" s="59">
        <f ca="1">AVERAGE(OFFSET($CX$3,0,0,'Données projet'!$E$13+1,1))-AVERAGE(OFFSET($H$3,0,0,'Données projet'!$E$13+1,1))</f>
        <v>215.84581110302656</v>
      </c>
      <c r="CZ83" s="59">
        <f t="shared" si="96"/>
        <v>193.88588526156104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48.129137316209075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48.129137316209075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401</v>
      </c>
      <c r="O84" s="13">
        <f>N84*VLOOKUP('Données projet'!$B$9,Paramètres!$A$1:$I$89,3,0)*VLOOKUP('Données projet'!$B$9,Paramètres!$A$1:$I$89,5,0)</f>
        <v>250.22399999999999</v>
      </c>
      <c r="P84" s="13">
        <f t="shared" si="87"/>
        <v>60.633904580527918</v>
      </c>
      <c r="Q84" s="20">
        <f t="shared" si="54"/>
        <v>541.41085047775289</v>
      </c>
      <c r="R84" s="59">
        <f t="shared" si="55"/>
        <v>834.74418381108626</v>
      </c>
      <c r="S84" s="59">
        <f ca="1">AVERAGE(OFFSET($R$3,0,0,'Données projet'!$E$9+1,1))-AVERAGE(OFFSET($H$3,0,0,'Données projet'!$E$9+1,1))</f>
        <v>269.77739619445515</v>
      </c>
      <c r="T84" s="59">
        <f t="shared" si="88"/>
        <v>347.56964743629885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50.522870516434203</v>
      </c>
      <c r="AA84" s="21">
        <f>EXP(-LN(2)/25)*AA83+(1-EXP(-LN(2)/25))/(LN(2)/25)*Calculateur!V84*Calculateur!X84*VLOOKUP('Données projet'!$B$9,Paramètres!$A$1:$I$89,3,0)*0.475*44/12</f>
        <v>22.308374224410361</v>
      </c>
      <c r="AB84" s="21">
        <f>EXP(-LN(2)/2)*AB83+(1-EXP(-LN(2)/2))/(LN(2)/2)*V84*Y84*VLOOKUP('Données projet'!$B$9,Paramètres!$A$1:$I$89,3,0)*0.475*44/12</f>
        <v>5.2342900363029079E-10</v>
      </c>
      <c r="AC84" s="22">
        <f t="shared" si="57"/>
        <v>72.831244741367996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735.00000000000011</v>
      </c>
      <c r="AJ84" s="13">
        <f>AI84*VLOOKUP('Données projet'!$B$10,Paramètres!$A$1:$I$89,3,0)*VLOOKUP('Données projet'!$B$10,Paramètres!$A$1:$I$89,5,0)</f>
        <v>343.98</v>
      </c>
      <c r="AK84" s="13">
        <f t="shared" si="89"/>
        <v>80.321681832084693</v>
      </c>
      <c r="AL84" s="20">
        <f t="shared" si="58"/>
        <v>738.9920958575475</v>
      </c>
      <c r="AM84" s="59">
        <f t="shared" si="59"/>
        <v>1032.3254291908809</v>
      </c>
      <c r="AN84" s="59">
        <f ca="1">AVERAGE(OFFSET($AM$3,0,0,'Données projet'!$E$10+1,1))-AVERAGE(OFFSET($H$3,0,0,'Données projet'!$E$10+1,1))</f>
        <v>342.49944586217674</v>
      </c>
      <c r="AO84" s="59">
        <f t="shared" si="90"/>
        <v>282.29766600872563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115.63061982808409</v>
      </c>
      <c r="AV84" s="21">
        <f>EXP(-LN(2)/25)*AV83+(1-EXP(-LN(2)/25))/(LN(2)/25)*Calculateur!AQ84*Calculateur!AS84*VLOOKUP('Données projet'!$B$10,Paramètres!$A$1:$I$89,3,0)*0.475*44/12</f>
        <v>9.7461333974979105</v>
      </c>
      <c r="AW84" s="21">
        <f>EXP(-LN(2)/2)*AW83+(1-EXP(-LN(2)/2))/(LN(2)/2)*AQ84*AT84*VLOOKUP('Données projet'!$B$10,Paramètres!$A$1:$I$89,3,0)*0.475*44/12</f>
        <v>1.7447633454343041E-9</v>
      </c>
      <c r="AX84" s="21">
        <f t="shared" si="60"/>
        <v>125.37675322732677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319</v>
      </c>
      <c r="BE84" s="13">
        <f>BD84*VLOOKUP('Données projet'!$B$11,Paramètres!$A$1:$I$89,3,0)*VLOOKUP('Données projet'!$B$11,Paramètres!$A$1:$I$89,5,0)</f>
        <v>253.79640000000001</v>
      </c>
      <c r="BF84" s="13">
        <f t="shared" si="91"/>
        <v>61.39816832228076</v>
      </c>
      <c r="BG84" s="20">
        <f t="shared" si="61"/>
        <v>548.96387316130563</v>
      </c>
      <c r="BH84" s="59">
        <f t="shared" si="62"/>
        <v>842.29720649463889</v>
      </c>
      <c r="BI84" s="59">
        <f ca="1">AVERAGE(OFFSET($BH$3,0,0,'Données projet'!$E$11+1,1))-AVERAGE(OFFSET($H$3,0,0,'Données projet'!$E$11+1,1))</f>
        <v>279.49721661620544</v>
      </c>
      <c r="BJ84" s="59">
        <f t="shared" si="92"/>
        <v>275.18739333988754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52.125640934024624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52.125640934024624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732.99999999999966</v>
      </c>
      <c r="BZ84" s="13">
        <f>BY84*VLOOKUP('Données projet'!$B$12,Paramètres!$A$1:$I$89,3,0)*VLOOKUP('Données projet'!$B$12,Paramètres!$A$1:$I$89,5,0)</f>
        <v>352.57299999999987</v>
      </c>
      <c r="CA84" s="13">
        <f t="shared" si="93"/>
        <v>82.092092597941644</v>
      </c>
      <c r="CB84" s="20">
        <f t="shared" si="64"/>
        <v>757.04170294141477</v>
      </c>
      <c r="CC84" s="59">
        <f t="shared" si="65"/>
        <v>1050.375036274748</v>
      </c>
      <c r="CD84" s="59">
        <f ca="1">AVERAGE(OFFSET($CC$3,0,0,'Données projet'!$E$12+1,1))-AVERAGE(OFFSET($H$3,0,0,'Données projet'!$E$12+1,1))</f>
        <v>349.65790906807746</v>
      </c>
      <c r="CE84" s="59">
        <f t="shared" si="94"/>
        <v>291.88925884278888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124.02804843404624</v>
      </c>
      <c r="CL84" s="21">
        <f>EXP(-LN(2)/25)*CL83+(1-EXP(-LN(2)/25))/(LN(2)/25)*Calculateur!CG84*Calculateur!CI84*VLOOKUP('Données projet'!$B$12,Paramètres!$A$1:$I$89,3,0)*0.475*44/12</f>
        <v>10.016859325206202</v>
      </c>
      <c r="CM84" s="21">
        <f>EXP(-LN(2)/2)*CM83+(1-EXP(-LN(2)/2))/(LN(2)/2)*CG84*CJ84*VLOOKUP('Données projet'!$B$12,Paramètres!$A$1:$I$89,3,0)*0.475*44/12</f>
        <v>1.0759373963511534E-9</v>
      </c>
      <c r="CN84" s="22">
        <f t="shared" si="66"/>
        <v>134.04490776032839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285.99999999999972</v>
      </c>
      <c r="CU84" s="17">
        <f>CT84*VLOOKUP('Données projet'!$B$13,Paramètres!$A$1:$I$89,3,0)*VLOOKUP('Données projet'!$B$13,Paramètres!$A$1:$I$89,5,0)</f>
        <v>223.07999999999979</v>
      </c>
      <c r="CV84" s="13">
        <f t="shared" si="95"/>
        <v>54.783765878062617</v>
      </c>
      <c r="CW84" s="20">
        <f t="shared" si="67"/>
        <v>483.94605890429199</v>
      </c>
      <c r="CX84" s="59">
        <f t="shared" si="68"/>
        <v>777.2793922376253</v>
      </c>
      <c r="CY84" s="59">
        <f ca="1">AVERAGE(OFFSET($CX$3,0,0,'Données projet'!$E$13+1,1))-AVERAGE(OFFSET($H$3,0,0,'Données projet'!$E$13+1,1))</f>
        <v>215.84581110302656</v>
      </c>
      <c r="CZ84" s="59">
        <f t="shared" si="96"/>
        <v>193.88588526156104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47.185354289313324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47.185354289313324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401</v>
      </c>
      <c r="O85" s="13">
        <f>N85*VLOOKUP('Données projet'!$B$9,Paramètres!$A$1:$I$89,3,0)*VLOOKUP('Données projet'!$B$9,Paramètres!$A$1:$I$89,5,0)</f>
        <v>250.22399999999999</v>
      </c>
      <c r="P85" s="13">
        <f t="shared" si="87"/>
        <v>60.633904580527918</v>
      </c>
      <c r="Q85" s="20">
        <f t="shared" si="54"/>
        <v>541.41085047775289</v>
      </c>
      <c r="R85" s="59">
        <f t="shared" si="55"/>
        <v>834.74418381108626</v>
      </c>
      <c r="S85" s="59">
        <f ca="1">AVERAGE(OFFSET($R$3,0,0,'Données projet'!$E$9+1,1))-AVERAGE(OFFSET($H$3,0,0,'Données projet'!$E$9+1,1))</f>
        <v>269.77739619445515</v>
      </c>
      <c r="T85" s="59">
        <f t="shared" si="88"/>
        <v>347.56964743629885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49.532147841515126</v>
      </c>
      <c r="AA85" s="21">
        <f>EXP(-LN(2)/25)*AA84+(1-EXP(-LN(2)/25))/(LN(2)/25)*Calculateur!V85*Calculateur!X85*VLOOKUP('Données projet'!$B$9,Paramètres!$A$1:$I$89,3,0)*0.475*44/12</f>
        <v>21.698350558097445</v>
      </c>
      <c r="AB85" s="21">
        <f>EXP(-LN(2)/2)*AB84+(1-EXP(-LN(2)/2))/(LN(2)/2)*V85*Y85*VLOOKUP('Données projet'!$B$9,Paramètres!$A$1:$I$89,3,0)*0.475*44/12</f>
        <v>3.7012019793669663E-10</v>
      </c>
      <c r="AC85" s="22">
        <f t="shared" si="57"/>
        <v>71.230498399982693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735.00000000000011</v>
      </c>
      <c r="AJ85" s="13">
        <f>AI85*VLOOKUP('Données projet'!$B$10,Paramètres!$A$1:$I$89,3,0)*VLOOKUP('Données projet'!$B$10,Paramètres!$A$1:$I$89,5,0)</f>
        <v>343.98</v>
      </c>
      <c r="AK85" s="13">
        <f t="shared" si="89"/>
        <v>80.321681832084693</v>
      </c>
      <c r="AL85" s="20">
        <f t="shared" si="58"/>
        <v>738.9920958575475</v>
      </c>
      <c r="AM85" s="59">
        <f t="shared" si="59"/>
        <v>1032.3254291908809</v>
      </c>
      <c r="AN85" s="59">
        <f ca="1">AVERAGE(OFFSET($AM$3,0,0,'Données projet'!$E$10+1,1))-AVERAGE(OFFSET($H$3,0,0,'Données projet'!$E$10+1,1))</f>
        <v>342.49944586217674</v>
      </c>
      <c r="AO85" s="59">
        <f t="shared" si="90"/>
        <v>282.29766600872563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113.36317390096943</v>
      </c>
      <c r="AV85" s="21">
        <f>EXP(-LN(2)/25)*AV84+(1-EXP(-LN(2)/25))/(LN(2)/25)*Calculateur!AQ85*Calculateur!AS85*VLOOKUP('Données projet'!$B$10,Paramètres!$A$1:$I$89,3,0)*0.475*44/12</f>
        <v>9.4796248672164491</v>
      </c>
      <c r="AW85" s="21">
        <f>EXP(-LN(2)/2)*AW84+(1-EXP(-LN(2)/2))/(LN(2)/2)*AQ85*AT85*VLOOKUP('Données projet'!$B$10,Paramètres!$A$1:$I$89,3,0)*0.475*44/12</f>
        <v>1.2337339931223231E-9</v>
      </c>
      <c r="AX85" s="21">
        <f t="shared" si="60"/>
        <v>122.8427987694196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319</v>
      </c>
      <c r="BE85" s="13">
        <f>BD85*VLOOKUP('Données projet'!$B$11,Paramètres!$A$1:$I$89,3,0)*VLOOKUP('Données projet'!$B$11,Paramètres!$A$1:$I$89,5,0)</f>
        <v>253.79640000000001</v>
      </c>
      <c r="BF85" s="13">
        <f t="shared" si="91"/>
        <v>61.39816832228076</v>
      </c>
      <c r="BG85" s="20">
        <f t="shared" si="61"/>
        <v>548.96387316130563</v>
      </c>
      <c r="BH85" s="59">
        <f t="shared" si="62"/>
        <v>842.29720649463889</v>
      </c>
      <c r="BI85" s="59">
        <f ca="1">AVERAGE(OFFSET($BH$3,0,0,'Données projet'!$E$11+1,1))-AVERAGE(OFFSET($H$3,0,0,'Données projet'!$E$11+1,1))</f>
        <v>279.49721661620544</v>
      </c>
      <c r="BJ85" s="59">
        <f t="shared" si="92"/>
        <v>275.18739333988754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51.103488908810021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51.103488908810021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732.99999999999966</v>
      </c>
      <c r="BZ85" s="13">
        <f>BY85*VLOOKUP('Données projet'!$B$12,Paramètres!$A$1:$I$89,3,0)*VLOOKUP('Données projet'!$B$12,Paramètres!$A$1:$I$89,5,0)</f>
        <v>352.57299999999987</v>
      </c>
      <c r="CA85" s="13">
        <f t="shared" si="93"/>
        <v>82.092092597941644</v>
      </c>
      <c r="CB85" s="20">
        <f t="shared" si="64"/>
        <v>757.04170294141477</v>
      </c>
      <c r="CC85" s="59">
        <f t="shared" si="65"/>
        <v>1050.375036274748</v>
      </c>
      <c r="CD85" s="59">
        <f ca="1">AVERAGE(OFFSET($CC$3,0,0,'Données projet'!$E$12+1,1))-AVERAGE(OFFSET($H$3,0,0,'Données projet'!$E$12+1,1))</f>
        <v>349.65790906807746</v>
      </c>
      <c r="CE85" s="59">
        <f t="shared" si="94"/>
        <v>291.88925884278888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121.59593405389435</v>
      </c>
      <c r="CL85" s="21">
        <f>EXP(-LN(2)/25)*CL84+(1-EXP(-LN(2)/25))/(LN(2)/25)*Calculateur!CG85*Calculateur!CI85*VLOOKUP('Données projet'!$B$12,Paramètres!$A$1:$I$89,3,0)*0.475*44/12</f>
        <v>9.7429477801947009</v>
      </c>
      <c r="CM85" s="21">
        <f>EXP(-LN(2)/2)*CM84+(1-EXP(-LN(2)/2))/(LN(2)/2)*CG85*CJ85*VLOOKUP('Données projet'!$B$12,Paramètres!$A$1:$I$89,3,0)*0.475*44/12</f>
        <v>7.6080262909209869E-10</v>
      </c>
      <c r="CN85" s="22">
        <f t="shared" si="66"/>
        <v>131.33888183484984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285.99999999999972</v>
      </c>
      <c r="CU85" s="17">
        <f>CT85*VLOOKUP('Données projet'!$B$13,Paramètres!$A$1:$I$89,3,0)*VLOOKUP('Données projet'!$B$13,Paramètres!$A$1:$I$89,5,0)</f>
        <v>223.07999999999979</v>
      </c>
      <c r="CV85" s="13">
        <f t="shared" si="95"/>
        <v>54.783765878062617</v>
      </c>
      <c r="CW85" s="20">
        <f t="shared" si="67"/>
        <v>483.94605890429199</v>
      </c>
      <c r="CX85" s="59">
        <f t="shared" si="68"/>
        <v>777.2793922376253</v>
      </c>
      <c r="CY85" s="59">
        <f ca="1">AVERAGE(OFFSET($CX$3,0,0,'Données projet'!$E$13+1,1))-AVERAGE(OFFSET($H$3,0,0,'Données projet'!$E$13+1,1))</f>
        <v>215.84581110302656</v>
      </c>
      <c r="CZ85" s="59">
        <f t="shared" si="96"/>
        <v>193.88588526156104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46.260078271924193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46.260078271924193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401</v>
      </c>
      <c r="O86" s="13">
        <f>N86*VLOOKUP('Données projet'!$B$9,Paramètres!$A$1:$I$89,3,0)*VLOOKUP('Données projet'!$B$9,Paramètres!$A$1:$I$89,5,0)</f>
        <v>250.22399999999999</v>
      </c>
      <c r="P86" s="13">
        <f t="shared" si="87"/>
        <v>60.633904580527918</v>
      </c>
      <c r="Q86" s="20">
        <f t="shared" si="54"/>
        <v>541.41085047775289</v>
      </c>
      <c r="R86" s="59">
        <f t="shared" si="55"/>
        <v>834.74418381108626</v>
      </c>
      <c r="S86" s="59">
        <f ca="1">AVERAGE(OFFSET($R$3,0,0,'Données projet'!$E$9+1,1))-AVERAGE(OFFSET($H$3,0,0,'Données projet'!$E$9+1,1))</f>
        <v>269.77739619445515</v>
      </c>
      <c r="T86" s="59">
        <f t="shared" si="88"/>
        <v>347.56964743629885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48.56085263397005</v>
      </c>
      <c r="AA86" s="21">
        <f>EXP(-LN(2)/25)*AA85+(1-EXP(-LN(2)/25))/(LN(2)/25)*Calculateur!V86*Calculateur!X86*VLOOKUP('Données projet'!$B$9,Paramètres!$A$1:$I$89,3,0)*0.475*44/12</f>
        <v>21.105008021019607</v>
      </c>
      <c r="AB86" s="21">
        <f>EXP(-LN(2)/2)*AB85+(1-EXP(-LN(2)/2))/(LN(2)/2)*V86*Y86*VLOOKUP('Données projet'!$B$9,Paramètres!$A$1:$I$89,3,0)*0.475*44/12</f>
        <v>2.6171450181514539E-10</v>
      </c>
      <c r="AC86" s="22">
        <f t="shared" si="57"/>
        <v>69.665860655251379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735.00000000000011</v>
      </c>
      <c r="AJ86" s="13">
        <f>AI86*VLOOKUP('Données projet'!$B$10,Paramètres!$A$1:$I$89,3,0)*VLOOKUP('Données projet'!$B$10,Paramètres!$A$1:$I$89,5,0)</f>
        <v>343.98</v>
      </c>
      <c r="AK86" s="13">
        <f t="shared" si="89"/>
        <v>80.321681832084693</v>
      </c>
      <c r="AL86" s="20">
        <f t="shared" si="58"/>
        <v>738.9920958575475</v>
      </c>
      <c r="AM86" s="59">
        <f t="shared" si="59"/>
        <v>1032.3254291908809</v>
      </c>
      <c r="AN86" s="59">
        <f ca="1">AVERAGE(OFFSET($AM$3,0,0,'Données projet'!$E$10+1,1))-AVERAGE(OFFSET($H$3,0,0,'Données projet'!$E$10+1,1))</f>
        <v>342.49944586217674</v>
      </c>
      <c r="AO86" s="59">
        <f t="shared" si="90"/>
        <v>282.29766600872563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111.14019120548002</v>
      </c>
      <c r="AV86" s="21">
        <f>EXP(-LN(2)/25)*AV85+(1-EXP(-LN(2)/25))/(LN(2)/25)*Calculateur!AQ86*Calculateur!AS86*VLOOKUP('Données projet'!$B$10,Paramètres!$A$1:$I$89,3,0)*0.475*44/12</f>
        <v>9.2204040267106091</v>
      </c>
      <c r="AW86" s="21">
        <f>EXP(-LN(2)/2)*AW85+(1-EXP(-LN(2)/2))/(LN(2)/2)*AQ86*AT86*VLOOKUP('Données projet'!$B$10,Paramètres!$A$1:$I$89,3,0)*0.475*44/12</f>
        <v>8.7238167271715207E-10</v>
      </c>
      <c r="AX86" s="21">
        <f t="shared" si="60"/>
        <v>120.36059523306301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319</v>
      </c>
      <c r="BE86" s="13">
        <f>BD86*VLOOKUP('Données projet'!$B$11,Paramètres!$A$1:$I$89,3,0)*VLOOKUP('Données projet'!$B$11,Paramètres!$A$1:$I$89,5,0)</f>
        <v>253.79640000000001</v>
      </c>
      <c r="BF86" s="13">
        <f t="shared" si="91"/>
        <v>61.39816832228076</v>
      </c>
      <c r="BG86" s="20">
        <f t="shared" si="61"/>
        <v>548.96387316130563</v>
      </c>
      <c r="BH86" s="59">
        <f t="shared" si="62"/>
        <v>842.29720649463889</v>
      </c>
      <c r="BI86" s="59">
        <f ca="1">AVERAGE(OFFSET($BH$3,0,0,'Données projet'!$E$11+1,1))-AVERAGE(OFFSET($H$3,0,0,'Données projet'!$E$11+1,1))</f>
        <v>279.49721661620544</v>
      </c>
      <c r="BJ86" s="59">
        <f t="shared" si="92"/>
        <v>275.18739333988754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50.101380661358704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50.101380661358704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732.99999999999966</v>
      </c>
      <c r="BZ86" s="13">
        <f>BY86*VLOOKUP('Données projet'!$B$12,Paramètres!$A$1:$I$89,3,0)*VLOOKUP('Données projet'!$B$12,Paramètres!$A$1:$I$89,5,0)</f>
        <v>352.57299999999987</v>
      </c>
      <c r="CA86" s="13">
        <f t="shared" si="93"/>
        <v>82.092092597941644</v>
      </c>
      <c r="CB86" s="20">
        <f t="shared" si="64"/>
        <v>757.04170294141477</v>
      </c>
      <c r="CC86" s="59">
        <f t="shared" si="65"/>
        <v>1050.375036274748</v>
      </c>
      <c r="CD86" s="59">
        <f ca="1">AVERAGE(OFFSET($CC$3,0,0,'Données projet'!$E$12+1,1))-AVERAGE(OFFSET($H$3,0,0,'Données projet'!$E$12+1,1))</f>
        <v>349.65790906807746</v>
      </c>
      <c r="CE86" s="59">
        <f t="shared" si="94"/>
        <v>291.88925884278888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119.21151195329395</v>
      </c>
      <c r="CL86" s="21">
        <f>EXP(-LN(2)/25)*CL85+(1-EXP(-LN(2)/25))/(LN(2)/25)*Calculateur!CG86*Calculateur!CI86*VLOOKUP('Données projet'!$B$12,Paramètres!$A$1:$I$89,3,0)*0.475*44/12</f>
        <v>9.47652636078592</v>
      </c>
      <c r="CM86" s="21">
        <f>EXP(-LN(2)/2)*CM85+(1-EXP(-LN(2)/2))/(LN(2)/2)*CG86*CJ86*VLOOKUP('Données projet'!$B$12,Paramètres!$A$1:$I$89,3,0)*0.475*44/12</f>
        <v>5.379686981755767E-10</v>
      </c>
      <c r="CN86" s="22">
        <f t="shared" si="66"/>
        <v>128.68803831461784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285.99999999999972</v>
      </c>
      <c r="CU86" s="17">
        <f>CT86*VLOOKUP('Données projet'!$B$13,Paramètres!$A$1:$I$89,3,0)*VLOOKUP('Données projet'!$B$13,Paramètres!$A$1:$I$89,5,0)</f>
        <v>223.07999999999979</v>
      </c>
      <c r="CV86" s="13">
        <f t="shared" si="95"/>
        <v>54.783765878062617</v>
      </c>
      <c r="CW86" s="20">
        <f t="shared" si="67"/>
        <v>483.94605890429199</v>
      </c>
      <c r="CX86" s="59">
        <f t="shared" si="68"/>
        <v>777.2793922376253</v>
      </c>
      <c r="CY86" s="59">
        <f ca="1">AVERAGE(OFFSET($CX$3,0,0,'Données projet'!$E$13+1,1))-AVERAGE(OFFSET($H$3,0,0,'Données projet'!$E$13+1,1))</f>
        <v>215.84581110302656</v>
      </c>
      <c r="CZ86" s="59">
        <f t="shared" si="96"/>
        <v>193.88588526156104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45.352946352873424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45.352946352873424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401</v>
      </c>
      <c r="O87" s="13">
        <f>N87*VLOOKUP('Données projet'!$B$9,Paramètres!$A$1:$I$89,3,0)*VLOOKUP('Données projet'!$B$9,Paramètres!$A$1:$I$89,5,0)</f>
        <v>250.22399999999999</v>
      </c>
      <c r="P87" s="13">
        <f t="shared" si="87"/>
        <v>60.633904580527918</v>
      </c>
      <c r="Q87" s="20">
        <f t="shared" si="54"/>
        <v>541.41085047775289</v>
      </c>
      <c r="R87" s="59">
        <f t="shared" si="55"/>
        <v>834.74418381108626</v>
      </c>
      <c r="S87" s="59">
        <f ca="1">AVERAGE(OFFSET($R$3,0,0,'Données projet'!$E$9+1,1))-AVERAGE(OFFSET($H$3,0,0,'Données projet'!$E$9+1,1))</f>
        <v>269.77739619445515</v>
      </c>
      <c r="T87" s="59">
        <f t="shared" si="88"/>
        <v>347.56964743629885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47.608603933013349</v>
      </c>
      <c r="AA87" s="21">
        <f>EXP(-LN(2)/25)*AA86+(1-EXP(-LN(2)/25))/(LN(2)/25)*Calculateur!V87*Calculateur!X87*VLOOKUP('Données projet'!$B$9,Paramètres!$A$1:$I$89,3,0)*0.475*44/12</f>
        <v>20.52789046682069</v>
      </c>
      <c r="AB87" s="21">
        <f>EXP(-LN(2)/2)*AB86+(1-EXP(-LN(2)/2))/(LN(2)/2)*V87*Y87*VLOOKUP('Données projet'!$B$9,Paramètres!$A$1:$I$89,3,0)*0.475*44/12</f>
        <v>1.8506009896834831E-10</v>
      </c>
      <c r="AC87" s="22">
        <f t="shared" si="57"/>
        <v>68.136494400019089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735.00000000000011</v>
      </c>
      <c r="AJ87" s="13">
        <f>AI87*VLOOKUP('Données projet'!$B$10,Paramètres!$A$1:$I$89,3,0)*VLOOKUP('Données projet'!$B$10,Paramètres!$A$1:$I$89,5,0)</f>
        <v>343.98</v>
      </c>
      <c r="AK87" s="13">
        <f t="shared" si="89"/>
        <v>80.321681832084693</v>
      </c>
      <c r="AL87" s="20">
        <f t="shared" si="58"/>
        <v>738.9920958575475</v>
      </c>
      <c r="AM87" s="59">
        <f t="shared" si="59"/>
        <v>1032.3254291908809</v>
      </c>
      <c r="AN87" s="59">
        <f ca="1">AVERAGE(OFFSET($AM$3,0,0,'Données projet'!$E$10+1,1))-AVERAGE(OFFSET($H$3,0,0,'Données projet'!$E$10+1,1))</f>
        <v>342.49944586217674</v>
      </c>
      <c r="AO87" s="59">
        <f t="shared" si="90"/>
        <v>282.29766600872563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108.9607998447636</v>
      </c>
      <c r="AV87" s="21">
        <f>EXP(-LN(2)/25)*AV86+(1-EXP(-LN(2)/25))/(LN(2)/25)*Calculateur!AQ87*Calculateur!AS87*VLOOKUP('Données projet'!$B$10,Paramètres!$A$1:$I$89,3,0)*0.475*44/12</f>
        <v>8.9682715937202335</v>
      </c>
      <c r="AW87" s="21">
        <f>EXP(-LN(2)/2)*AW86+(1-EXP(-LN(2)/2))/(LN(2)/2)*AQ87*AT87*VLOOKUP('Données projet'!$B$10,Paramètres!$A$1:$I$89,3,0)*0.475*44/12</f>
        <v>6.1686699656116156E-10</v>
      </c>
      <c r="AX87" s="21">
        <f t="shared" si="60"/>
        <v>117.9290714391007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319</v>
      </c>
      <c r="BE87" s="13">
        <f>BD87*VLOOKUP('Données projet'!$B$11,Paramètres!$A$1:$I$89,3,0)*VLOOKUP('Données projet'!$B$11,Paramètres!$A$1:$I$89,5,0)</f>
        <v>253.79640000000001</v>
      </c>
      <c r="BF87" s="13">
        <f t="shared" si="91"/>
        <v>61.39816832228076</v>
      </c>
      <c r="BG87" s="20">
        <f t="shared" si="61"/>
        <v>548.96387316130563</v>
      </c>
      <c r="BH87" s="59">
        <f t="shared" si="62"/>
        <v>842.29720649463889</v>
      </c>
      <c r="BI87" s="59">
        <f ca="1">AVERAGE(OFFSET($BH$3,0,0,'Données projet'!$E$11+1,1))-AVERAGE(OFFSET($H$3,0,0,'Données projet'!$E$11+1,1))</f>
        <v>279.49721661620544</v>
      </c>
      <c r="BJ87" s="59">
        <f t="shared" si="92"/>
        <v>275.18739333988754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49.118923145414229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49.118923145414229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732.99999999999966</v>
      </c>
      <c r="BZ87" s="13">
        <f>BY87*VLOOKUP('Données projet'!$B$12,Paramètres!$A$1:$I$89,3,0)*VLOOKUP('Données projet'!$B$12,Paramètres!$A$1:$I$89,5,0)</f>
        <v>352.57299999999987</v>
      </c>
      <c r="CA87" s="13">
        <f t="shared" si="93"/>
        <v>82.092092597941644</v>
      </c>
      <c r="CB87" s="20">
        <f t="shared" si="64"/>
        <v>757.04170294141477</v>
      </c>
      <c r="CC87" s="59">
        <f t="shared" si="65"/>
        <v>1050.375036274748</v>
      </c>
      <c r="CD87" s="59">
        <f ca="1">AVERAGE(OFFSET($CC$3,0,0,'Données projet'!$E$12+1,1))-AVERAGE(OFFSET($H$3,0,0,'Données projet'!$E$12+1,1))</f>
        <v>349.65790906807746</v>
      </c>
      <c r="CE87" s="59">
        <f t="shared" si="94"/>
        <v>291.88925884278888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116.87384691573244</v>
      </c>
      <c r="CL87" s="21">
        <f>EXP(-LN(2)/25)*CL86+(1-EXP(-LN(2)/25))/(LN(2)/25)*Calculateur!CG87*Calculateur!CI87*VLOOKUP('Données projet'!$B$12,Paramètres!$A$1:$I$89,3,0)*0.475*44/12</f>
        <v>9.2173902491013671</v>
      </c>
      <c r="CM87" s="21">
        <f>EXP(-LN(2)/2)*CM86+(1-EXP(-LN(2)/2))/(LN(2)/2)*CG87*CJ87*VLOOKUP('Données projet'!$B$12,Paramètres!$A$1:$I$89,3,0)*0.475*44/12</f>
        <v>3.8040131454604934E-10</v>
      </c>
      <c r="CN87" s="22">
        <f t="shared" si="66"/>
        <v>126.09123716521421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285.99999999999972</v>
      </c>
      <c r="CU87" s="17">
        <f>CT87*VLOOKUP('Données projet'!$B$13,Paramètres!$A$1:$I$89,3,0)*VLOOKUP('Données projet'!$B$13,Paramètres!$A$1:$I$89,5,0)</f>
        <v>223.07999999999979</v>
      </c>
      <c r="CV87" s="13">
        <f t="shared" si="95"/>
        <v>54.783765878062617</v>
      </c>
      <c r="CW87" s="20">
        <f t="shared" si="67"/>
        <v>483.94605890429199</v>
      </c>
      <c r="CX87" s="59">
        <f t="shared" si="68"/>
        <v>777.2793922376253</v>
      </c>
      <c r="CY87" s="59">
        <f ca="1">AVERAGE(OFFSET($CX$3,0,0,'Données projet'!$E$13+1,1))-AVERAGE(OFFSET($H$3,0,0,'Données projet'!$E$13+1,1))</f>
        <v>215.84581110302656</v>
      </c>
      <c r="CZ87" s="59">
        <f t="shared" si="96"/>
        <v>193.88588526156104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44.463602737459397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44.463602737459397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401</v>
      </c>
      <c r="O88" s="13">
        <f>N88*VLOOKUP('Données projet'!$B$9,Paramètres!$A$1:$I$89,3,0)*VLOOKUP('Données projet'!$B$9,Paramètres!$A$1:$I$89,5,0)</f>
        <v>250.22399999999999</v>
      </c>
      <c r="P88" s="13">
        <f t="shared" si="87"/>
        <v>60.633904580527918</v>
      </c>
      <c r="Q88" s="20">
        <f t="shared" si="54"/>
        <v>541.41085047775289</v>
      </c>
      <c r="R88" s="59">
        <f t="shared" si="55"/>
        <v>834.74418381108626</v>
      </c>
      <c r="S88" s="59">
        <f ca="1">AVERAGE(OFFSET($R$3,0,0,'Données projet'!$E$9+1,1))-AVERAGE(OFFSET($H$3,0,0,'Données projet'!$E$9+1,1))</f>
        <v>269.77739619445515</v>
      </c>
      <c r="T88" s="59">
        <f t="shared" si="88"/>
        <v>347.56964743629885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46.675028248268056</v>
      </c>
      <c r="AA88" s="21">
        <f>EXP(-LN(2)/25)*AA87+(1-EXP(-LN(2)/25))/(LN(2)/25)*Calculateur!V88*Calculateur!X88*VLOOKUP('Données projet'!$B$9,Paramètres!$A$1:$I$89,3,0)*0.475*44/12</f>
        <v>19.966554222490636</v>
      </c>
      <c r="AB88" s="21">
        <f>EXP(-LN(2)/2)*AB87+(1-EXP(-LN(2)/2))/(LN(2)/2)*V88*Y88*VLOOKUP('Données projet'!$B$9,Paramètres!$A$1:$I$89,3,0)*0.475*44/12</f>
        <v>1.308572509075727E-10</v>
      </c>
      <c r="AC88" s="22">
        <f t="shared" si="57"/>
        <v>66.641582470889546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735.00000000000011</v>
      </c>
      <c r="AJ88" s="13">
        <f>AI88*VLOOKUP('Données projet'!$B$10,Paramètres!$A$1:$I$89,3,0)*VLOOKUP('Données projet'!$B$10,Paramètres!$A$1:$I$89,5,0)</f>
        <v>343.98</v>
      </c>
      <c r="AK88" s="13">
        <f t="shared" si="89"/>
        <v>80.321681832084693</v>
      </c>
      <c r="AL88" s="20">
        <f t="shared" si="58"/>
        <v>738.9920958575475</v>
      </c>
      <c r="AM88" s="59">
        <f t="shared" si="59"/>
        <v>1032.3254291908809</v>
      </c>
      <c r="AN88" s="59">
        <f ca="1">AVERAGE(OFFSET($AM$3,0,0,'Données projet'!$E$10+1,1))-AVERAGE(OFFSET($H$3,0,0,'Données projet'!$E$10+1,1))</f>
        <v>342.49944586217674</v>
      </c>
      <c r="AO88" s="59">
        <f t="shared" si="90"/>
        <v>282.29766600872563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106.82414501933336</v>
      </c>
      <c r="AV88" s="21">
        <f>EXP(-LN(2)/25)*AV87+(1-EXP(-LN(2)/25))/(LN(2)/25)*Calculateur!AQ88*Calculateur!AS88*VLOOKUP('Données projet'!$B$10,Paramètres!$A$1:$I$89,3,0)*0.475*44/12</f>
        <v>8.7230337353690484</v>
      </c>
      <c r="AW88" s="21">
        <f>EXP(-LN(2)/2)*AW87+(1-EXP(-LN(2)/2))/(LN(2)/2)*AQ88*AT88*VLOOKUP('Données projet'!$B$10,Paramètres!$A$1:$I$89,3,0)*0.475*44/12</f>
        <v>4.3619083635857604E-10</v>
      </c>
      <c r="AX88" s="21">
        <f t="shared" si="60"/>
        <v>115.54717875513859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319</v>
      </c>
      <c r="BE88" s="13">
        <f>BD88*VLOOKUP('Données projet'!$B$11,Paramètres!$A$1:$I$89,3,0)*VLOOKUP('Données projet'!$B$11,Paramètres!$A$1:$I$89,5,0)</f>
        <v>253.79640000000001</v>
      </c>
      <c r="BF88" s="13">
        <f t="shared" si="91"/>
        <v>61.39816832228076</v>
      </c>
      <c r="BG88" s="20">
        <f t="shared" si="61"/>
        <v>548.96387316130563</v>
      </c>
      <c r="BH88" s="59">
        <f t="shared" si="62"/>
        <v>842.29720649463889</v>
      </c>
      <c r="BI88" s="59">
        <f ca="1">AVERAGE(OFFSET($BH$3,0,0,'Données projet'!$E$11+1,1))-AVERAGE(OFFSET($H$3,0,0,'Données projet'!$E$11+1,1))</f>
        <v>279.49721661620544</v>
      </c>
      <c r="BJ88" s="59">
        <f t="shared" si="92"/>
        <v>275.18739333988754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48.155731022117514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48.155731022117514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732.99999999999966</v>
      </c>
      <c r="BZ88" s="13">
        <f>BY88*VLOOKUP('Données projet'!$B$12,Paramètres!$A$1:$I$89,3,0)*VLOOKUP('Données projet'!$B$12,Paramètres!$A$1:$I$89,5,0)</f>
        <v>352.57299999999987</v>
      </c>
      <c r="CA88" s="13">
        <f t="shared" si="93"/>
        <v>82.092092597941644</v>
      </c>
      <c r="CB88" s="20">
        <f t="shared" si="64"/>
        <v>757.04170294141477</v>
      </c>
      <c r="CC88" s="59">
        <f t="shared" si="65"/>
        <v>1050.375036274748</v>
      </c>
      <c r="CD88" s="59">
        <f ca="1">AVERAGE(OFFSET($CC$3,0,0,'Données projet'!$E$12+1,1))-AVERAGE(OFFSET($H$3,0,0,'Données projet'!$E$12+1,1))</f>
        <v>349.65790906807746</v>
      </c>
      <c r="CE88" s="59">
        <f t="shared" si="94"/>
        <v>291.88925884278888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114.58202206372265</v>
      </c>
      <c r="CL88" s="21">
        <f>EXP(-LN(2)/25)*CL87+(1-EXP(-LN(2)/25))/(LN(2)/25)*Calculateur!CG88*Calculateur!CI88*VLOOKUP('Données projet'!$B$12,Paramètres!$A$1:$I$89,3,0)*0.475*44/12</f>
        <v>8.9653402280182029</v>
      </c>
      <c r="CM88" s="21">
        <f>EXP(-LN(2)/2)*CM87+(1-EXP(-LN(2)/2))/(LN(2)/2)*CG88*CJ88*VLOOKUP('Données projet'!$B$12,Paramètres!$A$1:$I$89,3,0)*0.475*44/12</f>
        <v>2.6898434908778835E-10</v>
      </c>
      <c r="CN88" s="22">
        <f t="shared" si="66"/>
        <v>123.54736229200984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285.99999999999972</v>
      </c>
      <c r="CU88" s="17">
        <f>CT88*VLOOKUP('Données projet'!$B$13,Paramètres!$A$1:$I$89,3,0)*VLOOKUP('Données projet'!$B$13,Paramètres!$A$1:$I$89,5,0)</f>
        <v>223.07999999999979</v>
      </c>
      <c r="CV88" s="13">
        <f t="shared" si="95"/>
        <v>54.783765878062617</v>
      </c>
      <c r="CW88" s="20">
        <f t="shared" si="67"/>
        <v>483.94605890429199</v>
      </c>
      <c r="CX88" s="59">
        <f t="shared" si="68"/>
        <v>777.2793922376253</v>
      </c>
      <c r="CY88" s="59">
        <f ca="1">AVERAGE(OFFSET($CX$3,0,0,'Données projet'!$E$13+1,1))-AVERAGE(OFFSET($H$3,0,0,'Données projet'!$E$13+1,1))</f>
        <v>215.84581110302656</v>
      </c>
      <c r="CZ88" s="59">
        <f t="shared" si="96"/>
        <v>193.88588526156104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43.591698607897598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43.591698607897598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401</v>
      </c>
      <c r="O89" s="13">
        <f>N89*VLOOKUP('Données projet'!$B$9,Paramètres!$A$1:$I$89,3,0)*VLOOKUP('Données projet'!$B$9,Paramètres!$A$1:$I$89,5,0)</f>
        <v>250.22399999999999</v>
      </c>
      <c r="P89" s="13">
        <f t="shared" si="87"/>
        <v>60.633904580527918</v>
      </c>
      <c r="Q89" s="20">
        <f t="shared" si="54"/>
        <v>541.41085047775289</v>
      </c>
      <c r="R89" s="59">
        <f t="shared" si="55"/>
        <v>834.74418381108626</v>
      </c>
      <c r="S89" s="59">
        <f ca="1">AVERAGE(OFFSET($R$3,0,0,'Données projet'!$E$9+1,1))-AVERAGE(OFFSET($H$3,0,0,'Données projet'!$E$9+1,1))</f>
        <v>269.77739619445515</v>
      </c>
      <c r="T89" s="59">
        <f t="shared" si="88"/>
        <v>347.56964743629885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45.759759413275674</v>
      </c>
      <c r="AA89" s="21">
        <f>EXP(-LN(2)/25)*AA88+(1-EXP(-LN(2)/25))/(LN(2)/25)*Calculateur!V89*Calculateur!X89*VLOOKUP('Données projet'!$B$9,Paramètres!$A$1:$I$89,3,0)*0.475*44/12</f>
        <v>19.420567747281176</v>
      </c>
      <c r="AB89" s="21">
        <f>EXP(-LN(2)/2)*AB88+(1-EXP(-LN(2)/2))/(LN(2)/2)*V89*Y89*VLOOKUP('Données projet'!$B$9,Paramètres!$A$1:$I$89,3,0)*0.475*44/12</f>
        <v>9.2530049484174156E-11</v>
      </c>
      <c r="AC89" s="22">
        <f t="shared" si="57"/>
        <v>65.180327160649384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735.00000000000011</v>
      </c>
      <c r="AJ89" s="13">
        <f>AI89*VLOOKUP('Données projet'!$B$10,Paramètres!$A$1:$I$89,3,0)*VLOOKUP('Données projet'!$B$10,Paramètres!$A$1:$I$89,5,0)</f>
        <v>343.98</v>
      </c>
      <c r="AK89" s="13">
        <f t="shared" si="89"/>
        <v>80.321681832084693</v>
      </c>
      <c r="AL89" s="20">
        <f t="shared" si="58"/>
        <v>738.9920958575475</v>
      </c>
      <c r="AM89" s="59">
        <f t="shared" si="59"/>
        <v>1032.3254291908809</v>
      </c>
      <c r="AN89" s="59">
        <f ca="1">AVERAGE(OFFSET($AM$3,0,0,'Données projet'!$E$10+1,1))-AVERAGE(OFFSET($H$3,0,0,'Données projet'!$E$10+1,1))</f>
        <v>342.49944586217674</v>
      </c>
      <c r="AO89" s="59">
        <f t="shared" si="90"/>
        <v>282.29766600872563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104.72938869179904</v>
      </c>
      <c r="AV89" s="21">
        <f>EXP(-LN(2)/25)*AV88+(1-EXP(-LN(2)/25))/(LN(2)/25)*Calculateur!AQ89*Calculateur!AS89*VLOOKUP('Données projet'!$B$10,Paramètres!$A$1:$I$89,3,0)*0.475*44/12</f>
        <v>8.4845019191509738</v>
      </c>
      <c r="AW89" s="21">
        <f>EXP(-LN(2)/2)*AW88+(1-EXP(-LN(2)/2))/(LN(2)/2)*AQ89*AT89*VLOOKUP('Données projet'!$B$10,Paramètres!$A$1:$I$89,3,0)*0.475*44/12</f>
        <v>3.0843349828058078E-10</v>
      </c>
      <c r="AX89" s="21">
        <f t="shared" si="60"/>
        <v>113.21389061125845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319</v>
      </c>
      <c r="BE89" s="13">
        <f>BD89*VLOOKUP('Données projet'!$B$11,Paramètres!$A$1:$I$89,3,0)*VLOOKUP('Données projet'!$B$11,Paramètres!$A$1:$I$89,5,0)</f>
        <v>253.79640000000001</v>
      </c>
      <c r="BF89" s="13">
        <f t="shared" si="91"/>
        <v>61.39816832228076</v>
      </c>
      <c r="BG89" s="20">
        <f t="shared" si="61"/>
        <v>548.96387316130563</v>
      </c>
      <c r="BH89" s="59">
        <f t="shared" si="62"/>
        <v>842.29720649463889</v>
      </c>
      <c r="BI89" s="59">
        <f ca="1">AVERAGE(OFFSET($BH$3,0,0,'Données projet'!$E$11+1,1))-AVERAGE(OFFSET($H$3,0,0,'Données projet'!$E$11+1,1))</f>
        <v>279.49721661620544</v>
      </c>
      <c r="BJ89" s="59">
        <f t="shared" si="92"/>
        <v>275.18739333988754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47.211426508869458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47.211426508869458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732.99999999999966</v>
      </c>
      <c r="BZ89" s="13">
        <f>BY89*VLOOKUP('Données projet'!$B$12,Paramètres!$A$1:$I$89,3,0)*VLOOKUP('Données projet'!$B$12,Paramètres!$A$1:$I$89,5,0)</f>
        <v>352.57299999999987</v>
      </c>
      <c r="CA89" s="13">
        <f t="shared" si="93"/>
        <v>82.092092597941644</v>
      </c>
      <c r="CB89" s="20">
        <f t="shared" si="64"/>
        <v>757.04170294141477</v>
      </c>
      <c r="CC89" s="59">
        <f t="shared" si="65"/>
        <v>1050.375036274748</v>
      </c>
      <c r="CD89" s="59">
        <f ca="1">AVERAGE(OFFSET($CC$3,0,0,'Données projet'!$E$12+1,1))-AVERAGE(OFFSET($H$3,0,0,'Données projet'!$E$12+1,1))</f>
        <v>349.65790906807746</v>
      </c>
      <c r="CE89" s="59">
        <f t="shared" si="94"/>
        <v>291.88925884278888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112.33513849918562</v>
      </c>
      <c r="CL89" s="21">
        <f>EXP(-LN(2)/25)*CL88+(1-EXP(-LN(2)/25))/(LN(2)/25)*Calculateur!CG89*Calculateur!CI89*VLOOKUP('Données projet'!$B$12,Paramètres!$A$1:$I$89,3,0)*0.475*44/12</f>
        <v>8.7201825280162932</v>
      </c>
      <c r="CM89" s="21">
        <f>EXP(-LN(2)/2)*CM88+(1-EXP(-LN(2)/2))/(LN(2)/2)*CG89*CJ89*VLOOKUP('Données projet'!$B$12,Paramètres!$A$1:$I$89,3,0)*0.475*44/12</f>
        <v>1.9020065727302467E-10</v>
      </c>
      <c r="CN89" s="22">
        <f t="shared" si="66"/>
        <v>121.05532102739211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285.99999999999972</v>
      </c>
      <c r="CU89" s="17">
        <f>CT89*VLOOKUP('Données projet'!$B$13,Paramètres!$A$1:$I$89,3,0)*VLOOKUP('Données projet'!$B$13,Paramètres!$A$1:$I$89,5,0)</f>
        <v>223.07999999999979</v>
      </c>
      <c r="CV89" s="13">
        <f t="shared" si="95"/>
        <v>54.783765878062617</v>
      </c>
      <c r="CW89" s="20">
        <f t="shared" si="67"/>
        <v>483.94605890429199</v>
      </c>
      <c r="CX89" s="59">
        <f t="shared" si="68"/>
        <v>777.2793922376253</v>
      </c>
      <c r="CY89" s="59">
        <f ca="1">AVERAGE(OFFSET($CX$3,0,0,'Données projet'!$E$13+1,1))-AVERAGE(OFFSET($H$3,0,0,'Données projet'!$E$13+1,1))</f>
        <v>215.84581110302656</v>
      </c>
      <c r="CZ89" s="59">
        <f t="shared" si="96"/>
        <v>193.88588526156104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42.736891986507501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42.736891986507501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401</v>
      </c>
      <c r="O90" s="13">
        <f>N90*VLOOKUP('Données projet'!$B$9,Paramètres!$A$1:$I$89,3,0)*VLOOKUP('Données projet'!$B$9,Paramètres!$A$1:$I$89,5,0)</f>
        <v>250.22399999999999</v>
      </c>
      <c r="P90" s="13">
        <f t="shared" si="87"/>
        <v>60.633904580527918</v>
      </c>
      <c r="Q90" s="20">
        <f t="shared" si="54"/>
        <v>541.41085047775289</v>
      </c>
      <c r="R90" s="59">
        <f t="shared" si="55"/>
        <v>834.74418381108626</v>
      </c>
      <c r="S90" s="59">
        <f ca="1">AVERAGE(OFFSET($R$3,0,0,'Données projet'!$E$9+1,1))-AVERAGE(OFFSET($H$3,0,0,'Données projet'!$E$9+1,1))</f>
        <v>269.77739619445515</v>
      </c>
      <c r="T90" s="59">
        <f t="shared" si="88"/>
        <v>347.56964743629885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44.862438441878631</v>
      </c>
      <c r="AA90" s="21">
        <f>EXP(-LN(2)/25)*AA89+(1-EXP(-LN(2)/25))/(LN(2)/25)*Calculateur!V90*Calculateur!X90*VLOOKUP('Données projet'!$B$9,Paramètres!$A$1:$I$89,3,0)*0.475*44/12</f>
        <v>18.889511300948499</v>
      </c>
      <c r="AB90" s="21">
        <f>EXP(-LN(2)/2)*AB89+(1-EXP(-LN(2)/2))/(LN(2)/2)*V90*Y90*VLOOKUP('Données projet'!$B$9,Paramètres!$A$1:$I$89,3,0)*0.475*44/12</f>
        <v>6.5428625453786348E-11</v>
      </c>
      <c r="AC90" s="22">
        <f t="shared" si="57"/>
        <v>63.751949742892556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735.00000000000011</v>
      </c>
      <c r="AJ90" s="13">
        <f>AI90*VLOOKUP('Données projet'!$B$10,Paramètres!$A$1:$I$89,3,0)*VLOOKUP('Données projet'!$B$10,Paramètres!$A$1:$I$89,5,0)</f>
        <v>343.98</v>
      </c>
      <c r="AK90" s="13">
        <f t="shared" si="89"/>
        <v>80.321681832084693</v>
      </c>
      <c r="AL90" s="20">
        <f t="shared" si="58"/>
        <v>738.9920958575475</v>
      </c>
      <c r="AM90" s="59">
        <f t="shared" si="59"/>
        <v>1032.3254291908809</v>
      </c>
      <c r="AN90" s="59">
        <f ca="1">AVERAGE(OFFSET($AM$3,0,0,'Données projet'!$E$10+1,1))-AVERAGE(OFFSET($H$3,0,0,'Données projet'!$E$10+1,1))</f>
        <v>342.49944586217674</v>
      </c>
      <c r="AO90" s="59">
        <f t="shared" si="90"/>
        <v>282.29766600872563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102.67570925817247</v>
      </c>
      <c r="AV90" s="21">
        <f>EXP(-LN(2)/25)*AV89+(1-EXP(-LN(2)/25))/(LN(2)/25)*Calculateur!AQ90*Calculateur!AS90*VLOOKUP('Données projet'!$B$10,Paramètres!$A$1:$I$89,3,0)*0.475*44/12</f>
        <v>8.2524927679912263</v>
      </c>
      <c r="AW90" s="21">
        <f>EXP(-LN(2)/2)*AW89+(1-EXP(-LN(2)/2))/(LN(2)/2)*AQ90*AT90*VLOOKUP('Données projet'!$B$10,Paramètres!$A$1:$I$89,3,0)*0.475*44/12</f>
        <v>2.1809541817928802E-10</v>
      </c>
      <c r="AX90" s="21">
        <f t="shared" si="60"/>
        <v>110.9282020263818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319</v>
      </c>
      <c r="BE90" s="13">
        <f>BD90*VLOOKUP('Données projet'!$B$11,Paramètres!$A$1:$I$89,3,0)*VLOOKUP('Données projet'!$B$11,Paramètres!$A$1:$I$89,5,0)</f>
        <v>253.79640000000001</v>
      </c>
      <c r="BF90" s="13">
        <f t="shared" si="91"/>
        <v>61.39816832228076</v>
      </c>
      <c r="BG90" s="20">
        <f t="shared" si="61"/>
        <v>548.96387316130563</v>
      </c>
      <c r="BH90" s="59">
        <f t="shared" si="62"/>
        <v>842.29720649463889</v>
      </c>
      <c r="BI90" s="59">
        <f ca="1">AVERAGE(OFFSET($BH$3,0,0,'Données projet'!$E$11+1,1))-AVERAGE(OFFSET($H$3,0,0,'Données projet'!$E$11+1,1))</f>
        <v>279.49721661620544</v>
      </c>
      <c r="BJ90" s="59">
        <f t="shared" si="92"/>
        <v>275.18739333988754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46.285639231157319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46.285639231157319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732.99999999999966</v>
      </c>
      <c r="BZ90" s="13">
        <f>BY90*VLOOKUP('Données projet'!$B$12,Paramètres!$A$1:$I$89,3,0)*VLOOKUP('Données projet'!$B$12,Paramètres!$A$1:$I$89,5,0)</f>
        <v>352.57299999999987</v>
      </c>
      <c r="CA90" s="13">
        <f t="shared" si="93"/>
        <v>82.092092597941644</v>
      </c>
      <c r="CB90" s="20">
        <f t="shared" si="64"/>
        <v>757.04170294141477</v>
      </c>
      <c r="CC90" s="59">
        <f t="shared" si="65"/>
        <v>1050.375036274748</v>
      </c>
      <c r="CD90" s="59">
        <f ca="1">AVERAGE(OFFSET($CC$3,0,0,'Données projet'!$E$12+1,1))-AVERAGE(OFFSET($H$3,0,0,'Données projet'!$E$12+1,1))</f>
        <v>349.65790906807746</v>
      </c>
      <c r="CE90" s="59">
        <f t="shared" si="94"/>
        <v>291.88925884278888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110.13231495088552</v>
      </c>
      <c r="CL90" s="21">
        <f>EXP(-LN(2)/25)*CL89+(1-EXP(-LN(2)/25))/(LN(2)/25)*Calculateur!CG90*Calculateur!CI90*VLOOKUP('Données projet'!$B$12,Paramètres!$A$1:$I$89,3,0)*0.475*44/12</f>
        <v>8.4817286782132193</v>
      </c>
      <c r="CM90" s="21">
        <f>EXP(-LN(2)/2)*CM89+(1-EXP(-LN(2)/2))/(LN(2)/2)*CG90*CJ90*VLOOKUP('Données projet'!$B$12,Paramètres!$A$1:$I$89,3,0)*0.475*44/12</f>
        <v>1.3449217454389418E-10</v>
      </c>
      <c r="CN90" s="22">
        <f t="shared" si="66"/>
        <v>118.61404362923322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285.99999999999972</v>
      </c>
      <c r="CU90" s="17">
        <f>CT90*VLOOKUP('Données projet'!$B$13,Paramètres!$A$1:$I$89,3,0)*VLOOKUP('Données projet'!$B$13,Paramètres!$A$1:$I$89,5,0)</f>
        <v>223.07999999999979</v>
      </c>
      <c r="CV90" s="13">
        <f t="shared" si="95"/>
        <v>54.783765878062617</v>
      </c>
      <c r="CW90" s="20">
        <f t="shared" si="67"/>
        <v>483.94605890429199</v>
      </c>
      <c r="CX90" s="59">
        <f t="shared" si="68"/>
        <v>777.2793922376253</v>
      </c>
      <c r="CY90" s="59">
        <f ca="1">AVERAGE(OFFSET($CX$3,0,0,'Données projet'!$E$13+1,1))-AVERAGE(OFFSET($H$3,0,0,'Données projet'!$E$13+1,1))</f>
        <v>215.84581110302656</v>
      </c>
      <c r="CZ90" s="59">
        <f t="shared" si="96"/>
        <v>193.88588526156104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41.898847601582304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41.898847601582304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401</v>
      </c>
      <c r="O91" s="13">
        <f>N91*VLOOKUP('Données projet'!$B$9,Paramètres!$A$1:$I$89,3,0)*VLOOKUP('Données projet'!$B$9,Paramètres!$A$1:$I$89,5,0)</f>
        <v>250.22399999999999</v>
      </c>
      <c r="P91" s="13">
        <f t="shared" si="87"/>
        <v>60.633904580527918</v>
      </c>
      <c r="Q91" s="20">
        <f t="shared" si="54"/>
        <v>541.41085047775289</v>
      </c>
      <c r="R91" s="59">
        <f t="shared" si="55"/>
        <v>834.74418381108626</v>
      </c>
      <c r="S91" s="59">
        <f ca="1">AVERAGE(OFFSET($R$3,0,0,'Données projet'!$E$9+1,1))-AVERAGE(OFFSET($H$3,0,0,'Données projet'!$E$9+1,1))</f>
        <v>269.77739619445515</v>
      </c>
      <c r="T91" s="59">
        <f t="shared" si="88"/>
        <v>347.56964743629885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43.982713387418933</v>
      </c>
      <c r="AA91" s="21">
        <f>EXP(-LN(2)/25)*AA90+(1-EXP(-LN(2)/25))/(LN(2)/25)*Calculateur!V91*Calculateur!X91*VLOOKUP('Données projet'!$B$9,Paramètres!$A$1:$I$89,3,0)*0.475*44/12</f>
        <v>18.372976621067835</v>
      </c>
      <c r="AB91" s="21">
        <f>EXP(-LN(2)/2)*AB90+(1-EXP(-LN(2)/2))/(LN(2)/2)*V91*Y91*VLOOKUP('Données projet'!$B$9,Paramètres!$A$1:$I$89,3,0)*0.475*44/12</f>
        <v>4.6265024742087078E-11</v>
      </c>
      <c r="AC91" s="22">
        <f t="shared" si="57"/>
        <v>62.355690008533031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735.00000000000011</v>
      </c>
      <c r="AJ91" s="13">
        <f>AI91*VLOOKUP('Données projet'!$B$10,Paramètres!$A$1:$I$89,3,0)*VLOOKUP('Données projet'!$B$10,Paramètres!$A$1:$I$89,5,0)</f>
        <v>343.98</v>
      </c>
      <c r="AK91" s="13">
        <f t="shared" si="89"/>
        <v>80.321681832084693</v>
      </c>
      <c r="AL91" s="20">
        <f t="shared" si="58"/>
        <v>738.9920958575475</v>
      </c>
      <c r="AM91" s="59">
        <f t="shared" si="59"/>
        <v>1032.3254291908809</v>
      </c>
      <c r="AN91" s="59">
        <f ca="1">AVERAGE(OFFSET($AM$3,0,0,'Données projet'!$E$10+1,1))-AVERAGE(OFFSET($H$3,0,0,'Données projet'!$E$10+1,1))</f>
        <v>342.49944586217674</v>
      </c>
      <c r="AO91" s="59">
        <f t="shared" si="90"/>
        <v>282.29766600872563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100.66230122561856</v>
      </c>
      <c r="AV91" s="21">
        <f>EXP(-LN(2)/25)*AV90+(1-EXP(-LN(2)/25))/(LN(2)/25)*Calculateur!AQ91*Calculateur!AS91*VLOOKUP('Données projet'!$B$10,Paramètres!$A$1:$I$89,3,0)*0.475*44/12</f>
        <v>8.0268279192707723</v>
      </c>
      <c r="AW91" s="21">
        <f>EXP(-LN(2)/2)*AW90+(1-EXP(-LN(2)/2))/(LN(2)/2)*AQ91*AT91*VLOOKUP('Données projet'!$B$10,Paramètres!$A$1:$I$89,3,0)*0.475*44/12</f>
        <v>1.5421674914029039E-10</v>
      </c>
      <c r="AX91" s="21">
        <f t="shared" si="60"/>
        <v>108.68912914504355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319</v>
      </c>
      <c r="BE91" s="13">
        <f>BD91*VLOOKUP('Données projet'!$B$11,Paramètres!$A$1:$I$89,3,0)*VLOOKUP('Données projet'!$B$11,Paramètres!$A$1:$I$89,5,0)</f>
        <v>253.79640000000001</v>
      </c>
      <c r="BF91" s="13">
        <f t="shared" si="91"/>
        <v>61.39816832228076</v>
      </c>
      <c r="BG91" s="20">
        <f t="shared" si="61"/>
        <v>548.96387316130563</v>
      </c>
      <c r="BH91" s="59">
        <f t="shared" si="62"/>
        <v>842.29720649463889</v>
      </c>
      <c r="BI91" s="59">
        <f ca="1">AVERAGE(OFFSET($BH$3,0,0,'Données projet'!$E$11+1,1))-AVERAGE(OFFSET($H$3,0,0,'Données projet'!$E$11+1,1))</f>
        <v>279.49721661620544</v>
      </c>
      <c r="BJ91" s="59">
        <f t="shared" si="92"/>
        <v>275.18739333988754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45.378006077286628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45.378006077286628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732.99999999999966</v>
      </c>
      <c r="BZ91" s="13">
        <f>BY91*VLOOKUP('Données projet'!$B$12,Paramètres!$A$1:$I$89,3,0)*VLOOKUP('Données projet'!$B$12,Paramètres!$A$1:$I$89,5,0)</f>
        <v>352.57299999999987</v>
      </c>
      <c r="CA91" s="13">
        <f t="shared" si="93"/>
        <v>82.092092597941644</v>
      </c>
      <c r="CB91" s="20">
        <f t="shared" si="64"/>
        <v>757.04170294141477</v>
      </c>
      <c r="CC91" s="59">
        <f t="shared" si="65"/>
        <v>1050.375036274748</v>
      </c>
      <c r="CD91" s="59">
        <f ca="1">AVERAGE(OFFSET($CC$3,0,0,'Données projet'!$E$12+1,1))-AVERAGE(OFFSET($H$3,0,0,'Données projet'!$E$12+1,1))</f>
        <v>349.65790906807746</v>
      </c>
      <c r="CE91" s="59">
        <f t="shared" si="94"/>
        <v>291.88925884278888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107.97268742877787</v>
      </c>
      <c r="CL91" s="21">
        <f>EXP(-LN(2)/25)*CL90+(1-EXP(-LN(2)/25))/(LN(2)/25)*Calculateur!CG91*Calculateur!CI91*VLOOKUP('Données projet'!$B$12,Paramètres!$A$1:$I$89,3,0)*0.475*44/12</f>
        <v>8.2497953614727528</v>
      </c>
      <c r="CM91" s="21">
        <f>EXP(-LN(2)/2)*CM90+(1-EXP(-LN(2)/2))/(LN(2)/2)*CG91*CJ91*VLOOKUP('Données projet'!$B$12,Paramètres!$A$1:$I$89,3,0)*0.475*44/12</f>
        <v>9.5100328636512336E-11</v>
      </c>
      <c r="CN91" s="22">
        <f t="shared" si="66"/>
        <v>116.22248279034572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285.99999999999972</v>
      </c>
      <c r="CU91" s="17">
        <f>CT91*VLOOKUP('Données projet'!$B$13,Paramètres!$A$1:$I$89,3,0)*VLOOKUP('Données projet'!$B$13,Paramètres!$A$1:$I$89,5,0)</f>
        <v>223.07999999999979</v>
      </c>
      <c r="CV91" s="13">
        <f t="shared" si="95"/>
        <v>54.783765878062617</v>
      </c>
      <c r="CW91" s="20">
        <f t="shared" si="67"/>
        <v>483.94605890429199</v>
      </c>
      <c r="CX91" s="59">
        <f t="shared" si="68"/>
        <v>777.2793922376253</v>
      </c>
      <c r="CY91" s="59">
        <f ca="1">AVERAGE(OFFSET($CX$3,0,0,'Données projet'!$E$13+1,1))-AVERAGE(OFFSET($H$3,0,0,'Données projet'!$E$13+1,1))</f>
        <v>215.84581110302656</v>
      </c>
      <c r="CZ91" s="59">
        <f t="shared" si="96"/>
        <v>193.88588526156104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41.07723675588889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41.07723675588889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401</v>
      </c>
      <c r="O92" s="13">
        <f>N92*VLOOKUP('Données projet'!$B$9,Paramètres!$A$1:$I$89,3,0)*VLOOKUP('Données projet'!$B$9,Paramètres!$A$1:$I$89,5,0)</f>
        <v>250.22399999999999</v>
      </c>
      <c r="P92" s="13">
        <f t="shared" si="87"/>
        <v>60.633904580527918</v>
      </c>
      <c r="Q92" s="20">
        <f t="shared" si="54"/>
        <v>541.41085047775289</v>
      </c>
      <c r="R92" s="59">
        <f t="shared" si="55"/>
        <v>834.74418381108626</v>
      </c>
      <c r="S92" s="59">
        <f ca="1">AVERAGE(OFFSET($R$3,0,0,'Données projet'!$E$9+1,1))-AVERAGE(OFFSET($H$3,0,0,'Données projet'!$E$9+1,1))</f>
        <v>269.77739619445515</v>
      </c>
      <c r="T92" s="59">
        <f t="shared" si="88"/>
        <v>347.56964743629885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43.120239204697889</v>
      </c>
      <c r="AA92" s="21">
        <f>EXP(-LN(2)/25)*AA91+(1-EXP(-LN(2)/25))/(LN(2)/25)*Calculateur!V92*Calculateur!X92*VLOOKUP('Données projet'!$B$9,Paramètres!$A$1:$I$89,3,0)*0.475*44/12</f>
        <v>17.870566609171888</v>
      </c>
      <c r="AB92" s="21">
        <f>EXP(-LN(2)/2)*AB91+(1-EXP(-LN(2)/2))/(LN(2)/2)*V92*Y92*VLOOKUP('Données projet'!$B$9,Paramètres!$A$1:$I$89,3,0)*0.475*44/12</f>
        <v>3.2714312726893174E-11</v>
      </c>
      <c r="AC92" s="22">
        <f t="shared" si="57"/>
        <v>60.99080581390249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735.00000000000011</v>
      </c>
      <c r="AJ92" s="13">
        <f>AI92*VLOOKUP('Données projet'!$B$10,Paramètres!$A$1:$I$89,3,0)*VLOOKUP('Données projet'!$B$10,Paramètres!$A$1:$I$89,5,0)</f>
        <v>343.98</v>
      </c>
      <c r="AK92" s="13">
        <f t="shared" si="89"/>
        <v>80.321681832084693</v>
      </c>
      <c r="AL92" s="20">
        <f t="shared" si="58"/>
        <v>738.9920958575475</v>
      </c>
      <c r="AM92" s="59">
        <f t="shared" si="59"/>
        <v>1032.3254291908809</v>
      </c>
      <c r="AN92" s="59">
        <f ca="1">AVERAGE(OFFSET($AM$3,0,0,'Données projet'!$E$10+1,1))-AVERAGE(OFFSET($H$3,0,0,'Données projet'!$E$10+1,1))</f>
        <v>342.49944586217674</v>
      </c>
      <c r="AO92" s="59">
        <f t="shared" si="90"/>
        <v>282.29766600872563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98.688374896525389</v>
      </c>
      <c r="AV92" s="21">
        <f>EXP(-LN(2)/25)*AV91+(1-EXP(-LN(2)/25))/(LN(2)/25)*Calculateur!AQ92*Calculateur!AS92*VLOOKUP('Données projet'!$B$10,Paramètres!$A$1:$I$89,3,0)*0.475*44/12</f>
        <v>7.8073338877057781</v>
      </c>
      <c r="AW92" s="21">
        <f>EXP(-LN(2)/2)*AW91+(1-EXP(-LN(2)/2))/(LN(2)/2)*AQ92*AT92*VLOOKUP('Données projet'!$B$10,Paramètres!$A$1:$I$89,3,0)*0.475*44/12</f>
        <v>1.0904770908964401E-10</v>
      </c>
      <c r="AX92" s="21">
        <f t="shared" si="60"/>
        <v>106.49570878434022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319</v>
      </c>
      <c r="BE92" s="13">
        <f>BD92*VLOOKUP('Données projet'!$B$11,Paramètres!$A$1:$I$89,3,0)*VLOOKUP('Données projet'!$B$11,Paramètres!$A$1:$I$89,5,0)</f>
        <v>253.79640000000001</v>
      </c>
      <c r="BF92" s="13">
        <f t="shared" si="91"/>
        <v>61.39816832228076</v>
      </c>
      <c r="BG92" s="20">
        <f t="shared" si="61"/>
        <v>548.96387316130563</v>
      </c>
      <c r="BH92" s="59">
        <f t="shared" si="62"/>
        <v>842.29720649463889</v>
      </c>
      <c r="BI92" s="59">
        <f ca="1">AVERAGE(OFFSET($BH$3,0,0,'Données projet'!$E$11+1,1))-AVERAGE(OFFSET($H$3,0,0,'Données projet'!$E$11+1,1))</f>
        <v>279.49721661620544</v>
      </c>
      <c r="BJ92" s="59">
        <f t="shared" si="92"/>
        <v>275.18739333988754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44.488171055961786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44.488171055961786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732.99999999999966</v>
      </c>
      <c r="BZ92" s="13">
        <f>BY92*VLOOKUP('Données projet'!$B$12,Paramètres!$A$1:$I$89,3,0)*VLOOKUP('Données projet'!$B$12,Paramètres!$A$1:$I$89,5,0)</f>
        <v>352.57299999999987</v>
      </c>
      <c r="CA92" s="13">
        <f t="shared" si="93"/>
        <v>82.092092597941644</v>
      </c>
      <c r="CB92" s="20">
        <f t="shared" si="64"/>
        <v>757.04170294141477</v>
      </c>
      <c r="CC92" s="59">
        <f t="shared" si="65"/>
        <v>1050.375036274748</v>
      </c>
      <c r="CD92" s="59">
        <f ca="1">AVERAGE(OFFSET($CC$3,0,0,'Données projet'!$E$12+1,1))-AVERAGE(OFFSET($H$3,0,0,'Données projet'!$E$12+1,1))</f>
        <v>349.65790906807746</v>
      </c>
      <c r="CE92" s="59">
        <f t="shared" si="94"/>
        <v>291.88925884278888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105.85540888513604</v>
      </c>
      <c r="CL92" s="21">
        <f>EXP(-LN(2)/25)*CL91+(1-EXP(-LN(2)/25))/(LN(2)/25)*Calculateur!CG92*Calculateur!CI92*VLOOKUP('Données projet'!$B$12,Paramètres!$A$1:$I$89,3,0)*0.475*44/12</f>
        <v>8.024204273475398</v>
      </c>
      <c r="CM92" s="21">
        <f>EXP(-LN(2)/2)*CM91+(1-EXP(-LN(2)/2))/(LN(2)/2)*CG92*CJ92*VLOOKUP('Données projet'!$B$12,Paramètres!$A$1:$I$89,3,0)*0.475*44/12</f>
        <v>6.7246087271947088E-11</v>
      </c>
      <c r="CN92" s="22">
        <f t="shared" si="66"/>
        <v>113.87961315867869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285.99999999999972</v>
      </c>
      <c r="CU92" s="17">
        <f>CT92*VLOOKUP('Données projet'!$B$13,Paramètres!$A$1:$I$89,3,0)*VLOOKUP('Données projet'!$B$13,Paramètres!$A$1:$I$89,5,0)</f>
        <v>223.07999999999979</v>
      </c>
      <c r="CV92" s="13">
        <f t="shared" si="95"/>
        <v>54.783765878062617</v>
      </c>
      <c r="CW92" s="20">
        <f t="shared" si="67"/>
        <v>483.94605890429199</v>
      </c>
      <c r="CX92" s="59">
        <f t="shared" si="68"/>
        <v>777.2793922376253</v>
      </c>
      <c r="CY92" s="59">
        <f ca="1">AVERAGE(OFFSET($CX$3,0,0,'Données projet'!$E$13+1,1))-AVERAGE(OFFSET($H$3,0,0,'Données projet'!$E$13+1,1))</f>
        <v>215.84581110302656</v>
      </c>
      <c r="CZ92" s="59">
        <f t="shared" si="96"/>
        <v>193.88588526156104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40.27173719774639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40.27173719774639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401</v>
      </c>
      <c r="O93" s="13">
        <f>N93*VLOOKUP('Données projet'!$B$9,Paramètres!$A$1:$I$89,3,0)*VLOOKUP('Données projet'!$B$9,Paramètres!$A$1:$I$89,5,0)</f>
        <v>250.22399999999999</v>
      </c>
      <c r="P93" s="13">
        <f t="shared" si="87"/>
        <v>60.633904580527918</v>
      </c>
      <c r="Q93" s="20">
        <f t="shared" si="54"/>
        <v>541.41085047775289</v>
      </c>
      <c r="R93" s="59">
        <f t="shared" si="55"/>
        <v>834.74418381108626</v>
      </c>
      <c r="S93" s="59">
        <f ca="1">AVERAGE(OFFSET($R$3,0,0,'Données projet'!$E$9+1,1))-AVERAGE(OFFSET($H$3,0,0,'Données projet'!$E$9+1,1))</f>
        <v>269.77739619445515</v>
      </c>
      <c r="T93" s="59">
        <f t="shared" si="88"/>
        <v>347.56964743629885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42.274677614642698</v>
      </c>
      <c r="AA93" s="21">
        <f>EXP(-LN(2)/25)*AA92+(1-EXP(-LN(2)/25))/(LN(2)/25)*Calculateur!V93*Calculateur!X93*VLOOKUP('Données projet'!$B$9,Paramètres!$A$1:$I$89,3,0)*0.475*44/12</f>
        <v>17.381895025471827</v>
      </c>
      <c r="AB93" s="21">
        <f>EXP(-LN(2)/2)*AB92+(1-EXP(-LN(2)/2))/(LN(2)/2)*V93*Y93*VLOOKUP('Données projet'!$B$9,Paramètres!$A$1:$I$89,3,0)*0.475*44/12</f>
        <v>2.3132512371043539E-11</v>
      </c>
      <c r="AC93" s="22">
        <f t="shared" si="57"/>
        <v>59.656572640137661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735.00000000000011</v>
      </c>
      <c r="AJ93" s="13">
        <f>AI93*VLOOKUP('Données projet'!$B$10,Paramètres!$A$1:$I$89,3,0)*VLOOKUP('Données projet'!$B$10,Paramètres!$A$1:$I$89,5,0)</f>
        <v>343.98</v>
      </c>
      <c r="AK93" s="13">
        <f t="shared" si="89"/>
        <v>80.321681832084693</v>
      </c>
      <c r="AL93" s="20">
        <f t="shared" si="58"/>
        <v>738.9920958575475</v>
      </c>
      <c r="AM93" s="59">
        <f t="shared" si="59"/>
        <v>1032.3254291908809</v>
      </c>
      <c r="AN93" s="59">
        <f ca="1">AVERAGE(OFFSET($AM$3,0,0,'Données projet'!$E$10+1,1))-AVERAGE(OFFSET($H$3,0,0,'Données projet'!$E$10+1,1))</f>
        <v>342.49944586217674</v>
      </c>
      <c r="AO93" s="59">
        <f t="shared" si="90"/>
        <v>282.29766600872563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96.753156058769548</v>
      </c>
      <c r="AV93" s="21">
        <f>EXP(-LN(2)/25)*AV92+(1-EXP(-LN(2)/25))/(LN(2)/25)*Calculateur!AQ93*Calculateur!AS93*VLOOKUP('Données projet'!$B$10,Paramètres!$A$1:$I$89,3,0)*0.475*44/12</f>
        <v>7.5938419319766179</v>
      </c>
      <c r="AW93" s="21">
        <f>EXP(-LN(2)/2)*AW92+(1-EXP(-LN(2)/2))/(LN(2)/2)*AQ93*AT93*VLOOKUP('Données projet'!$B$10,Paramètres!$A$1:$I$89,3,0)*0.475*44/12</f>
        <v>7.7108374570145195E-11</v>
      </c>
      <c r="AX93" s="21">
        <f t="shared" si="60"/>
        <v>104.34699799082327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319</v>
      </c>
      <c r="BE93" s="13">
        <f>BD93*VLOOKUP('Données projet'!$B$11,Paramètres!$A$1:$I$89,3,0)*VLOOKUP('Données projet'!$B$11,Paramètres!$A$1:$I$89,5,0)</f>
        <v>253.79640000000001</v>
      </c>
      <c r="BF93" s="13">
        <f t="shared" si="91"/>
        <v>61.39816832228076</v>
      </c>
      <c r="BG93" s="20">
        <f t="shared" si="61"/>
        <v>548.96387316130563</v>
      </c>
      <c r="BH93" s="59">
        <f t="shared" si="62"/>
        <v>842.29720649463889</v>
      </c>
      <c r="BI93" s="59">
        <f ca="1">AVERAGE(OFFSET($BH$3,0,0,'Données projet'!$E$11+1,1))-AVERAGE(OFFSET($H$3,0,0,'Données projet'!$E$11+1,1))</f>
        <v>279.49721661620544</v>
      </c>
      <c r="BJ93" s="59">
        <f t="shared" si="92"/>
        <v>275.18739333988754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43.615785156659349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43.615785156659349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732.99999999999966</v>
      </c>
      <c r="BZ93" s="13">
        <f>BY93*VLOOKUP('Données projet'!$B$12,Paramètres!$A$1:$I$89,3,0)*VLOOKUP('Données projet'!$B$12,Paramètres!$A$1:$I$89,5,0)</f>
        <v>352.57299999999987</v>
      </c>
      <c r="CA93" s="13">
        <f t="shared" si="93"/>
        <v>82.092092597941644</v>
      </c>
      <c r="CB93" s="20">
        <f t="shared" si="64"/>
        <v>757.04170294141477</v>
      </c>
      <c r="CC93" s="59">
        <f t="shared" si="65"/>
        <v>1050.375036274748</v>
      </c>
      <c r="CD93" s="59">
        <f ca="1">AVERAGE(OFFSET($CC$3,0,0,'Données projet'!$E$12+1,1))-AVERAGE(OFFSET($H$3,0,0,'Données projet'!$E$12+1,1))</f>
        <v>349.65790906807746</v>
      </c>
      <c r="CE93" s="59">
        <f t="shared" si="94"/>
        <v>291.88925884278888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103.77964888232263</v>
      </c>
      <c r="CL93" s="21">
        <f>EXP(-LN(2)/25)*CL92+(1-EXP(-LN(2)/25))/(LN(2)/25)*Calculateur!CG93*Calculateur!CI93*VLOOKUP('Données projet'!$B$12,Paramètres!$A$1:$I$89,3,0)*0.475*44/12</f>
        <v>7.8047819856426504</v>
      </c>
      <c r="CM93" s="21">
        <f>EXP(-LN(2)/2)*CM92+(1-EXP(-LN(2)/2))/(LN(2)/2)*CG93*CJ93*VLOOKUP('Données projet'!$B$12,Paramètres!$A$1:$I$89,3,0)*0.475*44/12</f>
        <v>4.7550164318256168E-11</v>
      </c>
      <c r="CN93" s="22">
        <f t="shared" si="66"/>
        <v>111.58443086801283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285.99999999999972</v>
      </c>
      <c r="CU93" s="17">
        <f>CT93*VLOOKUP('Données projet'!$B$13,Paramètres!$A$1:$I$89,3,0)*VLOOKUP('Données projet'!$B$13,Paramètres!$A$1:$I$89,5,0)</f>
        <v>223.07999999999979</v>
      </c>
      <c r="CV93" s="13">
        <f t="shared" si="95"/>
        <v>54.783765878062617</v>
      </c>
      <c r="CW93" s="20">
        <f t="shared" si="67"/>
        <v>483.94605890429199</v>
      </c>
      <c r="CX93" s="59">
        <f t="shared" si="68"/>
        <v>777.2793922376253</v>
      </c>
      <c r="CY93" s="59">
        <f ca="1">AVERAGE(OFFSET($CX$3,0,0,'Données projet'!$E$13+1,1))-AVERAGE(OFFSET($H$3,0,0,'Données projet'!$E$13+1,1))</f>
        <v>215.84581110302656</v>
      </c>
      <c r="CZ93" s="59">
        <f t="shared" si="96"/>
        <v>193.88588526156104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39.482032994632846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39.482032994632846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401</v>
      </c>
      <c r="O94" s="13">
        <f>N94*VLOOKUP('Données projet'!$B$9,Paramètres!$A$1:$I$89,3,0)*VLOOKUP('Données projet'!$B$9,Paramètres!$A$1:$I$89,5,0)</f>
        <v>250.22399999999999</v>
      </c>
      <c r="P94" s="13">
        <f t="shared" si="87"/>
        <v>60.633904580527918</v>
      </c>
      <c r="Q94" s="20">
        <f t="shared" si="54"/>
        <v>541.41085047775289</v>
      </c>
      <c r="R94" s="59">
        <f t="shared" si="55"/>
        <v>834.74418381108626</v>
      </c>
      <c r="S94" s="59">
        <f ca="1">AVERAGE(OFFSET($R$3,0,0,'Données projet'!$E$9+1,1))-AVERAGE(OFFSET($H$3,0,0,'Données projet'!$E$9+1,1))</f>
        <v>269.77739619445515</v>
      </c>
      <c r="T94" s="59">
        <f t="shared" si="88"/>
        <v>347.56964743629885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41.445696971626845</v>
      </c>
      <c r="AA94" s="21">
        <f>EXP(-LN(2)/25)*AA93+(1-EXP(-LN(2)/25))/(LN(2)/25)*Calculateur!V94*Calculateur!X94*VLOOKUP('Données projet'!$B$9,Paramètres!$A$1:$I$89,3,0)*0.475*44/12</f>
        <v>16.906586191926166</v>
      </c>
      <c r="AB94" s="21">
        <f>EXP(-LN(2)/2)*AB93+(1-EXP(-LN(2)/2))/(LN(2)/2)*V94*Y94*VLOOKUP('Données projet'!$B$9,Paramètres!$A$1:$I$89,3,0)*0.475*44/12</f>
        <v>1.6357156363446587E-11</v>
      </c>
      <c r="AC94" s="22">
        <f t="shared" si="57"/>
        <v>58.352283163569368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735.00000000000011</v>
      </c>
      <c r="AJ94" s="13">
        <f>AI94*VLOOKUP('Données projet'!$B$10,Paramètres!$A$1:$I$89,3,0)*VLOOKUP('Données projet'!$B$10,Paramètres!$A$1:$I$89,5,0)</f>
        <v>343.98</v>
      </c>
      <c r="AK94" s="13">
        <f t="shared" si="89"/>
        <v>80.321681832084693</v>
      </c>
      <c r="AL94" s="20">
        <f t="shared" si="58"/>
        <v>738.9920958575475</v>
      </c>
      <c r="AM94" s="59">
        <f t="shared" si="59"/>
        <v>1032.3254291908809</v>
      </c>
      <c r="AN94" s="59">
        <f ca="1">AVERAGE(OFFSET($AM$3,0,0,'Données projet'!$E$10+1,1))-AVERAGE(OFFSET($H$3,0,0,'Données projet'!$E$10+1,1))</f>
        <v>342.49944586217674</v>
      </c>
      <c r="AO94" s="59">
        <f t="shared" si="90"/>
        <v>282.29766600872563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94.85588568205516</v>
      </c>
      <c r="AV94" s="21">
        <f>EXP(-LN(2)/25)*AV93+(1-EXP(-LN(2)/25))/(LN(2)/25)*Calculateur!AQ94*Calculateur!AS94*VLOOKUP('Données projet'!$B$10,Paramètres!$A$1:$I$89,3,0)*0.475*44/12</f>
        <v>7.3861879250039264</v>
      </c>
      <c r="AW94" s="21">
        <f>EXP(-LN(2)/2)*AW93+(1-EXP(-LN(2)/2))/(LN(2)/2)*AQ94*AT94*VLOOKUP('Données projet'!$B$10,Paramètres!$A$1:$I$89,3,0)*0.475*44/12</f>
        <v>5.4523854544822004E-11</v>
      </c>
      <c r="AX94" s="21">
        <f t="shared" si="60"/>
        <v>102.24207360711361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319</v>
      </c>
      <c r="BE94" s="13">
        <f>BD94*VLOOKUP('Données projet'!$B$11,Paramètres!$A$1:$I$89,3,0)*VLOOKUP('Données projet'!$B$11,Paramètres!$A$1:$I$89,5,0)</f>
        <v>253.79640000000001</v>
      </c>
      <c r="BF94" s="13">
        <f t="shared" si="91"/>
        <v>61.39816832228076</v>
      </c>
      <c r="BG94" s="20">
        <f t="shared" si="61"/>
        <v>548.96387316130563</v>
      </c>
      <c r="BH94" s="59">
        <f t="shared" si="62"/>
        <v>842.29720649463889</v>
      </c>
      <c r="BI94" s="59">
        <f ca="1">AVERAGE(OFFSET($BH$3,0,0,'Données projet'!$E$11+1,1))-AVERAGE(OFFSET($H$3,0,0,'Données projet'!$E$11+1,1))</f>
        <v>279.49721661620544</v>
      </c>
      <c r="BJ94" s="59">
        <f t="shared" si="92"/>
        <v>275.18739333988754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42.760506212739379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42.760506212739379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732.99999999999966</v>
      </c>
      <c r="BZ94" s="13">
        <f>BY94*VLOOKUP('Données projet'!$B$12,Paramètres!$A$1:$I$89,3,0)*VLOOKUP('Données projet'!$B$12,Paramètres!$A$1:$I$89,5,0)</f>
        <v>352.57299999999987</v>
      </c>
      <c r="CA94" s="13">
        <f t="shared" si="93"/>
        <v>82.092092597941644</v>
      </c>
      <c r="CB94" s="20">
        <f t="shared" si="64"/>
        <v>757.04170294141477</v>
      </c>
      <c r="CC94" s="59">
        <f t="shared" si="65"/>
        <v>1050.375036274748</v>
      </c>
      <c r="CD94" s="59">
        <f ca="1">AVERAGE(OFFSET($CC$3,0,0,'Données projet'!$E$12+1,1))-AVERAGE(OFFSET($H$3,0,0,'Données projet'!$E$12+1,1))</f>
        <v>349.65790906807746</v>
      </c>
      <c r="CE94" s="59">
        <f t="shared" si="94"/>
        <v>291.88925884278888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101.74459326707581</v>
      </c>
      <c r="CL94" s="21">
        <f>EXP(-LN(2)/25)*CL93+(1-EXP(-LN(2)/25))/(LN(2)/25)*Calculateur!CG94*Calculateur!CI94*VLOOKUP('Données projet'!$B$12,Paramètres!$A$1:$I$89,3,0)*0.475*44/12</f>
        <v>7.591359811809606</v>
      </c>
      <c r="CM94" s="21">
        <f>EXP(-LN(2)/2)*CM93+(1-EXP(-LN(2)/2))/(LN(2)/2)*CG94*CJ94*VLOOKUP('Données projet'!$B$12,Paramètres!$A$1:$I$89,3,0)*0.475*44/12</f>
        <v>3.3623043635973544E-11</v>
      </c>
      <c r="CN94" s="22">
        <f t="shared" si="66"/>
        <v>109.33595307891905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285.99999999999972</v>
      </c>
      <c r="CU94" s="17">
        <f>CT94*VLOOKUP('Données projet'!$B$13,Paramètres!$A$1:$I$89,3,0)*VLOOKUP('Données projet'!$B$13,Paramètres!$A$1:$I$89,5,0)</f>
        <v>223.07999999999979</v>
      </c>
      <c r="CV94" s="13">
        <f t="shared" si="95"/>
        <v>54.783765878062617</v>
      </c>
      <c r="CW94" s="20">
        <f t="shared" si="67"/>
        <v>483.94605890429199</v>
      </c>
      <c r="CX94" s="59">
        <f t="shared" si="68"/>
        <v>777.2793922376253</v>
      </c>
      <c r="CY94" s="59">
        <f ca="1">AVERAGE(OFFSET($CX$3,0,0,'Données projet'!$E$13+1,1))-AVERAGE(OFFSET($H$3,0,0,'Données projet'!$E$13+1,1))</f>
        <v>215.84581110302656</v>
      </c>
      <c r="CZ94" s="59">
        <f t="shared" si="96"/>
        <v>193.88588526156104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38.707814409270355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38.707814409270355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401</v>
      </c>
      <c r="O95" s="13">
        <f>N95*VLOOKUP('Données projet'!$B$9,Paramètres!$A$1:$I$89,3,0)*VLOOKUP('Données projet'!$B$9,Paramètres!$A$1:$I$89,5,0)</f>
        <v>250.22399999999999</v>
      </c>
      <c r="P95" s="13">
        <f t="shared" si="87"/>
        <v>60.633904580527918</v>
      </c>
      <c r="Q95" s="20">
        <f t="shared" si="54"/>
        <v>541.41085047775289</v>
      </c>
      <c r="R95" s="59">
        <f t="shared" si="55"/>
        <v>834.74418381108626</v>
      </c>
      <c r="S95" s="59">
        <f ca="1">AVERAGE(OFFSET($R$3,0,0,'Données projet'!$E$9+1,1))-AVERAGE(OFFSET($H$3,0,0,'Données projet'!$E$9+1,1))</f>
        <v>269.77739619445515</v>
      </c>
      <c r="T95" s="59">
        <f t="shared" si="88"/>
        <v>347.56964743629885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40.632972133392265</v>
      </c>
      <c r="AA95" s="21">
        <f>EXP(-LN(2)/25)*AA94+(1-EXP(-LN(2)/25))/(LN(2)/25)*Calculateur!V95*Calculateur!X95*VLOOKUP('Données projet'!$B$9,Paramètres!$A$1:$I$89,3,0)*0.475*44/12</f>
        <v>16.444274703429219</v>
      </c>
      <c r="AB95" s="21">
        <f>EXP(-LN(2)/2)*AB94+(1-EXP(-LN(2)/2))/(LN(2)/2)*V95*Y95*VLOOKUP('Données projet'!$B$9,Paramètres!$A$1:$I$89,3,0)*0.475*44/12</f>
        <v>1.156625618552177E-11</v>
      </c>
      <c r="AC95" s="22">
        <f t="shared" si="57"/>
        <v>57.077246836833055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735.00000000000011</v>
      </c>
      <c r="AJ95" s="13">
        <f>AI95*VLOOKUP('Données projet'!$B$10,Paramètres!$A$1:$I$89,3,0)*VLOOKUP('Données projet'!$B$10,Paramètres!$A$1:$I$89,5,0)</f>
        <v>343.98</v>
      </c>
      <c r="AK95" s="13">
        <f t="shared" si="89"/>
        <v>80.321681832084693</v>
      </c>
      <c r="AL95" s="20">
        <f t="shared" si="58"/>
        <v>738.9920958575475</v>
      </c>
      <c r="AM95" s="59">
        <f t="shared" si="59"/>
        <v>1032.3254291908809</v>
      </c>
      <c r="AN95" s="59">
        <f ca="1">AVERAGE(OFFSET($AM$3,0,0,'Données projet'!$E$10+1,1))-AVERAGE(OFFSET($H$3,0,0,'Données projet'!$E$10+1,1))</f>
        <v>342.49944586217674</v>
      </c>
      <c r="AO95" s="59">
        <f t="shared" si="90"/>
        <v>282.29766600872563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92.995819620207484</v>
      </c>
      <c r="AV95" s="21">
        <f>EXP(-LN(2)/25)*AV94+(1-EXP(-LN(2)/25))/(LN(2)/25)*Calculateur!AQ95*Calculateur!AS95*VLOOKUP('Données projet'!$B$10,Paramètres!$A$1:$I$89,3,0)*0.475*44/12</f>
        <v>7.184212227771952</v>
      </c>
      <c r="AW95" s="21">
        <f>EXP(-LN(2)/2)*AW94+(1-EXP(-LN(2)/2))/(LN(2)/2)*AQ95*AT95*VLOOKUP('Données projet'!$B$10,Paramètres!$A$1:$I$89,3,0)*0.475*44/12</f>
        <v>3.8554187285072597E-11</v>
      </c>
      <c r="AX95" s="21">
        <f t="shared" si="60"/>
        <v>100.18003184801799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319</v>
      </c>
      <c r="BE95" s="13">
        <f>BD95*VLOOKUP('Données projet'!$B$11,Paramètres!$A$1:$I$89,3,0)*VLOOKUP('Données projet'!$B$11,Paramètres!$A$1:$I$89,5,0)</f>
        <v>253.79640000000001</v>
      </c>
      <c r="BF95" s="13">
        <f t="shared" si="91"/>
        <v>61.39816832228076</v>
      </c>
      <c r="BG95" s="20">
        <f t="shared" si="61"/>
        <v>548.96387316130563</v>
      </c>
      <c r="BH95" s="59">
        <f t="shared" si="62"/>
        <v>842.29720649463889</v>
      </c>
      <c r="BI95" s="59">
        <f ca="1">AVERAGE(OFFSET($BH$3,0,0,'Données projet'!$E$11+1,1))-AVERAGE(OFFSET($H$3,0,0,'Données projet'!$E$11+1,1))</f>
        <v>279.49721661620544</v>
      </c>
      <c r="BJ95" s="59">
        <f t="shared" si="92"/>
        <v>275.18739333988754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41.921998767241035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41.921998767241035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732.99999999999966</v>
      </c>
      <c r="BZ95" s="13">
        <f>BY95*VLOOKUP('Données projet'!$B$12,Paramètres!$A$1:$I$89,3,0)*VLOOKUP('Données projet'!$B$12,Paramètres!$A$1:$I$89,5,0)</f>
        <v>352.57299999999987</v>
      </c>
      <c r="CA95" s="13">
        <f t="shared" si="93"/>
        <v>82.092092597941644</v>
      </c>
      <c r="CB95" s="20">
        <f t="shared" si="64"/>
        <v>757.04170294141477</v>
      </c>
      <c r="CC95" s="59">
        <f t="shared" si="65"/>
        <v>1050.375036274748</v>
      </c>
      <c r="CD95" s="59">
        <f ca="1">AVERAGE(OFFSET($CC$3,0,0,'Données projet'!$E$12+1,1))-AVERAGE(OFFSET($H$3,0,0,'Données projet'!$E$12+1,1))</f>
        <v>349.65790906807746</v>
      </c>
      <c r="CE95" s="59">
        <f t="shared" si="94"/>
        <v>291.88925884278888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99.749443851182619</v>
      </c>
      <c r="CL95" s="21">
        <f>EXP(-LN(2)/25)*CL94+(1-EXP(-LN(2)/25))/(LN(2)/25)*Calculateur!CG95*Calculateur!CI95*VLOOKUP('Données projet'!$B$12,Paramètres!$A$1:$I$89,3,0)*0.475*44/12</f>
        <v>7.3837736785434105</v>
      </c>
      <c r="CM95" s="21">
        <f>EXP(-LN(2)/2)*CM94+(1-EXP(-LN(2)/2))/(LN(2)/2)*CG95*CJ95*VLOOKUP('Données projet'!$B$12,Paramètres!$A$1:$I$89,3,0)*0.475*44/12</f>
        <v>2.3775082159128084E-11</v>
      </c>
      <c r="CN95" s="22">
        <f t="shared" si="66"/>
        <v>107.1332175297498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285.99999999999972</v>
      </c>
      <c r="CU95" s="17">
        <f>CT95*VLOOKUP('Données projet'!$B$13,Paramètres!$A$1:$I$89,3,0)*VLOOKUP('Données projet'!$B$13,Paramètres!$A$1:$I$89,5,0)</f>
        <v>223.07999999999979</v>
      </c>
      <c r="CV95" s="13">
        <f t="shared" si="95"/>
        <v>54.783765878062617</v>
      </c>
      <c r="CW95" s="20">
        <f t="shared" si="67"/>
        <v>483.94605890429199</v>
      </c>
      <c r="CX95" s="59">
        <f t="shared" si="68"/>
        <v>777.2793922376253</v>
      </c>
      <c r="CY95" s="59">
        <f ca="1">AVERAGE(OFFSET($CX$3,0,0,'Données projet'!$E$13+1,1))-AVERAGE(OFFSET($H$3,0,0,'Données projet'!$E$13+1,1))</f>
        <v>215.84581110302656</v>
      </c>
      <c r="CZ95" s="59">
        <f t="shared" si="96"/>
        <v>193.88588526156104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37.948777778140112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37.948777778140112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401</v>
      </c>
      <c r="O96" s="13">
        <f>N96*VLOOKUP('Données projet'!$B$9,Paramètres!$A$1:$I$89,3,0)*VLOOKUP('Données projet'!$B$9,Paramètres!$A$1:$I$89,5,0)</f>
        <v>250.22399999999999</v>
      </c>
      <c r="P96" s="13">
        <f t="shared" si="87"/>
        <v>60.633904580527918</v>
      </c>
      <c r="Q96" s="20">
        <f t="shared" si="54"/>
        <v>541.41085047775289</v>
      </c>
      <c r="R96" s="59">
        <f t="shared" si="55"/>
        <v>834.74418381108626</v>
      </c>
      <c r="S96" s="59">
        <f ca="1">AVERAGE(OFFSET($R$3,0,0,'Données projet'!$E$9+1,1))-AVERAGE(OFFSET($H$3,0,0,'Données projet'!$E$9+1,1))</f>
        <v>269.77739619445515</v>
      </c>
      <c r="T96" s="59">
        <f t="shared" si="88"/>
        <v>347.56964743629885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39.836184333522262</v>
      </c>
      <c r="AA96" s="21">
        <f>EXP(-LN(2)/25)*AA95+(1-EXP(-LN(2)/25))/(LN(2)/25)*Calculateur!V96*Calculateur!X96*VLOOKUP('Données projet'!$B$9,Paramètres!$A$1:$I$89,3,0)*0.475*44/12</f>
        <v>15.994605146897124</v>
      </c>
      <c r="AB96" s="21">
        <f>EXP(-LN(2)/2)*AB95+(1-EXP(-LN(2)/2))/(LN(2)/2)*V96*Y96*VLOOKUP('Données projet'!$B$9,Paramètres!$A$1:$I$89,3,0)*0.475*44/12</f>
        <v>8.1785781817232936E-12</v>
      </c>
      <c r="AC96" s="22">
        <f t="shared" si="57"/>
        <v>55.830789480427562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735.00000000000011</v>
      </c>
      <c r="AJ96" s="13">
        <f>AI96*VLOOKUP('Données projet'!$B$10,Paramètres!$A$1:$I$89,3,0)*VLOOKUP('Données projet'!$B$10,Paramètres!$A$1:$I$89,5,0)</f>
        <v>343.98</v>
      </c>
      <c r="AK96" s="13">
        <f t="shared" si="89"/>
        <v>80.321681832084693</v>
      </c>
      <c r="AL96" s="20">
        <f t="shared" si="58"/>
        <v>738.9920958575475</v>
      </c>
      <c r="AM96" s="59">
        <f t="shared" si="59"/>
        <v>1032.3254291908809</v>
      </c>
      <c r="AN96" s="59">
        <f ca="1">AVERAGE(OFFSET($AM$3,0,0,'Données projet'!$E$10+1,1))-AVERAGE(OFFSET($H$3,0,0,'Données projet'!$E$10+1,1))</f>
        <v>342.49944586217674</v>
      </c>
      <c r="AO96" s="59">
        <f t="shared" si="90"/>
        <v>282.29766600872563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91.172228319304367</v>
      </c>
      <c r="AV96" s="21">
        <f>EXP(-LN(2)/25)*AV95+(1-EXP(-LN(2)/25))/(LN(2)/25)*Calculateur!AQ96*Calculateur!AS96*VLOOKUP('Données projet'!$B$10,Paramètres!$A$1:$I$89,3,0)*0.475*44/12</f>
        <v>6.987759566602227</v>
      </c>
      <c r="AW96" s="21">
        <f>EXP(-LN(2)/2)*AW95+(1-EXP(-LN(2)/2))/(LN(2)/2)*AQ96*AT96*VLOOKUP('Données projet'!$B$10,Paramètres!$A$1:$I$89,3,0)*0.475*44/12</f>
        <v>2.7261927272411002E-11</v>
      </c>
      <c r="AX96" s="21">
        <f t="shared" si="60"/>
        <v>98.159987885933845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319</v>
      </c>
      <c r="BE96" s="13">
        <f>BD96*VLOOKUP('Données projet'!$B$11,Paramètres!$A$1:$I$89,3,0)*VLOOKUP('Données projet'!$B$11,Paramètres!$A$1:$I$89,5,0)</f>
        <v>253.79640000000001</v>
      </c>
      <c r="BF96" s="13">
        <f t="shared" si="91"/>
        <v>61.39816832228076</v>
      </c>
      <c r="BG96" s="20">
        <f t="shared" si="61"/>
        <v>548.96387316130563</v>
      </c>
      <c r="BH96" s="59">
        <f t="shared" si="62"/>
        <v>842.29720649463889</v>
      </c>
      <c r="BI96" s="59">
        <f ca="1">AVERAGE(OFFSET($BH$3,0,0,'Données projet'!$E$11+1,1))-AVERAGE(OFFSET($H$3,0,0,'Données projet'!$E$11+1,1))</f>
        <v>279.49721661620544</v>
      </c>
      <c r="BJ96" s="59">
        <f t="shared" si="92"/>
        <v>275.18739333988754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41.099933941309871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41.099933941309871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732.99999999999966</v>
      </c>
      <c r="BZ96" s="13">
        <f>BY96*VLOOKUP('Données projet'!$B$12,Paramètres!$A$1:$I$89,3,0)*VLOOKUP('Données projet'!$B$12,Paramètres!$A$1:$I$89,5,0)</f>
        <v>352.57299999999987</v>
      </c>
      <c r="CA96" s="13">
        <f t="shared" si="93"/>
        <v>82.092092597941644</v>
      </c>
      <c r="CB96" s="20">
        <f t="shared" si="64"/>
        <v>757.04170294141477</v>
      </c>
      <c r="CC96" s="59">
        <f t="shared" si="65"/>
        <v>1050.375036274748</v>
      </c>
      <c r="CD96" s="59">
        <f ca="1">AVERAGE(OFFSET($CC$3,0,0,'Données projet'!$E$12+1,1))-AVERAGE(OFFSET($H$3,0,0,'Données projet'!$E$12+1,1))</f>
        <v>349.65790906807746</v>
      </c>
      <c r="CE96" s="59">
        <f t="shared" si="94"/>
        <v>291.88925884278888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97.793418098414108</v>
      </c>
      <c r="CL96" s="21">
        <f>EXP(-LN(2)/25)*CL95+(1-EXP(-LN(2)/25))/(LN(2)/25)*Calculateur!CG96*Calculateur!CI96*VLOOKUP('Données projet'!$B$12,Paramètres!$A$1:$I$89,3,0)*0.475*44/12</f>
        <v>7.1818639990078594</v>
      </c>
      <c r="CM96" s="21">
        <f>EXP(-LN(2)/2)*CM95+(1-EXP(-LN(2)/2))/(LN(2)/2)*CG96*CJ96*VLOOKUP('Données projet'!$B$12,Paramètres!$A$1:$I$89,3,0)*0.475*44/12</f>
        <v>1.6811521817986772E-11</v>
      </c>
      <c r="CN96" s="22">
        <f t="shared" si="66"/>
        <v>104.97528209743878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285.99999999999972</v>
      </c>
      <c r="CU96" s="17">
        <f>CT96*VLOOKUP('Données projet'!$B$13,Paramètres!$A$1:$I$89,3,0)*VLOOKUP('Données projet'!$B$13,Paramètres!$A$1:$I$89,5,0)</f>
        <v>223.07999999999979</v>
      </c>
      <c r="CV96" s="13">
        <f t="shared" si="95"/>
        <v>54.783765878062617</v>
      </c>
      <c r="CW96" s="20">
        <f t="shared" si="67"/>
        <v>483.94605890429199</v>
      </c>
      <c r="CX96" s="59">
        <f t="shared" si="68"/>
        <v>777.2793922376253</v>
      </c>
      <c r="CY96" s="59">
        <f ca="1">AVERAGE(OFFSET($CX$3,0,0,'Données projet'!$E$13+1,1))-AVERAGE(OFFSET($H$3,0,0,'Données projet'!$E$13+1,1))</f>
        <v>215.84581110302656</v>
      </c>
      <c r="CZ96" s="59">
        <f t="shared" si="96"/>
        <v>193.88588526156104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37.204625392379704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37.204625392379704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401</v>
      </c>
      <c r="O97" s="13">
        <f>N97*VLOOKUP('Données projet'!$B$9,Paramètres!$A$1:$I$89,3,0)*VLOOKUP('Données projet'!$B$9,Paramètres!$A$1:$I$89,5,0)</f>
        <v>250.22399999999999</v>
      </c>
      <c r="P97" s="13">
        <f t="shared" si="87"/>
        <v>60.633904580527918</v>
      </c>
      <c r="Q97" s="20">
        <f t="shared" si="54"/>
        <v>541.41085047775289</v>
      </c>
      <c r="R97" s="59">
        <f t="shared" si="55"/>
        <v>834.74418381108626</v>
      </c>
      <c r="S97" s="59">
        <f ca="1">AVERAGE(OFFSET($R$3,0,0,'Données projet'!$E$9+1,1))-AVERAGE(OFFSET($H$3,0,0,'Données projet'!$E$9+1,1))</f>
        <v>269.77739619445515</v>
      </c>
      <c r="T97" s="59">
        <f t="shared" si="88"/>
        <v>347.56964743629885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39.055021056415136</v>
      </c>
      <c r="AA97" s="21">
        <f>EXP(-LN(2)/25)*AA96+(1-EXP(-LN(2)/25))/(LN(2)/25)*Calculateur!V97*Calculateur!X97*VLOOKUP('Données projet'!$B$9,Paramètres!$A$1:$I$89,3,0)*0.475*44/12</f>
        <v>15.557231828035494</v>
      </c>
      <c r="AB97" s="21">
        <f>EXP(-LN(2)/2)*AB96+(1-EXP(-LN(2)/2))/(LN(2)/2)*V97*Y97*VLOOKUP('Données projet'!$B$9,Paramètres!$A$1:$I$89,3,0)*0.475*44/12</f>
        <v>5.7831280927608848E-12</v>
      </c>
      <c r="AC97" s="22">
        <f t="shared" si="57"/>
        <v>54.61225288445641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735.00000000000011</v>
      </c>
      <c r="AJ97" s="13">
        <f>AI97*VLOOKUP('Données projet'!$B$10,Paramètres!$A$1:$I$89,3,0)*VLOOKUP('Données projet'!$B$10,Paramètres!$A$1:$I$89,5,0)</f>
        <v>343.98</v>
      </c>
      <c r="AK97" s="13">
        <f t="shared" si="89"/>
        <v>80.321681832084693</v>
      </c>
      <c r="AL97" s="20">
        <f t="shared" si="58"/>
        <v>738.9920958575475</v>
      </c>
      <c r="AM97" s="59">
        <f t="shared" si="59"/>
        <v>1032.3254291908809</v>
      </c>
      <c r="AN97" s="59">
        <f ca="1">AVERAGE(OFFSET($AM$3,0,0,'Données projet'!$E$10+1,1))-AVERAGE(OFFSET($H$3,0,0,'Données projet'!$E$10+1,1))</f>
        <v>342.49944586217674</v>
      </c>
      <c r="AO97" s="59">
        <f t="shared" si="90"/>
        <v>282.29766600872563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89.384396531531095</v>
      </c>
      <c r="AV97" s="21">
        <f>EXP(-LN(2)/25)*AV96+(1-EXP(-LN(2)/25))/(LN(2)/25)*Calculateur!AQ97*Calculateur!AS97*VLOOKUP('Données projet'!$B$10,Paramètres!$A$1:$I$89,3,0)*0.475*44/12</f>
        <v>6.7966789137831842</v>
      </c>
      <c r="AW97" s="21">
        <f>EXP(-LN(2)/2)*AW96+(1-EXP(-LN(2)/2))/(LN(2)/2)*AQ97*AT97*VLOOKUP('Données projet'!$B$10,Paramètres!$A$1:$I$89,3,0)*0.475*44/12</f>
        <v>1.9277093642536299E-11</v>
      </c>
      <c r="AX97" s="21">
        <f t="shared" si="60"/>
        <v>96.181075445333562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319</v>
      </c>
      <c r="BE97" s="13">
        <f>BD97*VLOOKUP('Données projet'!$B$11,Paramètres!$A$1:$I$89,3,0)*VLOOKUP('Données projet'!$B$11,Paramètres!$A$1:$I$89,5,0)</f>
        <v>253.79640000000001</v>
      </c>
      <c r="BF97" s="13">
        <f t="shared" si="91"/>
        <v>61.39816832228076</v>
      </c>
      <c r="BG97" s="20">
        <f t="shared" si="61"/>
        <v>548.96387316130563</v>
      </c>
      <c r="BH97" s="59">
        <f t="shared" si="62"/>
        <v>842.29720649463889</v>
      </c>
      <c r="BI97" s="59">
        <f ca="1">AVERAGE(OFFSET($BH$3,0,0,'Données projet'!$E$11+1,1))-AVERAGE(OFFSET($H$3,0,0,'Données projet'!$E$11+1,1))</f>
        <v>279.49721661620544</v>
      </c>
      <c r="BJ97" s="59">
        <f t="shared" si="92"/>
        <v>275.18739333988754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40.29398930520518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40.29398930520518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732.99999999999966</v>
      </c>
      <c r="BZ97" s="13">
        <f>BY97*VLOOKUP('Données projet'!$B$12,Paramètres!$A$1:$I$89,3,0)*VLOOKUP('Données projet'!$B$12,Paramètres!$A$1:$I$89,5,0)</f>
        <v>352.57299999999987</v>
      </c>
      <c r="CA97" s="13">
        <f t="shared" si="93"/>
        <v>82.092092597941644</v>
      </c>
      <c r="CB97" s="20">
        <f t="shared" si="64"/>
        <v>757.04170294141477</v>
      </c>
      <c r="CC97" s="59">
        <f t="shared" si="65"/>
        <v>1050.375036274748</v>
      </c>
      <c r="CD97" s="59">
        <f ca="1">AVERAGE(OFFSET($CC$3,0,0,'Données projet'!$E$12+1,1))-AVERAGE(OFFSET($H$3,0,0,'Données projet'!$E$12+1,1))</f>
        <v>349.65790906807746</v>
      </c>
      <c r="CE97" s="59">
        <f t="shared" si="94"/>
        <v>291.88925884278888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95.875748817599487</v>
      </c>
      <c r="CL97" s="21">
        <f>EXP(-LN(2)/25)*CL96+(1-EXP(-LN(2)/25))/(LN(2)/25)*Calculateur!CG97*Calculateur!CI97*VLOOKUP('Données projet'!$B$12,Paramètres!$A$1:$I$89,3,0)*0.475*44/12</f>
        <v>6.9854755502771759</v>
      </c>
      <c r="CM97" s="21">
        <f>EXP(-LN(2)/2)*CM96+(1-EXP(-LN(2)/2))/(LN(2)/2)*CG97*CJ97*VLOOKUP('Données projet'!$B$12,Paramètres!$A$1:$I$89,3,0)*0.475*44/12</f>
        <v>1.1887541079564042E-11</v>
      </c>
      <c r="CN97" s="22">
        <f t="shared" si="66"/>
        <v>102.86122436788855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285.99999999999972</v>
      </c>
      <c r="CU97" s="17">
        <f>CT97*VLOOKUP('Données projet'!$B$13,Paramètres!$A$1:$I$89,3,0)*VLOOKUP('Données projet'!$B$13,Paramètres!$A$1:$I$89,5,0)</f>
        <v>223.07999999999979</v>
      </c>
      <c r="CV97" s="13">
        <f t="shared" si="95"/>
        <v>54.783765878062617</v>
      </c>
      <c r="CW97" s="20">
        <f t="shared" si="67"/>
        <v>483.94605890429199</v>
      </c>
      <c r="CX97" s="59">
        <f t="shared" si="68"/>
        <v>777.2793922376253</v>
      </c>
      <c r="CY97" s="59">
        <f ca="1">AVERAGE(OFFSET($CX$3,0,0,'Données projet'!$E$13+1,1))-AVERAGE(OFFSET($H$3,0,0,'Données projet'!$E$13+1,1))</f>
        <v>215.84581110302656</v>
      </c>
      <c r="CZ97" s="59">
        <f t="shared" si="96"/>
        <v>193.88588526156104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36.475065381015924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36.475065381015924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401</v>
      </c>
      <c r="O98" s="13">
        <f>N98*VLOOKUP('Données projet'!$B$9,Paramètres!$A$1:$I$89,3,0)*VLOOKUP('Données projet'!$B$9,Paramètres!$A$1:$I$89,5,0)</f>
        <v>250.22399999999999</v>
      </c>
      <c r="P98" s="13">
        <f t="shared" si="87"/>
        <v>60.633904580527918</v>
      </c>
      <c r="Q98" s="20">
        <f t="shared" si="54"/>
        <v>541.41085047775289</v>
      </c>
      <c r="R98" s="59">
        <f t="shared" si="55"/>
        <v>834.74418381108626</v>
      </c>
      <c r="S98" s="59">
        <f ca="1">AVERAGE(OFFSET($R$3,0,0,'Données projet'!$E$9+1,1))-AVERAGE(OFFSET($H$3,0,0,'Données projet'!$E$9+1,1))</f>
        <v>269.77739619445515</v>
      </c>
      <c r="T98" s="59">
        <f t="shared" si="88"/>
        <v>347.56964743629885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38.289175914709531</v>
      </c>
      <c r="AA98" s="21">
        <f>EXP(-LN(2)/25)*AA97+(1-EXP(-LN(2)/25))/(LN(2)/25)*Calculateur!V98*Calculateur!X98*VLOOKUP('Données projet'!$B$9,Paramètres!$A$1:$I$89,3,0)*0.475*44/12</f>
        <v>15.131818505578599</v>
      </c>
      <c r="AB98" s="21">
        <f>EXP(-LN(2)/2)*AB97+(1-EXP(-LN(2)/2))/(LN(2)/2)*V98*Y98*VLOOKUP('Données projet'!$B$9,Paramètres!$A$1:$I$89,3,0)*0.475*44/12</f>
        <v>4.0892890908616468E-12</v>
      </c>
      <c r="AC98" s="22">
        <f t="shared" si="57"/>
        <v>53.420994420292224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735.00000000000011</v>
      </c>
      <c r="AJ98" s="13">
        <f>AI98*VLOOKUP('Données projet'!$B$10,Paramètres!$A$1:$I$89,3,0)*VLOOKUP('Données projet'!$B$10,Paramètres!$A$1:$I$89,5,0)</f>
        <v>343.98</v>
      </c>
      <c r="AK98" s="13">
        <f t="shared" si="89"/>
        <v>80.321681832084693</v>
      </c>
      <c r="AL98" s="20">
        <f t="shared" si="58"/>
        <v>738.9920958575475</v>
      </c>
      <c r="AM98" s="59">
        <f t="shared" si="59"/>
        <v>1032.3254291908809</v>
      </c>
      <c r="AN98" s="59">
        <f ca="1">AVERAGE(OFFSET($AM$3,0,0,'Données projet'!$E$10+1,1))-AVERAGE(OFFSET($H$3,0,0,'Données projet'!$E$10+1,1))</f>
        <v>342.49944586217674</v>
      </c>
      <c r="AO98" s="59">
        <f t="shared" si="90"/>
        <v>282.29766600872563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87.631623034646339</v>
      </c>
      <c r="AV98" s="21">
        <f>EXP(-LN(2)/25)*AV97+(1-EXP(-LN(2)/25))/(LN(2)/25)*Calculateur!AQ98*Calculateur!AS98*VLOOKUP('Données projet'!$B$10,Paramètres!$A$1:$I$89,3,0)*0.475*44/12</f>
        <v>6.6108233714639733</v>
      </c>
      <c r="AW98" s="21">
        <f>EXP(-LN(2)/2)*AW97+(1-EXP(-LN(2)/2))/(LN(2)/2)*AQ98*AT98*VLOOKUP('Données projet'!$B$10,Paramètres!$A$1:$I$89,3,0)*0.475*44/12</f>
        <v>1.3630963636205501E-11</v>
      </c>
      <c r="AX98" s="21">
        <f t="shared" si="60"/>
        <v>94.242446406123946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319</v>
      </c>
      <c r="BE98" s="13">
        <f>BD98*VLOOKUP('Données projet'!$B$11,Paramètres!$A$1:$I$89,3,0)*VLOOKUP('Données projet'!$B$11,Paramètres!$A$1:$I$89,5,0)</f>
        <v>253.79640000000001</v>
      </c>
      <c r="BF98" s="13">
        <f t="shared" si="91"/>
        <v>61.39816832228076</v>
      </c>
      <c r="BG98" s="20">
        <f t="shared" si="61"/>
        <v>548.96387316130563</v>
      </c>
      <c r="BH98" s="59">
        <f t="shared" si="62"/>
        <v>842.29720649463889</v>
      </c>
      <c r="BI98" s="59">
        <f ca="1">AVERAGE(OFFSET($BH$3,0,0,'Données projet'!$E$11+1,1))-AVERAGE(OFFSET($H$3,0,0,'Données projet'!$E$11+1,1))</f>
        <v>279.49721661620544</v>
      </c>
      <c r="BJ98" s="59">
        <f t="shared" si="92"/>
        <v>275.18739333988754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39.503848751836813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39.503848751836813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732.99999999999966</v>
      </c>
      <c r="BZ98" s="13">
        <f>BY98*VLOOKUP('Données projet'!$B$12,Paramètres!$A$1:$I$89,3,0)*VLOOKUP('Données projet'!$B$12,Paramètres!$A$1:$I$89,5,0)</f>
        <v>352.57299999999987</v>
      </c>
      <c r="CA98" s="13">
        <f t="shared" si="93"/>
        <v>82.092092597941644</v>
      </c>
      <c r="CB98" s="20">
        <f t="shared" si="64"/>
        <v>757.04170294141477</v>
      </c>
      <c r="CC98" s="59">
        <f t="shared" si="65"/>
        <v>1050.375036274748</v>
      </c>
      <c r="CD98" s="59">
        <f ca="1">AVERAGE(OFFSET($CC$3,0,0,'Données projet'!$E$12+1,1))-AVERAGE(OFFSET($H$3,0,0,'Données projet'!$E$12+1,1))</f>
        <v>349.65790906807746</v>
      </c>
      <c r="CE98" s="59">
        <f t="shared" si="94"/>
        <v>291.88925884278888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93.995683861718874</v>
      </c>
      <c r="CL98" s="21">
        <f>EXP(-LN(2)/25)*CL97+(1-EXP(-LN(2)/25))/(LN(2)/25)*Calculateur!CG98*Calculateur!CI98*VLOOKUP('Données projet'!$B$12,Paramètres!$A$1:$I$89,3,0)*0.475*44/12</f>
        <v>6.7944573540046527</v>
      </c>
      <c r="CM98" s="21">
        <f>EXP(-LN(2)/2)*CM97+(1-EXP(-LN(2)/2))/(LN(2)/2)*CG98*CJ98*VLOOKUP('Données projet'!$B$12,Paramètres!$A$1:$I$89,3,0)*0.475*44/12</f>
        <v>8.4057609089933859E-12</v>
      </c>
      <c r="CN98" s="22">
        <f t="shared" si="66"/>
        <v>100.79014121573194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285.99999999999972</v>
      </c>
      <c r="CU98" s="17">
        <f>CT98*VLOOKUP('Données projet'!$B$13,Paramètres!$A$1:$I$89,3,0)*VLOOKUP('Données projet'!$B$13,Paramètres!$A$1:$I$89,5,0)</f>
        <v>223.07999999999979</v>
      </c>
      <c r="CV98" s="13">
        <f t="shared" si="95"/>
        <v>54.783765878062617</v>
      </c>
      <c r="CW98" s="20">
        <f t="shared" si="67"/>
        <v>483.94605890429199</v>
      </c>
      <c r="CX98" s="59">
        <f t="shared" si="68"/>
        <v>777.2793922376253</v>
      </c>
      <c r="CY98" s="59">
        <f ca="1">AVERAGE(OFFSET($CX$3,0,0,'Données projet'!$E$13+1,1))-AVERAGE(OFFSET($H$3,0,0,'Données projet'!$E$13+1,1))</f>
        <v>215.84581110302656</v>
      </c>
      <c r="CZ98" s="59">
        <f t="shared" si="96"/>
        <v>193.88588526156104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35.759811596487317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35.759811596487317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401</v>
      </c>
      <c r="O99" s="13">
        <f>N99*VLOOKUP('Données projet'!$B$9,Paramètres!$A$1:$I$89,3,0)*VLOOKUP('Données projet'!$B$9,Paramètres!$A$1:$I$89,5,0)</f>
        <v>250.22399999999999</v>
      </c>
      <c r="P99" s="13">
        <f t="shared" si="87"/>
        <v>60.633904580527918</v>
      </c>
      <c r="Q99" s="20">
        <f t="shared" ref="Q99:Q130" si="107">(O99+P99)*0.475*44/12</f>
        <v>541.41085047775289</v>
      </c>
      <c r="R99" s="59">
        <f t="shared" si="55"/>
        <v>834.74418381108626</v>
      </c>
      <c r="S99" s="59">
        <f ca="1">AVERAGE(OFFSET($R$3,0,0,'Données projet'!$E$9+1,1))-AVERAGE(OFFSET($H$3,0,0,'Données projet'!$E$9+1,1))</f>
        <v>269.77739619445515</v>
      </c>
      <c r="T99" s="59">
        <f t="shared" si="88"/>
        <v>347.56964743629885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37.538348529113364</v>
      </c>
      <c r="AA99" s="21">
        <f>EXP(-LN(2)/25)*AA98+(1-EXP(-LN(2)/25))/(LN(2)/25)*Calculateur!V99*Calculateur!X99*VLOOKUP('Données projet'!$B$9,Paramètres!$A$1:$I$89,3,0)*0.475*44/12</f>
        <v>14.718038132795801</v>
      </c>
      <c r="AB99" s="21">
        <f>EXP(-LN(2)/2)*AB98+(1-EXP(-LN(2)/2))/(LN(2)/2)*V99*Y99*VLOOKUP('Données projet'!$B$9,Paramètres!$A$1:$I$89,3,0)*0.475*44/12</f>
        <v>2.8915640463804424E-12</v>
      </c>
      <c r="AC99" s="22">
        <f t="shared" si="57"/>
        <v>52.256386661912053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735.00000000000011</v>
      </c>
      <c r="AJ99" s="13">
        <f>AI99*VLOOKUP('Données projet'!$B$10,Paramètres!$A$1:$I$89,3,0)*VLOOKUP('Données projet'!$B$10,Paramètres!$A$1:$I$89,5,0)</f>
        <v>343.98</v>
      </c>
      <c r="AK99" s="13">
        <f t="shared" si="89"/>
        <v>80.321681832084693</v>
      </c>
      <c r="AL99" s="20">
        <f t="shared" si="58"/>
        <v>738.9920958575475</v>
      </c>
      <c r="AM99" s="59">
        <f t="shared" si="59"/>
        <v>1032.3254291908809</v>
      </c>
      <c r="AN99" s="59">
        <f ca="1">AVERAGE(OFFSET($AM$3,0,0,'Données projet'!$E$10+1,1))-AVERAGE(OFFSET($H$3,0,0,'Données projet'!$E$10+1,1))</f>
        <v>342.49944586217674</v>
      </c>
      <c r="AO99" s="59">
        <f t="shared" si="90"/>
        <v>282.29766600872563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85.913220356949225</v>
      </c>
      <c r="AV99" s="21">
        <f>EXP(-LN(2)/25)*AV98+(1-EXP(-LN(2)/25))/(LN(2)/25)*Calculateur!AQ99*Calculateur!AS99*VLOOKUP('Données projet'!$B$10,Paramètres!$A$1:$I$89,3,0)*0.475*44/12</f>
        <v>6.4300500587231992</v>
      </c>
      <c r="AW99" s="21">
        <f>EXP(-LN(2)/2)*AW98+(1-EXP(-LN(2)/2))/(LN(2)/2)*AQ99*AT99*VLOOKUP('Données projet'!$B$10,Paramètres!$A$1:$I$89,3,0)*0.475*44/12</f>
        <v>9.6385468212681494E-12</v>
      </c>
      <c r="AX99" s="21">
        <f t="shared" si="60"/>
        <v>92.343270415682056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319</v>
      </c>
      <c r="BE99" s="13">
        <f>BD99*VLOOKUP('Données projet'!$B$11,Paramètres!$A$1:$I$89,3,0)*VLOOKUP('Données projet'!$B$11,Paramètres!$A$1:$I$89,5,0)</f>
        <v>253.79640000000001</v>
      </c>
      <c r="BF99" s="13">
        <f t="shared" si="91"/>
        <v>61.39816832228076</v>
      </c>
      <c r="BG99" s="20">
        <f t="shared" si="61"/>
        <v>548.96387316130563</v>
      </c>
      <c r="BH99" s="59">
        <f t="shared" si="62"/>
        <v>842.29720649463889</v>
      </c>
      <c r="BI99" s="59">
        <f ca="1">AVERAGE(OFFSET($BH$3,0,0,'Données projet'!$E$11+1,1))-AVERAGE(OFFSET($H$3,0,0,'Données projet'!$E$11+1,1))</f>
        <v>279.49721661620544</v>
      </c>
      <c r="BJ99" s="59">
        <f t="shared" si="92"/>
        <v>275.18739333988754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38.729202372781849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38.729202372781849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732.99999999999966</v>
      </c>
      <c r="BZ99" s="13">
        <f>BY99*VLOOKUP('Données projet'!$B$12,Paramètres!$A$1:$I$89,3,0)*VLOOKUP('Données projet'!$B$12,Paramètres!$A$1:$I$89,5,0)</f>
        <v>352.57299999999987</v>
      </c>
      <c r="CA99" s="13">
        <f t="shared" si="93"/>
        <v>82.092092597941644</v>
      </c>
      <c r="CB99" s="20">
        <f t="shared" si="64"/>
        <v>757.04170294141477</v>
      </c>
      <c r="CC99" s="59">
        <f t="shared" si="65"/>
        <v>1050.375036274748</v>
      </c>
      <c r="CD99" s="59">
        <f ca="1">AVERAGE(OFFSET($CC$3,0,0,'Données projet'!$E$12+1,1))-AVERAGE(OFFSET($H$3,0,0,'Données projet'!$E$12+1,1))</f>
        <v>349.65790906807746</v>
      </c>
      <c r="CE99" s="59">
        <f t="shared" si="94"/>
        <v>291.88925884278888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92.152485832896687</v>
      </c>
      <c r="CL99" s="21">
        <f>EXP(-LN(2)/25)*CL98+(1-EXP(-LN(2)/25))/(LN(2)/25)*Calculateur!CG99*Calculateur!CI99*VLOOKUP('Données projet'!$B$12,Paramètres!$A$1:$I$89,3,0)*0.475*44/12</f>
        <v>6.6086625603544125</v>
      </c>
      <c r="CM99" s="21">
        <f>EXP(-LN(2)/2)*CM98+(1-EXP(-LN(2)/2))/(LN(2)/2)*CG99*CJ99*VLOOKUP('Données projet'!$B$12,Paramètres!$A$1:$I$89,3,0)*0.475*44/12</f>
        <v>5.943770539782021E-12</v>
      </c>
      <c r="CN99" s="22">
        <f t="shared" si="66"/>
        <v>98.761148393257045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285.99999999999972</v>
      </c>
      <c r="CU99" s="17">
        <f>CT99*VLOOKUP('Données projet'!$B$13,Paramètres!$A$1:$I$89,3,0)*VLOOKUP('Données projet'!$B$13,Paramètres!$A$1:$I$89,5,0)</f>
        <v>223.07999999999979</v>
      </c>
      <c r="CV99" s="13">
        <f t="shared" si="95"/>
        <v>54.783765878062617</v>
      </c>
      <c r="CW99" s="20">
        <f t="shared" si="67"/>
        <v>483.94605890429199</v>
      </c>
      <c r="CX99" s="59">
        <f t="shared" si="68"/>
        <v>777.2793922376253</v>
      </c>
      <c r="CY99" s="59">
        <f ca="1">AVERAGE(OFFSET($CX$3,0,0,'Données projet'!$E$13+1,1))-AVERAGE(OFFSET($H$3,0,0,'Données projet'!$E$13+1,1))</f>
        <v>215.84581110302656</v>
      </c>
      <c r="CZ99" s="59">
        <f t="shared" si="96"/>
        <v>193.88588526156104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35.058583502411587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35.058583502411587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401</v>
      </c>
      <c r="O100" s="13">
        <f>N100*VLOOKUP('Données projet'!$B$9,Paramètres!$A$1:$I$89,3,0)*VLOOKUP('Données projet'!$B$9,Paramètres!$A$1:$I$89,5,0)</f>
        <v>250.22399999999999</v>
      </c>
      <c r="P100" s="13">
        <f t="shared" si="87"/>
        <v>60.633904580527918</v>
      </c>
      <c r="Q100" s="20">
        <f t="shared" si="107"/>
        <v>541.41085047775289</v>
      </c>
      <c r="R100" s="59">
        <f t="shared" si="55"/>
        <v>834.74418381108626</v>
      </c>
      <c r="S100" s="59">
        <f ca="1">AVERAGE(OFFSET($R$3,0,0,'Données projet'!$E$9+1,1))-AVERAGE(OFFSET($H$3,0,0,'Données projet'!$E$9+1,1))</f>
        <v>269.77739619445515</v>
      </c>
      <c r="T100" s="59">
        <f t="shared" si="88"/>
        <v>347.56964743629885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36.802244410589246</v>
      </c>
      <c r="AA100" s="21">
        <f>EXP(-LN(2)/25)*AA99+(1-EXP(-LN(2)/25))/(LN(2)/25)*Calculateur!V100*Calculateur!X100*VLOOKUP('Données projet'!$B$9,Paramètres!$A$1:$I$89,3,0)*0.475*44/12</f>
        <v>14.315572606066512</v>
      </c>
      <c r="AB100" s="21">
        <f>EXP(-LN(2)/2)*AB99+(1-EXP(-LN(2)/2))/(LN(2)/2)*V100*Y100*VLOOKUP('Données projet'!$B$9,Paramètres!$A$1:$I$89,3,0)*0.475*44/12</f>
        <v>2.0446445454308234E-12</v>
      </c>
      <c r="AC100" s="22">
        <f t="shared" si="57"/>
        <v>51.117817016657803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735.00000000000011</v>
      </c>
      <c r="AJ100" s="13">
        <f>AI100*VLOOKUP('Données projet'!$B$10,Paramètres!$A$1:$I$89,3,0)*VLOOKUP('Données projet'!$B$10,Paramètres!$A$1:$I$89,5,0)</f>
        <v>343.98</v>
      </c>
      <c r="AK100" s="13">
        <f t="shared" si="89"/>
        <v>80.321681832084693</v>
      </c>
      <c r="AL100" s="20">
        <f t="shared" si="58"/>
        <v>738.9920958575475</v>
      </c>
      <c r="AM100" s="59">
        <f t="shared" si="59"/>
        <v>1032.3254291908809</v>
      </c>
      <c r="AN100" s="59">
        <f ca="1">AVERAGE(OFFSET($AM$3,0,0,'Données projet'!$E$10+1,1))-AVERAGE(OFFSET($H$3,0,0,'Données projet'!$E$10+1,1))</f>
        <v>342.49944586217674</v>
      </c>
      <c r="AO100" s="59">
        <f t="shared" si="90"/>
        <v>282.29766600872563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84.228514507639616</v>
      </c>
      <c r="AV100" s="21">
        <f>EXP(-LN(2)/25)*AV99+(1-EXP(-LN(2)/25))/(LN(2)/25)*Calculateur!AQ100*Calculateur!AS100*VLOOKUP('Données projet'!$B$10,Paramètres!$A$1:$I$89,3,0)*0.475*44/12</f>
        <v>6.254220001725777</v>
      </c>
      <c r="AW100" s="21">
        <f>EXP(-LN(2)/2)*AW99+(1-EXP(-LN(2)/2))/(LN(2)/2)*AQ100*AT100*VLOOKUP('Données projet'!$B$10,Paramètres!$A$1:$I$89,3,0)*0.475*44/12</f>
        <v>6.8154818181027506E-12</v>
      </c>
      <c r="AX100" s="21">
        <f t="shared" si="60"/>
        <v>90.482734509372222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319</v>
      </c>
      <c r="BE100" s="13">
        <f>BD100*VLOOKUP('Données projet'!$B$11,Paramètres!$A$1:$I$89,3,0)*VLOOKUP('Données projet'!$B$11,Paramètres!$A$1:$I$89,5,0)</f>
        <v>253.79640000000001</v>
      </c>
      <c r="BF100" s="13">
        <f t="shared" si="91"/>
        <v>61.39816832228076</v>
      </c>
      <c r="BG100" s="20">
        <f t="shared" si="61"/>
        <v>548.96387316130563</v>
      </c>
      <c r="BH100" s="59">
        <f t="shared" si="62"/>
        <v>842.29720649463889</v>
      </c>
      <c r="BI100" s="59">
        <f ca="1">AVERAGE(OFFSET($BH$3,0,0,'Données projet'!$E$11+1,1))-AVERAGE(OFFSET($H$3,0,0,'Données projet'!$E$11+1,1))</f>
        <v>279.49721661620544</v>
      </c>
      <c r="BJ100" s="59">
        <f t="shared" si="92"/>
        <v>275.18739333988754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37.96974633673252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37.96974633673252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732.99999999999966</v>
      </c>
      <c r="BZ100" s="13">
        <f>BY100*VLOOKUP('Données projet'!$B$12,Paramètres!$A$1:$I$89,3,0)*VLOOKUP('Données projet'!$B$12,Paramètres!$A$1:$I$89,5,0)</f>
        <v>352.57299999999987</v>
      </c>
      <c r="CA100" s="13">
        <f t="shared" si="93"/>
        <v>82.092092597941644</v>
      </c>
      <c r="CB100" s="20">
        <f t="shared" si="64"/>
        <v>757.04170294141477</v>
      </c>
      <c r="CC100" s="59">
        <f t="shared" si="65"/>
        <v>1050.375036274748</v>
      </c>
      <c r="CD100" s="59">
        <f ca="1">AVERAGE(OFFSET($CC$3,0,0,'Données projet'!$E$12+1,1))-AVERAGE(OFFSET($H$3,0,0,'Données projet'!$E$12+1,1))</f>
        <v>349.65790906807746</v>
      </c>
      <c r="CE100" s="59">
        <f t="shared" si="94"/>
        <v>291.88925884278888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90.345431793179912</v>
      </c>
      <c r="CL100" s="21">
        <f>EXP(-LN(2)/25)*CL99+(1-EXP(-LN(2)/25))/(LN(2)/25)*Calculateur!CG100*Calculateur!CI100*VLOOKUP('Données projet'!$B$12,Paramètres!$A$1:$I$89,3,0)*0.475*44/12</f>
        <v>6.427948335107061</v>
      </c>
      <c r="CM100" s="21">
        <f>EXP(-LN(2)/2)*CM99+(1-EXP(-LN(2)/2))/(LN(2)/2)*CG100*CJ100*VLOOKUP('Données projet'!$B$12,Paramètres!$A$1:$I$89,3,0)*0.475*44/12</f>
        <v>4.202880454496693E-12</v>
      </c>
      <c r="CN100" s="22">
        <f t="shared" si="66"/>
        <v>96.77338012829118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285.99999999999972</v>
      </c>
      <c r="CU100" s="17">
        <f>CT100*VLOOKUP('Données projet'!$B$13,Paramètres!$A$1:$I$89,3,0)*VLOOKUP('Données projet'!$B$13,Paramètres!$A$1:$I$89,5,0)</f>
        <v>223.07999999999979</v>
      </c>
      <c r="CV100" s="13">
        <f t="shared" si="95"/>
        <v>54.783765878062617</v>
      </c>
      <c r="CW100" s="20">
        <f t="shared" si="67"/>
        <v>483.94605890429199</v>
      </c>
      <c r="CX100" s="59">
        <f t="shared" si="68"/>
        <v>777.2793922376253</v>
      </c>
      <c r="CY100" s="59">
        <f ca="1">AVERAGE(OFFSET($CX$3,0,0,'Données projet'!$E$13+1,1))-AVERAGE(OFFSET($H$3,0,0,'Données projet'!$E$13+1,1))</f>
        <v>215.84581110302656</v>
      </c>
      <c r="CZ100" s="59">
        <f t="shared" si="96"/>
        <v>193.88588526156104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34.371106063553775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34.371106063553775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401</v>
      </c>
      <c r="O101" s="13">
        <f>N101*VLOOKUP('Données projet'!$B$9,Paramètres!$A$1:$I$89,3,0)*VLOOKUP('Données projet'!$B$9,Paramètres!$A$1:$I$89,5,0)</f>
        <v>250.22399999999999</v>
      </c>
      <c r="P101" s="13">
        <f t="shared" si="87"/>
        <v>60.633904580527918</v>
      </c>
      <c r="Q101" s="20">
        <f t="shared" si="107"/>
        <v>541.41085047775289</v>
      </c>
      <c r="R101" s="59">
        <f t="shared" si="55"/>
        <v>834.74418381108626</v>
      </c>
      <c r="S101" s="59">
        <f ca="1">AVERAGE(OFFSET($R$3,0,0,'Données projet'!$E$9+1,1))-AVERAGE(OFFSET($H$3,0,0,'Données projet'!$E$9+1,1))</f>
        <v>269.77739619445515</v>
      </c>
      <c r="T101" s="59">
        <f t="shared" si="88"/>
        <v>347.56964743629885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36.080574844850211</v>
      </c>
      <c r="AA101" s="21">
        <f>EXP(-LN(2)/25)*AA100+(1-EXP(-LN(2)/25))/(LN(2)/25)*Calculateur!V101*Calculateur!X101*VLOOKUP('Données projet'!$B$9,Paramètres!$A$1:$I$89,3,0)*0.475*44/12</f>
        <v>13.924112520330379</v>
      </c>
      <c r="AB101" s="21">
        <f>EXP(-LN(2)/2)*AB100+(1-EXP(-LN(2)/2))/(LN(2)/2)*V101*Y101*VLOOKUP('Données projet'!$B$9,Paramètres!$A$1:$I$89,3,0)*0.475*44/12</f>
        <v>1.4457820231902212E-12</v>
      </c>
      <c r="AC101" s="22">
        <f t="shared" si="57"/>
        <v>50.004687365182029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735.00000000000011</v>
      </c>
      <c r="AJ101" s="13">
        <f>AI101*VLOOKUP('Données projet'!$B$10,Paramètres!$A$1:$I$89,3,0)*VLOOKUP('Données projet'!$B$10,Paramètres!$A$1:$I$89,5,0)</f>
        <v>343.98</v>
      </c>
      <c r="AK101" s="13">
        <f t="shared" si="89"/>
        <v>80.321681832084693</v>
      </c>
      <c r="AL101" s="20">
        <f t="shared" si="58"/>
        <v>738.9920958575475</v>
      </c>
      <c r="AM101" s="59">
        <f t="shared" si="59"/>
        <v>1032.3254291908809</v>
      </c>
      <c r="AN101" s="59">
        <f ca="1">AVERAGE(OFFSET($AM$3,0,0,'Données projet'!$E$10+1,1))-AVERAGE(OFFSET($H$3,0,0,'Données projet'!$E$10+1,1))</f>
        <v>342.49944586217674</v>
      </c>
      <c r="AO101" s="59">
        <f t="shared" si="90"/>
        <v>282.29766600872563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82.576844712465856</v>
      </c>
      <c r="AV101" s="21">
        <f>EXP(-LN(2)/25)*AV100+(1-EXP(-LN(2)/25))/(LN(2)/25)*Calculateur!AQ101*Calculateur!AS101*VLOOKUP('Données projet'!$B$10,Paramètres!$A$1:$I$89,3,0)*0.475*44/12</f>
        <v>6.0831980268834496</v>
      </c>
      <c r="AW101" s="21">
        <f>EXP(-LN(2)/2)*AW100+(1-EXP(-LN(2)/2))/(LN(2)/2)*AQ101*AT101*VLOOKUP('Données projet'!$B$10,Paramètres!$A$1:$I$89,3,0)*0.475*44/12</f>
        <v>4.8192734106340747E-12</v>
      </c>
      <c r="AX101" s="21">
        <f t="shared" si="60"/>
        <v>88.660042739354125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319</v>
      </c>
      <c r="BE101" s="13">
        <f>BD101*VLOOKUP('Données projet'!$B$11,Paramètres!$A$1:$I$89,3,0)*VLOOKUP('Données projet'!$B$11,Paramètres!$A$1:$I$89,5,0)</f>
        <v>253.79640000000001</v>
      </c>
      <c r="BF101" s="13">
        <f t="shared" si="91"/>
        <v>61.39816832228076</v>
      </c>
      <c r="BG101" s="20">
        <f t="shared" si="61"/>
        <v>548.96387316130563</v>
      </c>
      <c r="BH101" s="59">
        <f t="shared" si="62"/>
        <v>842.29720649463889</v>
      </c>
      <c r="BI101" s="59">
        <f ca="1">AVERAGE(OFFSET($BH$3,0,0,'Données projet'!$E$11+1,1))-AVERAGE(OFFSET($H$3,0,0,'Données projet'!$E$11+1,1))</f>
        <v>279.49721661620544</v>
      </c>
      <c r="BJ101" s="59">
        <f t="shared" si="92"/>
        <v>275.18739333988754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37.22518277032767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37.22518277032767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732.99999999999966</v>
      </c>
      <c r="BZ101" s="13">
        <f>BY101*VLOOKUP('Données projet'!$B$12,Paramètres!$A$1:$I$89,3,0)*VLOOKUP('Données projet'!$B$12,Paramètres!$A$1:$I$89,5,0)</f>
        <v>352.57299999999987</v>
      </c>
      <c r="CA101" s="13">
        <f t="shared" si="93"/>
        <v>82.092092597941644</v>
      </c>
      <c r="CB101" s="20">
        <f t="shared" si="64"/>
        <v>757.04170294141477</v>
      </c>
      <c r="CC101" s="59">
        <f t="shared" si="65"/>
        <v>1050.375036274748</v>
      </c>
      <c r="CD101" s="59">
        <f ca="1">AVERAGE(OFFSET($CC$3,0,0,'Données projet'!$E$12+1,1))-AVERAGE(OFFSET($H$3,0,0,'Données projet'!$E$12+1,1))</f>
        <v>349.65790906807746</v>
      </c>
      <c r="CE101" s="59">
        <f t="shared" si="94"/>
        <v>291.88925884278888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88.573812980987853</v>
      </c>
      <c r="CL101" s="21">
        <f>EXP(-LN(2)/25)*CL100+(1-EXP(-LN(2)/25))/(LN(2)/25)*Calculateur!CG101*Calculateur!CI101*VLOOKUP('Données projet'!$B$12,Paramètres!$A$1:$I$89,3,0)*0.475*44/12</f>
        <v>6.2521757498524471</v>
      </c>
      <c r="CM101" s="21">
        <f>EXP(-LN(2)/2)*CM100+(1-EXP(-LN(2)/2))/(LN(2)/2)*CG101*CJ101*VLOOKUP('Données projet'!$B$12,Paramètres!$A$1:$I$89,3,0)*0.475*44/12</f>
        <v>2.9718852698910105E-12</v>
      </c>
      <c r="CN101" s="22">
        <f t="shared" si="66"/>
        <v>94.825988730843264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285.99999999999972</v>
      </c>
      <c r="CU101" s="17">
        <f>CT101*VLOOKUP('Données projet'!$B$13,Paramètres!$A$1:$I$89,3,0)*VLOOKUP('Données projet'!$B$13,Paramètres!$A$1:$I$89,5,0)</f>
        <v>223.07999999999979</v>
      </c>
      <c r="CV101" s="13">
        <f t="shared" si="95"/>
        <v>54.783765878062617</v>
      </c>
      <c r="CW101" s="20">
        <f t="shared" si="67"/>
        <v>483.94605890429199</v>
      </c>
      <c r="CX101" s="59">
        <f t="shared" si="68"/>
        <v>777.2793922376253</v>
      </c>
      <c r="CY101" s="59">
        <f ca="1">AVERAGE(OFFSET($CX$3,0,0,'Données projet'!$E$13+1,1))-AVERAGE(OFFSET($H$3,0,0,'Données projet'!$E$13+1,1))</f>
        <v>215.84581110302656</v>
      </c>
      <c r="CZ101" s="59">
        <f t="shared" si="96"/>
        <v>193.88588526156104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33.697109637952131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33.697109637952131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401</v>
      </c>
      <c r="O102" s="13">
        <f>N102*VLOOKUP('Données projet'!$B$9,Paramètres!$A$1:$I$89,3,0)*VLOOKUP('Données projet'!$B$9,Paramètres!$A$1:$I$89,5,0)</f>
        <v>250.22399999999999</v>
      </c>
      <c r="P102" s="13">
        <f t="shared" si="87"/>
        <v>60.633904580527918</v>
      </c>
      <c r="Q102" s="20">
        <f t="shared" si="107"/>
        <v>541.41085047775289</v>
      </c>
      <c r="R102" s="59">
        <f t="shared" si="55"/>
        <v>834.74418381108626</v>
      </c>
      <c r="S102" s="59">
        <f ca="1">AVERAGE(OFFSET($R$3,0,0,'Données projet'!$E$9+1,1))-AVERAGE(OFFSET($H$3,0,0,'Données projet'!$E$9+1,1))</f>
        <v>269.77739619445515</v>
      </c>
      <c r="T102" s="59">
        <f t="shared" si="88"/>
        <v>347.56964743629885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35.373056779120347</v>
      </c>
      <c r="AA102" s="21">
        <f>EXP(-LN(2)/25)*AA101+(1-EXP(-LN(2)/25))/(LN(2)/25)*Calculateur!V102*Calculateur!X102*VLOOKUP('Données projet'!$B$9,Paramètres!$A$1:$I$89,3,0)*0.475*44/12</f>
        <v>13.543356931224691</v>
      </c>
      <c r="AB102" s="21">
        <f>EXP(-LN(2)/2)*AB101+(1-EXP(-LN(2)/2))/(LN(2)/2)*V102*Y102*VLOOKUP('Données projet'!$B$9,Paramètres!$A$1:$I$89,3,0)*0.475*44/12</f>
        <v>1.0223222727154117E-12</v>
      </c>
      <c r="AC102" s="22">
        <f t="shared" si="57"/>
        <v>48.916413710346063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735.00000000000011</v>
      </c>
      <c r="AJ102" s="13">
        <f>AI102*VLOOKUP('Données projet'!$B$10,Paramètres!$A$1:$I$89,3,0)*VLOOKUP('Données projet'!$B$10,Paramètres!$A$1:$I$89,5,0)</f>
        <v>343.98</v>
      </c>
      <c r="AK102" s="13">
        <f t="shared" si="89"/>
        <v>80.321681832084693</v>
      </c>
      <c r="AL102" s="20">
        <f t="shared" si="58"/>
        <v>738.9920958575475</v>
      </c>
      <c r="AM102" s="59">
        <f t="shared" si="59"/>
        <v>1032.3254291908809</v>
      </c>
      <c r="AN102" s="59">
        <f ca="1">AVERAGE(OFFSET($AM$3,0,0,'Données projet'!$E$10+1,1))-AVERAGE(OFFSET($H$3,0,0,'Données projet'!$E$10+1,1))</f>
        <v>342.49944586217674</v>
      </c>
      <c r="AO102" s="59">
        <f t="shared" si="90"/>
        <v>282.29766600872563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80.957563154556354</v>
      </c>
      <c r="AV102" s="21">
        <f>EXP(-LN(2)/25)*AV101+(1-EXP(-LN(2)/25))/(LN(2)/25)*Calculateur!AQ102*Calculateur!AS102*VLOOKUP('Données projet'!$B$10,Paramètres!$A$1:$I$89,3,0)*0.475*44/12</f>
        <v>5.9168526569368405</v>
      </c>
      <c r="AW102" s="21">
        <f>EXP(-LN(2)/2)*AW101+(1-EXP(-LN(2)/2))/(LN(2)/2)*AQ102*AT102*VLOOKUP('Données projet'!$B$10,Paramètres!$A$1:$I$89,3,0)*0.475*44/12</f>
        <v>3.4077409090513753E-12</v>
      </c>
      <c r="AX102" s="21">
        <f t="shared" si="60"/>
        <v>86.874415811496604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319</v>
      </c>
      <c r="BE102" s="13">
        <f>BD102*VLOOKUP('Données projet'!$B$11,Paramètres!$A$1:$I$89,3,0)*VLOOKUP('Données projet'!$B$11,Paramètres!$A$1:$I$89,5,0)</f>
        <v>253.79640000000001</v>
      </c>
      <c r="BF102" s="13">
        <f t="shared" si="91"/>
        <v>61.39816832228076</v>
      </c>
      <c r="BG102" s="20">
        <f t="shared" si="61"/>
        <v>548.96387316130563</v>
      </c>
      <c r="BH102" s="59">
        <f t="shared" si="62"/>
        <v>842.29720649463889</v>
      </c>
      <c r="BI102" s="59">
        <f ca="1">AVERAGE(OFFSET($BH$3,0,0,'Données projet'!$E$11+1,1))-AVERAGE(OFFSET($H$3,0,0,'Données projet'!$E$11+1,1))</f>
        <v>279.49721661620544</v>
      </c>
      <c r="BJ102" s="59">
        <f t="shared" si="92"/>
        <v>275.18739333988754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36.495219641321093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36.495219641321093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732.99999999999966</v>
      </c>
      <c r="BZ102" s="13">
        <f>BY102*VLOOKUP('Données projet'!$B$12,Paramètres!$A$1:$I$89,3,0)*VLOOKUP('Données projet'!$B$12,Paramètres!$A$1:$I$89,5,0)</f>
        <v>352.57299999999987</v>
      </c>
      <c r="CA102" s="13">
        <f t="shared" si="93"/>
        <v>82.092092597941644</v>
      </c>
      <c r="CB102" s="20">
        <f t="shared" si="64"/>
        <v>757.04170294141477</v>
      </c>
      <c r="CC102" s="59">
        <f t="shared" si="65"/>
        <v>1050.375036274748</v>
      </c>
      <c r="CD102" s="59">
        <f ca="1">AVERAGE(OFFSET($CC$3,0,0,'Données projet'!$E$12+1,1))-AVERAGE(OFFSET($H$3,0,0,'Données projet'!$E$12+1,1))</f>
        <v>349.65790906807746</v>
      </c>
      <c r="CE102" s="59">
        <f t="shared" si="94"/>
        <v>291.88925884278888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86.836934533122104</v>
      </c>
      <c r="CL102" s="21">
        <f>EXP(-LN(2)/25)*CL101+(1-EXP(-LN(2)/25))/(LN(2)/25)*Calculateur!CG102*Calculateur!CI102*VLOOKUP('Données projet'!$B$12,Paramètres!$A$1:$I$89,3,0)*0.475*44/12</f>
        <v>6.0812096751850984</v>
      </c>
      <c r="CM102" s="21">
        <f>EXP(-LN(2)/2)*CM101+(1-EXP(-LN(2)/2))/(LN(2)/2)*CG102*CJ102*VLOOKUP('Données projet'!$B$12,Paramètres!$A$1:$I$89,3,0)*0.475*44/12</f>
        <v>2.1014402272483465E-12</v>
      </c>
      <c r="CN102" s="22">
        <f t="shared" si="66"/>
        <v>92.9181442083093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285.99999999999972</v>
      </c>
      <c r="CU102" s="17">
        <f>CT102*VLOOKUP('Données projet'!$B$13,Paramètres!$A$1:$I$89,3,0)*VLOOKUP('Données projet'!$B$13,Paramètres!$A$1:$I$89,5,0)</f>
        <v>223.07999999999979</v>
      </c>
      <c r="CV102" s="13">
        <f t="shared" si="95"/>
        <v>54.783765878062617</v>
      </c>
      <c r="CW102" s="20">
        <f t="shared" si="67"/>
        <v>483.94605890429199</v>
      </c>
      <c r="CX102" s="59">
        <f t="shared" si="68"/>
        <v>777.2793922376253</v>
      </c>
      <c r="CY102" s="59">
        <f ca="1">AVERAGE(OFFSET($CX$3,0,0,'Données projet'!$E$13+1,1))-AVERAGE(OFFSET($H$3,0,0,'Données projet'!$E$13+1,1))</f>
        <v>215.84581110302656</v>
      </c>
      <c r="CZ102" s="59">
        <f t="shared" si="96"/>
        <v>193.88588526156104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33.03632987115931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33.03632987115931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401</v>
      </c>
      <c r="O103" s="13">
        <f>N103*VLOOKUP('Données projet'!$B$9,Paramètres!$A$1:$I$89,3,0)*VLOOKUP('Données projet'!$B$9,Paramètres!$A$1:$I$89,5,0)</f>
        <v>250.22399999999999</v>
      </c>
      <c r="P103" s="13">
        <f t="shared" si="87"/>
        <v>60.633904580527918</v>
      </c>
      <c r="Q103" s="20">
        <f t="shared" si="107"/>
        <v>541.41085047775289</v>
      </c>
      <c r="R103" s="59">
        <f t="shared" si="55"/>
        <v>834.74418381108626</v>
      </c>
      <c r="S103" s="59">
        <f ca="1">AVERAGE(OFFSET($R$3,0,0,'Données projet'!$E$9+1,1))-AVERAGE(OFFSET($H$3,0,0,'Données projet'!$E$9+1,1))</f>
        <v>269.77739619445515</v>
      </c>
      <c r="T103" s="59">
        <f t="shared" si="88"/>
        <v>347.56964743629885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34.679412711116036</v>
      </c>
      <c r="AA103" s="21">
        <f>EXP(-LN(2)/25)*AA102+(1-EXP(-LN(2)/25))/(LN(2)/25)*Calculateur!V103*Calculateur!X103*VLOOKUP('Données projet'!$B$9,Paramètres!$A$1:$I$89,3,0)*0.475*44/12</f>
        <v>13.173013123726165</v>
      </c>
      <c r="AB103" s="21">
        <f>EXP(-LN(2)/2)*AB102+(1-EXP(-LN(2)/2))/(LN(2)/2)*V103*Y103*VLOOKUP('Données projet'!$B$9,Paramètres!$A$1:$I$89,3,0)*0.475*44/12</f>
        <v>7.228910115951106E-13</v>
      </c>
      <c r="AC103" s="22">
        <f t="shared" si="57"/>
        <v>47.852425834842926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735.00000000000011</v>
      </c>
      <c r="AJ103" s="13">
        <f>AI103*VLOOKUP('Données projet'!$B$10,Paramètres!$A$1:$I$89,3,0)*VLOOKUP('Données projet'!$B$10,Paramètres!$A$1:$I$89,5,0)</f>
        <v>343.98</v>
      </c>
      <c r="AK103" s="13">
        <f t="shared" si="89"/>
        <v>80.321681832084693</v>
      </c>
      <c r="AL103" s="20">
        <f t="shared" si="58"/>
        <v>738.9920958575475</v>
      </c>
      <c r="AM103" s="59">
        <f t="shared" si="59"/>
        <v>1032.3254291908809</v>
      </c>
      <c r="AN103" s="59">
        <f ca="1">AVERAGE(OFFSET($AM$3,0,0,'Données projet'!$E$10+1,1))-AVERAGE(OFFSET($H$3,0,0,'Données projet'!$E$10+1,1))</f>
        <v>342.49944586217674</v>
      </c>
      <c r="AO103" s="59">
        <f t="shared" si="90"/>
        <v>282.29766600872563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79.370034720333237</v>
      </c>
      <c r="AV103" s="21">
        <f>EXP(-LN(2)/25)*AV102+(1-EXP(-LN(2)/25))/(LN(2)/25)*Calculateur!AQ103*Calculateur!AS103*VLOOKUP('Données projet'!$B$10,Paramètres!$A$1:$I$89,3,0)*0.475*44/12</f>
        <v>5.7550560098791443</v>
      </c>
      <c r="AW103" s="21">
        <f>EXP(-LN(2)/2)*AW102+(1-EXP(-LN(2)/2))/(LN(2)/2)*AQ103*AT103*VLOOKUP('Données projet'!$B$10,Paramètres!$A$1:$I$89,3,0)*0.475*44/12</f>
        <v>2.4096367053170373E-12</v>
      </c>
      <c r="AX103" s="21">
        <f t="shared" si="60"/>
        <v>85.125090730214794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319</v>
      </c>
      <c r="BE103" s="13">
        <f>BD103*VLOOKUP('Données projet'!$B$11,Paramètres!$A$1:$I$89,3,0)*VLOOKUP('Données projet'!$B$11,Paramètres!$A$1:$I$89,5,0)</f>
        <v>253.79640000000001</v>
      </c>
      <c r="BF103" s="13">
        <f t="shared" si="91"/>
        <v>61.39816832228076</v>
      </c>
      <c r="BG103" s="20">
        <f t="shared" si="61"/>
        <v>548.96387316130563</v>
      </c>
      <c r="BH103" s="59">
        <f t="shared" si="62"/>
        <v>842.29720649463889</v>
      </c>
      <c r="BI103" s="59">
        <f ca="1">AVERAGE(OFFSET($BH$3,0,0,'Données projet'!$E$11+1,1))-AVERAGE(OFFSET($H$3,0,0,'Données projet'!$E$11+1,1))</f>
        <v>279.49721661620544</v>
      </c>
      <c r="BJ103" s="59">
        <f t="shared" si="92"/>
        <v>275.18739333988754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35.779570644040788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35.779570644040788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732.99999999999966</v>
      </c>
      <c r="BZ103" s="13">
        <f>BY103*VLOOKUP('Données projet'!$B$12,Paramètres!$A$1:$I$89,3,0)*VLOOKUP('Données projet'!$B$12,Paramètres!$A$1:$I$89,5,0)</f>
        <v>352.57299999999987</v>
      </c>
      <c r="CA103" s="13">
        <f t="shared" si="93"/>
        <v>82.092092597941644</v>
      </c>
      <c r="CB103" s="20">
        <f t="shared" si="64"/>
        <v>757.04170294141477</v>
      </c>
      <c r="CC103" s="59">
        <f t="shared" si="65"/>
        <v>1050.375036274748</v>
      </c>
      <c r="CD103" s="59">
        <f ca="1">AVERAGE(OFFSET($CC$3,0,0,'Données projet'!$E$12+1,1))-AVERAGE(OFFSET($H$3,0,0,'Données projet'!$E$12+1,1))</f>
        <v>349.65790906807746</v>
      </c>
      <c r="CE103" s="59">
        <f t="shared" si="94"/>
        <v>291.88925884278888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85.134115212227755</v>
      </c>
      <c r="CL103" s="21">
        <f>EXP(-LN(2)/25)*CL102+(1-EXP(-LN(2)/25))/(LN(2)/25)*Calculateur!CG103*Calculateur!CI103*VLOOKUP('Données projet'!$B$12,Paramètres!$A$1:$I$89,3,0)*0.475*44/12</f>
        <v>5.9149186768202435</v>
      </c>
      <c r="CM103" s="21">
        <f>EXP(-LN(2)/2)*CM102+(1-EXP(-LN(2)/2))/(LN(2)/2)*CG103*CJ103*VLOOKUP('Données projet'!$B$12,Paramètres!$A$1:$I$89,3,0)*0.475*44/12</f>
        <v>1.4859426349455053E-12</v>
      </c>
      <c r="CN103" s="22">
        <f t="shared" si="66"/>
        <v>91.049033889049497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285.99999999999972</v>
      </c>
      <c r="CU103" s="17">
        <f>CT103*VLOOKUP('Données projet'!$B$13,Paramètres!$A$1:$I$89,3,0)*VLOOKUP('Données projet'!$B$13,Paramètres!$A$1:$I$89,5,0)</f>
        <v>223.07999999999979</v>
      </c>
      <c r="CV103" s="13">
        <f t="shared" si="95"/>
        <v>54.783765878062617</v>
      </c>
      <c r="CW103" s="20">
        <f t="shared" si="67"/>
        <v>483.94605890429199</v>
      </c>
      <c r="CX103" s="59">
        <f t="shared" si="68"/>
        <v>777.2793922376253</v>
      </c>
      <c r="CY103" s="59">
        <f ca="1">AVERAGE(OFFSET($CX$3,0,0,'Données projet'!$E$13+1,1))-AVERAGE(OFFSET($H$3,0,0,'Données projet'!$E$13+1,1))</f>
        <v>215.84581110302656</v>
      </c>
      <c r="CZ103" s="59">
        <f t="shared" si="96"/>
        <v>193.88588526156104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32.388507592557431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32.388507592557431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401</v>
      </c>
      <c r="O104" s="13">
        <f>N104*VLOOKUP('Données projet'!$B$9,Paramètres!$A$1:$I$89,3,0)*VLOOKUP('Données projet'!$B$9,Paramètres!$A$1:$I$89,5,0)</f>
        <v>250.22399999999999</v>
      </c>
      <c r="P104" s="13">
        <f t="shared" si="87"/>
        <v>60.633904580527918</v>
      </c>
      <c r="Q104" s="20">
        <f t="shared" si="107"/>
        <v>541.41085047775289</v>
      </c>
      <c r="R104" s="59">
        <f t="shared" si="55"/>
        <v>834.74418381108626</v>
      </c>
      <c r="S104" s="59">
        <f ca="1">AVERAGE(OFFSET($R$3,0,0,'Données projet'!$E$9+1,1))-AVERAGE(OFFSET($H$3,0,0,'Données projet'!$E$9+1,1))</f>
        <v>269.77739619445515</v>
      </c>
      <c r="T104" s="59">
        <f t="shared" si="88"/>
        <v>347.56964743629885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33.999370580204186</v>
      </c>
      <c r="AA104" s="21">
        <f>EXP(-LN(2)/25)*AA103+(1-EXP(-LN(2)/25))/(LN(2)/25)*Calculateur!V104*Calculateur!X104*VLOOKUP('Données projet'!$B$9,Paramètres!$A$1:$I$89,3,0)*0.475*44/12</f>
        <v>12.812796387119219</v>
      </c>
      <c r="AB104" s="21">
        <f>EXP(-LN(2)/2)*AB103+(1-EXP(-LN(2)/2))/(LN(2)/2)*V104*Y104*VLOOKUP('Données projet'!$B$9,Paramètres!$A$1:$I$89,3,0)*0.475*44/12</f>
        <v>5.1116113635770585E-13</v>
      </c>
      <c r="AC104" s="22">
        <f t="shared" si="57"/>
        <v>46.812166967323918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735.00000000000011</v>
      </c>
      <c r="AJ104" s="13">
        <f>AI104*VLOOKUP('Données projet'!$B$10,Paramètres!$A$1:$I$89,3,0)*VLOOKUP('Données projet'!$B$10,Paramètres!$A$1:$I$89,5,0)</f>
        <v>343.98</v>
      </c>
      <c r="AK104" s="13">
        <f t="shared" si="89"/>
        <v>80.321681832084693</v>
      </c>
      <c r="AL104" s="20">
        <f t="shared" si="58"/>
        <v>738.9920958575475</v>
      </c>
      <c r="AM104" s="59">
        <f t="shared" si="59"/>
        <v>1032.3254291908809</v>
      </c>
      <c r="AN104" s="59">
        <f ca="1">AVERAGE(OFFSET($AM$3,0,0,'Données projet'!$E$10+1,1))-AVERAGE(OFFSET($H$3,0,0,'Données projet'!$E$10+1,1))</f>
        <v>342.49944586217674</v>
      </c>
      <c r="AO104" s="59">
        <f t="shared" si="90"/>
        <v>282.29766600872563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77.813636750408492</v>
      </c>
      <c r="AV104" s="21">
        <f>EXP(-LN(2)/25)*AV103+(1-EXP(-LN(2)/25))/(LN(2)/25)*Calculateur!AQ104*Calculateur!AS104*VLOOKUP('Données projet'!$B$10,Paramètres!$A$1:$I$89,3,0)*0.475*44/12</f>
        <v>5.5976837006437572</v>
      </c>
      <c r="AW104" s="21">
        <f>EXP(-LN(2)/2)*AW103+(1-EXP(-LN(2)/2))/(LN(2)/2)*AQ104*AT104*VLOOKUP('Données projet'!$B$10,Paramètres!$A$1:$I$89,3,0)*0.475*44/12</f>
        <v>1.7038704545256876E-12</v>
      </c>
      <c r="AX104" s="21">
        <f t="shared" si="60"/>
        <v>83.411320451053953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319</v>
      </c>
      <c r="BE104" s="13">
        <f>BD104*VLOOKUP('Données projet'!$B$11,Paramètres!$A$1:$I$89,3,0)*VLOOKUP('Données projet'!$B$11,Paramètres!$A$1:$I$89,5,0)</f>
        <v>253.79640000000001</v>
      </c>
      <c r="BF104" s="13">
        <f t="shared" si="91"/>
        <v>61.39816832228076</v>
      </c>
      <c r="BG104" s="20">
        <f t="shared" si="61"/>
        <v>548.96387316130563</v>
      </c>
      <c r="BH104" s="59">
        <f t="shared" si="62"/>
        <v>842.29720649463889</v>
      </c>
      <c r="BI104" s="59">
        <f ca="1">AVERAGE(OFFSET($BH$3,0,0,'Données projet'!$E$11+1,1))-AVERAGE(OFFSET($H$3,0,0,'Données projet'!$E$11+1,1))</f>
        <v>279.49721661620544</v>
      </c>
      <c r="BJ104" s="59">
        <f t="shared" si="92"/>
        <v>275.18739333988754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35.077955087094359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35.077955087094359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732.99999999999966</v>
      </c>
      <c r="BZ104" s="13">
        <f>BY104*VLOOKUP('Données projet'!$B$12,Paramètres!$A$1:$I$89,3,0)*VLOOKUP('Données projet'!$B$12,Paramètres!$A$1:$I$89,5,0)</f>
        <v>352.57299999999987</v>
      </c>
      <c r="CA104" s="13">
        <f t="shared" si="93"/>
        <v>82.092092597941644</v>
      </c>
      <c r="CB104" s="20">
        <f t="shared" si="64"/>
        <v>757.04170294141477</v>
      </c>
      <c r="CC104" s="59">
        <f t="shared" si="65"/>
        <v>1050.375036274748</v>
      </c>
      <c r="CD104" s="59">
        <f ca="1">AVERAGE(OFFSET($CC$3,0,0,'Données projet'!$E$12+1,1))-AVERAGE(OFFSET($H$3,0,0,'Données projet'!$E$12+1,1))</f>
        <v>349.65790906807746</v>
      </c>
      <c r="CE104" s="59">
        <f t="shared" si="94"/>
        <v>291.88925884278888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83.464687139598908</v>
      </c>
      <c r="CL104" s="21">
        <f>EXP(-LN(2)/25)*CL103+(1-EXP(-LN(2)/25))/(LN(2)/25)*Calculateur!CG104*Calculateur!CI104*VLOOKUP('Données projet'!$B$12,Paramètres!$A$1:$I$89,3,0)*0.475*44/12</f>
        <v>5.7531749145505398</v>
      </c>
      <c r="CM104" s="21">
        <f>EXP(-LN(2)/2)*CM103+(1-EXP(-LN(2)/2))/(LN(2)/2)*CG104*CJ104*VLOOKUP('Données projet'!$B$12,Paramètres!$A$1:$I$89,3,0)*0.475*44/12</f>
        <v>1.0507201136241732E-12</v>
      </c>
      <c r="CN104" s="22">
        <f t="shared" si="66"/>
        <v>89.217862054150501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285.99999999999972</v>
      </c>
      <c r="CU104" s="17">
        <f>CT104*VLOOKUP('Données projet'!$B$13,Paramètres!$A$1:$I$89,3,0)*VLOOKUP('Données projet'!$B$13,Paramètres!$A$1:$I$89,5,0)</f>
        <v>223.07999999999979</v>
      </c>
      <c r="CV104" s="13">
        <f t="shared" si="95"/>
        <v>54.783765878062617</v>
      </c>
      <c r="CW104" s="20">
        <f t="shared" si="67"/>
        <v>483.94605890429199</v>
      </c>
      <c r="CX104" s="59">
        <f t="shared" si="68"/>
        <v>777.2793922376253</v>
      </c>
      <c r="CY104" s="59">
        <f ca="1">AVERAGE(OFFSET($CX$3,0,0,'Données projet'!$E$13+1,1))-AVERAGE(OFFSET($H$3,0,0,'Données projet'!$E$13+1,1))</f>
        <v>215.84581110302656</v>
      </c>
      <c r="CZ104" s="59">
        <f t="shared" si="96"/>
        <v>193.88588526156104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31.753388713706364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31.753388713706364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401</v>
      </c>
      <c r="O105" s="13">
        <f>N105*VLOOKUP('Données projet'!$B$9,Paramètres!$A$1:$I$89,3,0)*VLOOKUP('Données projet'!$B$9,Paramètres!$A$1:$I$89,5,0)</f>
        <v>250.22399999999999</v>
      </c>
      <c r="P105" s="13">
        <f t="shared" si="87"/>
        <v>60.633904580527918</v>
      </c>
      <c r="Q105" s="20">
        <f t="shared" si="107"/>
        <v>541.41085047775289</v>
      </c>
      <c r="R105" s="59">
        <f t="shared" si="55"/>
        <v>834.74418381108626</v>
      </c>
      <c r="S105" s="59">
        <f ca="1">AVERAGE(OFFSET($R$3,0,0,'Données projet'!$E$9+1,1))-AVERAGE(OFFSET($H$3,0,0,'Données projet'!$E$9+1,1))</f>
        <v>269.77739619445515</v>
      </c>
      <c r="T105" s="59">
        <f t="shared" si="88"/>
        <v>347.56964743629885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33.33266366069477</v>
      </c>
      <c r="AA105" s="21">
        <f>EXP(-LN(2)/25)*AA104+(1-EXP(-LN(2)/25))/(LN(2)/25)*Calculateur!V105*Calculateur!X105*VLOOKUP('Données projet'!$B$9,Paramètres!$A$1:$I$89,3,0)*0.475*44/12</f>
        <v>12.462429796117766</v>
      </c>
      <c r="AB105" s="21">
        <f>EXP(-LN(2)/2)*AB104+(1-EXP(-LN(2)/2))/(LN(2)/2)*V105*Y105*VLOOKUP('Données projet'!$B$9,Paramètres!$A$1:$I$89,3,0)*0.475*44/12</f>
        <v>3.614455057975553E-13</v>
      </c>
      <c r="AC105" s="22">
        <f t="shared" si="57"/>
        <v>45.7950934568129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735.00000000000011</v>
      </c>
      <c r="AJ105" s="13">
        <f>AI105*VLOOKUP('Données projet'!$B$10,Paramètres!$A$1:$I$89,3,0)*VLOOKUP('Données projet'!$B$10,Paramètres!$A$1:$I$89,5,0)</f>
        <v>343.98</v>
      </c>
      <c r="AK105" s="13">
        <f t="shared" si="89"/>
        <v>80.321681832084693</v>
      </c>
      <c r="AL105" s="20">
        <f t="shared" si="58"/>
        <v>738.9920958575475</v>
      </c>
      <c r="AM105" s="59">
        <f t="shared" si="59"/>
        <v>1032.3254291908809</v>
      </c>
      <c r="AN105" s="59">
        <f ca="1">AVERAGE(OFFSET($AM$3,0,0,'Données projet'!$E$10+1,1))-AVERAGE(OFFSET($H$3,0,0,'Données projet'!$E$10+1,1))</f>
        <v>342.49944586217674</v>
      </c>
      <c r="AO105" s="59">
        <f t="shared" si="90"/>
        <v>282.29766600872563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76.287758795364951</v>
      </c>
      <c r="AV105" s="21">
        <f>EXP(-LN(2)/25)*AV104+(1-EXP(-LN(2)/25))/(LN(2)/25)*Calculateur!AQ105*Calculateur!AS105*VLOOKUP('Données projet'!$B$10,Paramètres!$A$1:$I$89,3,0)*0.475*44/12</f>
        <v>5.4446147454802611</v>
      </c>
      <c r="AW105" s="21">
        <f>EXP(-LN(2)/2)*AW104+(1-EXP(-LN(2)/2))/(LN(2)/2)*AQ105*AT105*VLOOKUP('Données projet'!$B$10,Paramètres!$A$1:$I$89,3,0)*0.475*44/12</f>
        <v>1.2048183526585187E-12</v>
      </c>
      <c r="AX105" s="21">
        <f t="shared" si="60"/>
        <v>81.732373540846424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319</v>
      </c>
      <c r="BE105" s="13">
        <f>BD105*VLOOKUP('Données projet'!$B$11,Paramètres!$A$1:$I$89,3,0)*VLOOKUP('Données projet'!$B$11,Paramètres!$A$1:$I$89,5,0)</f>
        <v>253.79640000000001</v>
      </c>
      <c r="BF105" s="13">
        <f t="shared" si="91"/>
        <v>61.39816832228076</v>
      </c>
      <c r="BG105" s="20">
        <f t="shared" si="61"/>
        <v>548.96387316130563</v>
      </c>
      <c r="BH105" s="59">
        <f t="shared" si="62"/>
        <v>842.29720649463889</v>
      </c>
      <c r="BI105" s="59">
        <f ca="1">AVERAGE(OFFSET($BH$3,0,0,'Données projet'!$E$11+1,1))-AVERAGE(OFFSET($H$3,0,0,'Données projet'!$E$11+1,1))</f>
        <v>279.49721661620544</v>
      </c>
      <c r="BJ105" s="59">
        <f t="shared" si="92"/>
        <v>275.18739333988754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34.390097783276417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34.390097783276417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732.99999999999966</v>
      </c>
      <c r="BZ105" s="13">
        <f>BY105*VLOOKUP('Données projet'!$B$12,Paramètres!$A$1:$I$89,3,0)*VLOOKUP('Données projet'!$B$12,Paramètres!$A$1:$I$89,5,0)</f>
        <v>352.57299999999987</v>
      </c>
      <c r="CA105" s="13">
        <f t="shared" si="93"/>
        <v>82.092092597941644</v>
      </c>
      <c r="CB105" s="20">
        <f t="shared" si="64"/>
        <v>757.04170294141477</v>
      </c>
      <c r="CC105" s="59">
        <f t="shared" si="65"/>
        <v>1050.375036274748</v>
      </c>
      <c r="CD105" s="59">
        <f ca="1">AVERAGE(OFFSET($CC$3,0,0,'Données projet'!$E$12+1,1))-AVERAGE(OFFSET($H$3,0,0,'Données projet'!$E$12+1,1))</f>
        <v>349.65790906807746</v>
      </c>
      <c r="CE105" s="59">
        <f t="shared" si="94"/>
        <v>291.88925884278888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81.827995533223742</v>
      </c>
      <c r="CL105" s="21">
        <f>EXP(-LN(2)/25)*CL104+(1-EXP(-LN(2)/25))/(LN(2)/25)*Calculateur!CG105*Calculateur!CI105*VLOOKUP('Données projet'!$B$12,Paramètres!$A$1:$I$89,3,0)*0.475*44/12</f>
        <v>5.5958540439658355</v>
      </c>
      <c r="CM105" s="21">
        <f>EXP(-LN(2)/2)*CM104+(1-EXP(-LN(2)/2))/(LN(2)/2)*CG105*CJ105*VLOOKUP('Données projet'!$B$12,Paramètres!$A$1:$I$89,3,0)*0.475*44/12</f>
        <v>7.4297131747275263E-13</v>
      </c>
      <c r="CN105" s="22">
        <f t="shared" si="66"/>
        <v>87.42384957719031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285.99999999999972</v>
      </c>
      <c r="CU105" s="17">
        <f>CT105*VLOOKUP('Données projet'!$B$13,Paramètres!$A$1:$I$89,3,0)*VLOOKUP('Données projet'!$B$13,Paramètres!$A$1:$I$89,5,0)</f>
        <v>223.07999999999979</v>
      </c>
      <c r="CV105" s="13">
        <f t="shared" si="95"/>
        <v>54.783765878062617</v>
      </c>
      <c r="CW105" s="20">
        <f t="shared" si="67"/>
        <v>483.94605890429199</v>
      </c>
      <c r="CX105" s="59">
        <f t="shared" si="68"/>
        <v>777.2793922376253</v>
      </c>
      <c r="CY105" s="59">
        <f ca="1">AVERAGE(OFFSET($CX$3,0,0,'Données projet'!$E$13+1,1))-AVERAGE(OFFSET($H$3,0,0,'Données projet'!$E$13+1,1))</f>
        <v>215.84581110302656</v>
      </c>
      <c r="CZ105" s="59">
        <f t="shared" si="96"/>
        <v>193.88588526156104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31.130724128685301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31.130724128685301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401</v>
      </c>
      <c r="O106" s="13">
        <f>N106*VLOOKUP('Données projet'!$B$9,Paramètres!$A$1:$I$89,3,0)*VLOOKUP('Données projet'!$B$9,Paramètres!$A$1:$I$89,5,0)</f>
        <v>250.22399999999999</v>
      </c>
      <c r="P106" s="13">
        <f t="shared" si="87"/>
        <v>60.633904580527918</v>
      </c>
      <c r="Q106" s="20">
        <f t="shared" si="107"/>
        <v>541.41085047775289</v>
      </c>
      <c r="R106" s="59">
        <f t="shared" si="55"/>
        <v>834.74418381108626</v>
      </c>
      <c r="S106" s="59">
        <f ca="1">AVERAGE(OFFSET($R$3,0,0,'Données projet'!$E$9+1,1))-AVERAGE(OFFSET($H$3,0,0,'Données projet'!$E$9+1,1))</f>
        <v>269.77739619445515</v>
      </c>
      <c r="T106" s="59">
        <f t="shared" si="88"/>
        <v>347.56964743629885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32.679030457225871</v>
      </c>
      <c r="AA106" s="21">
        <f>EXP(-LN(2)/25)*AA105+(1-EXP(-LN(2)/25))/(LN(2)/25)*Calculateur!V106*Calculateur!X106*VLOOKUP('Données projet'!$B$9,Paramètres!$A$1:$I$89,3,0)*0.475*44/12</f>
        <v>12.121643997972226</v>
      </c>
      <c r="AB106" s="21">
        <f>EXP(-LN(2)/2)*AB105+(1-EXP(-LN(2)/2))/(LN(2)/2)*V106*Y106*VLOOKUP('Données projet'!$B$9,Paramètres!$A$1:$I$89,3,0)*0.475*44/12</f>
        <v>2.5558056817885292E-13</v>
      </c>
      <c r="AC106" s="22">
        <f t="shared" si="57"/>
        <v>44.800674455198354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735.00000000000011</v>
      </c>
      <c r="AJ106" s="13">
        <f>AI106*VLOOKUP('Données projet'!$B$10,Paramètres!$A$1:$I$89,3,0)*VLOOKUP('Données projet'!$B$10,Paramètres!$A$1:$I$89,5,0)</f>
        <v>343.98</v>
      </c>
      <c r="AK106" s="13">
        <f t="shared" si="89"/>
        <v>80.321681832084693</v>
      </c>
      <c r="AL106" s="20">
        <f t="shared" si="58"/>
        <v>738.9920958575475</v>
      </c>
      <c r="AM106" s="59">
        <f t="shared" si="59"/>
        <v>1032.3254291908809</v>
      </c>
      <c r="AN106" s="59">
        <f ca="1">AVERAGE(OFFSET($AM$3,0,0,'Données projet'!$E$10+1,1))-AVERAGE(OFFSET($H$3,0,0,'Données projet'!$E$10+1,1))</f>
        <v>342.49944586217674</v>
      </c>
      <c r="AO106" s="59">
        <f t="shared" si="90"/>
        <v>282.29766600872563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74.79180237632616</v>
      </c>
      <c r="AV106" s="21">
        <f>EXP(-LN(2)/25)*AV105+(1-EXP(-LN(2)/25))/(LN(2)/25)*Calculateur!AQ106*Calculateur!AS106*VLOOKUP('Données projet'!$B$10,Paramètres!$A$1:$I$89,3,0)*0.475*44/12</f>
        <v>5.2957314689452577</v>
      </c>
      <c r="AW106" s="21">
        <f>EXP(-LN(2)/2)*AW105+(1-EXP(-LN(2)/2))/(LN(2)/2)*AQ106*AT106*VLOOKUP('Données projet'!$B$10,Paramètres!$A$1:$I$89,3,0)*0.475*44/12</f>
        <v>8.5193522726284382E-13</v>
      </c>
      <c r="AX106" s="21">
        <f t="shared" si="60"/>
        <v>80.087533845272276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319</v>
      </c>
      <c r="BE106" s="13">
        <f>BD106*VLOOKUP('Données projet'!$B$11,Paramètres!$A$1:$I$89,3,0)*VLOOKUP('Données projet'!$B$11,Paramètres!$A$1:$I$89,5,0)</f>
        <v>253.79640000000001</v>
      </c>
      <c r="BF106" s="13">
        <f t="shared" si="91"/>
        <v>61.39816832228076</v>
      </c>
      <c r="BG106" s="20">
        <f t="shared" si="61"/>
        <v>548.96387316130563</v>
      </c>
      <c r="BH106" s="59">
        <f t="shared" si="62"/>
        <v>842.29720649463889</v>
      </c>
      <c r="BI106" s="59">
        <f ca="1">AVERAGE(OFFSET($BH$3,0,0,'Données projet'!$E$11+1,1))-AVERAGE(OFFSET($H$3,0,0,'Données projet'!$E$11+1,1))</f>
        <v>279.49721661620544</v>
      </c>
      <c r="BJ106" s="59">
        <f t="shared" si="92"/>
        <v>275.18739333988754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33.715728941634815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33.715728941634815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732.99999999999966</v>
      </c>
      <c r="BZ106" s="13">
        <f>BY106*VLOOKUP('Données projet'!$B$12,Paramètres!$A$1:$I$89,3,0)*VLOOKUP('Données projet'!$B$12,Paramètres!$A$1:$I$89,5,0)</f>
        <v>352.57299999999987</v>
      </c>
      <c r="CA106" s="13">
        <f t="shared" si="93"/>
        <v>82.092092597941644</v>
      </c>
      <c r="CB106" s="20">
        <f t="shared" si="64"/>
        <v>757.04170294141477</v>
      </c>
      <c r="CC106" s="59">
        <f t="shared" si="65"/>
        <v>1050.375036274748</v>
      </c>
      <c r="CD106" s="59">
        <f ca="1">AVERAGE(OFFSET($CC$3,0,0,'Données projet'!$E$12+1,1))-AVERAGE(OFFSET($H$3,0,0,'Données projet'!$E$12+1,1))</f>
        <v>349.65790906807746</v>
      </c>
      <c r="CE106" s="59">
        <f t="shared" si="94"/>
        <v>291.88925884278888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80.223398450966286</v>
      </c>
      <c r="CL106" s="21">
        <f>EXP(-LN(2)/25)*CL105+(1-EXP(-LN(2)/25))/(LN(2)/25)*Calculateur!CG106*Calculateur!CI106*VLOOKUP('Données projet'!$B$12,Paramètres!$A$1:$I$89,3,0)*0.475*44/12</f>
        <v>5.4428351208604147</v>
      </c>
      <c r="CM106" s="21">
        <f>EXP(-LN(2)/2)*CM105+(1-EXP(-LN(2)/2))/(LN(2)/2)*CG106*CJ106*VLOOKUP('Données projet'!$B$12,Paramètres!$A$1:$I$89,3,0)*0.475*44/12</f>
        <v>5.2536005681208662E-13</v>
      </c>
      <c r="CN106" s="22">
        <f t="shared" si="66"/>
        <v>85.66623357182722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285.99999999999972</v>
      </c>
      <c r="CU106" s="17">
        <f>CT106*VLOOKUP('Données projet'!$B$13,Paramètres!$A$1:$I$89,3,0)*VLOOKUP('Données projet'!$B$13,Paramètres!$A$1:$I$89,5,0)</f>
        <v>223.07999999999979</v>
      </c>
      <c r="CV106" s="13">
        <f t="shared" si="95"/>
        <v>54.783765878062617</v>
      </c>
      <c r="CW106" s="20">
        <f t="shared" si="67"/>
        <v>483.94605890429199</v>
      </c>
      <c r="CX106" s="59">
        <f t="shared" si="68"/>
        <v>777.2793922376253</v>
      </c>
      <c r="CY106" s="59">
        <f ca="1">AVERAGE(OFFSET($CX$3,0,0,'Données projet'!$E$13+1,1))-AVERAGE(OFFSET($H$3,0,0,'Données projet'!$E$13+1,1))</f>
        <v>215.84581110302656</v>
      </c>
      <c r="CZ106" s="59">
        <f t="shared" si="96"/>
        <v>193.88588526156104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30.520269616388607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30.520269616388607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401</v>
      </c>
      <c r="O107" s="13">
        <f>N107*VLOOKUP('Données projet'!$B$9,Paramètres!$A$1:$I$89,3,0)*VLOOKUP('Données projet'!$B$9,Paramètres!$A$1:$I$89,5,0)</f>
        <v>250.22399999999999</v>
      </c>
      <c r="P107" s="13">
        <f t="shared" si="87"/>
        <v>60.633904580527918</v>
      </c>
      <c r="Q107" s="20">
        <f t="shared" si="107"/>
        <v>541.41085047775289</v>
      </c>
      <c r="R107" s="59">
        <f t="shared" si="55"/>
        <v>834.74418381108626</v>
      </c>
      <c r="S107" s="59">
        <f ca="1">AVERAGE(OFFSET($R$3,0,0,'Données projet'!$E$9+1,1))-AVERAGE(OFFSET($H$3,0,0,'Données projet'!$E$9+1,1))</f>
        <v>269.77739619445515</v>
      </c>
      <c r="T107" s="59">
        <f t="shared" si="88"/>
        <v>347.56964743629885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32.038214602200107</v>
      </c>
      <c r="AA107" s="21">
        <f>EXP(-LN(2)/25)*AA106+(1-EXP(-LN(2)/25))/(LN(2)/25)*Calculateur!V107*Calculateur!X107*VLOOKUP('Données projet'!$B$9,Paramètres!$A$1:$I$89,3,0)*0.475*44/12</f>
        <v>11.790177005398123</v>
      </c>
      <c r="AB107" s="21">
        <f>EXP(-LN(2)/2)*AB106+(1-EXP(-LN(2)/2))/(LN(2)/2)*V107*Y107*VLOOKUP('Données projet'!$B$9,Paramètres!$A$1:$I$89,3,0)*0.475*44/12</f>
        <v>1.8072275289877765E-13</v>
      </c>
      <c r="AC107" s="22">
        <f t="shared" si="57"/>
        <v>43.828391607598405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735.00000000000011</v>
      </c>
      <c r="AJ107" s="13">
        <f>AI107*VLOOKUP('Données projet'!$B$10,Paramètres!$A$1:$I$89,3,0)*VLOOKUP('Données projet'!$B$10,Paramètres!$A$1:$I$89,5,0)</f>
        <v>343.98</v>
      </c>
      <c r="AK107" s="13">
        <f t="shared" si="89"/>
        <v>80.321681832084693</v>
      </c>
      <c r="AL107" s="20">
        <f t="shared" si="58"/>
        <v>738.9920958575475</v>
      </c>
      <c r="AM107" s="59">
        <f t="shared" si="59"/>
        <v>1032.3254291908809</v>
      </c>
      <c r="AN107" s="59">
        <f ca="1">AVERAGE(OFFSET($AM$3,0,0,'Données projet'!$E$10+1,1))-AVERAGE(OFFSET($H$3,0,0,'Données projet'!$E$10+1,1))</f>
        <v>342.49944586217674</v>
      </c>
      <c r="AO107" s="59">
        <f t="shared" si="90"/>
        <v>282.29766600872563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73.325180750221406</v>
      </c>
      <c r="AV107" s="21">
        <f>EXP(-LN(2)/25)*AV106+(1-EXP(-LN(2)/25))/(LN(2)/25)*Calculateur!AQ107*Calculateur!AS107*VLOOKUP('Données projet'!$B$10,Paramètres!$A$1:$I$89,3,0)*0.475*44/12</f>
        <v>5.1509194134365348</v>
      </c>
      <c r="AW107" s="21">
        <f>EXP(-LN(2)/2)*AW106+(1-EXP(-LN(2)/2))/(LN(2)/2)*AQ107*AT107*VLOOKUP('Données projet'!$B$10,Paramètres!$A$1:$I$89,3,0)*0.475*44/12</f>
        <v>6.0240917632925934E-13</v>
      </c>
      <c r="AX107" s="21">
        <f t="shared" si="60"/>
        <v>78.476100163658543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319</v>
      </c>
      <c r="BE107" s="13">
        <f>BD107*VLOOKUP('Données projet'!$B$11,Paramètres!$A$1:$I$89,3,0)*VLOOKUP('Données projet'!$B$11,Paramètres!$A$1:$I$89,5,0)</f>
        <v>253.79640000000001</v>
      </c>
      <c r="BF107" s="13">
        <f t="shared" si="91"/>
        <v>61.39816832228076</v>
      </c>
      <c r="BG107" s="20">
        <f t="shared" si="61"/>
        <v>548.96387316130563</v>
      </c>
      <c r="BH107" s="59">
        <f t="shared" si="62"/>
        <v>842.29720649463889</v>
      </c>
      <c r="BI107" s="59">
        <f ca="1">AVERAGE(OFFSET($BH$3,0,0,'Données projet'!$E$11+1,1))-AVERAGE(OFFSET($H$3,0,0,'Données projet'!$E$11+1,1))</f>
        <v>279.49721661620544</v>
      </c>
      <c r="BJ107" s="59">
        <f t="shared" si="92"/>
        <v>275.18739333988754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33.054584061653429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33.054584061653429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732.99999999999966</v>
      </c>
      <c r="BZ107" s="13">
        <f>BY107*VLOOKUP('Données projet'!$B$12,Paramètres!$A$1:$I$89,3,0)*VLOOKUP('Données projet'!$B$12,Paramètres!$A$1:$I$89,5,0)</f>
        <v>352.57299999999987</v>
      </c>
      <c r="CA107" s="13">
        <f t="shared" si="93"/>
        <v>82.092092597941644</v>
      </c>
      <c r="CB107" s="20">
        <f t="shared" si="64"/>
        <v>757.04170294141477</v>
      </c>
      <c r="CC107" s="59">
        <f t="shared" si="65"/>
        <v>1050.375036274748</v>
      </c>
      <c r="CD107" s="59">
        <f ca="1">AVERAGE(OFFSET($CC$3,0,0,'Données projet'!$E$12+1,1))-AVERAGE(OFFSET($H$3,0,0,'Données projet'!$E$12+1,1))</f>
        <v>349.65790906807746</v>
      </c>
      <c r="CE107" s="59">
        <f t="shared" si="94"/>
        <v>291.88925884278888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78.650266538784308</v>
      </c>
      <c r="CL107" s="21">
        <f>EXP(-LN(2)/25)*CL106+(1-EXP(-LN(2)/25))/(LN(2)/25)*Calculateur!CG107*Calculateur!CI107*VLOOKUP('Données projet'!$B$12,Paramètres!$A$1:$I$89,3,0)*0.475*44/12</f>
        <v>5.2940005082542276</v>
      </c>
      <c r="CM107" s="21">
        <f>EXP(-LN(2)/2)*CM106+(1-EXP(-LN(2)/2))/(LN(2)/2)*CG107*CJ107*VLOOKUP('Données projet'!$B$12,Paramètres!$A$1:$I$89,3,0)*0.475*44/12</f>
        <v>3.7148565873637631E-13</v>
      </c>
      <c r="CN107" s="22">
        <f t="shared" si="66"/>
        <v>83.944267047038906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285.99999999999972</v>
      </c>
      <c r="CU107" s="17">
        <f>CT107*VLOOKUP('Données projet'!$B$13,Paramètres!$A$1:$I$89,3,0)*VLOOKUP('Données projet'!$B$13,Paramètres!$A$1:$I$89,5,0)</f>
        <v>223.07999999999979</v>
      </c>
      <c r="CV107" s="13">
        <f t="shared" si="95"/>
        <v>54.783765878062617</v>
      </c>
      <c r="CW107" s="20">
        <f t="shared" si="67"/>
        <v>483.94605890429199</v>
      </c>
      <c r="CX107" s="59">
        <f t="shared" si="68"/>
        <v>777.2793922376253</v>
      </c>
      <c r="CY107" s="59">
        <f ca="1">AVERAGE(OFFSET($CX$3,0,0,'Données projet'!$E$13+1,1))-AVERAGE(OFFSET($H$3,0,0,'Données projet'!$E$13+1,1))</f>
        <v>215.84581110302656</v>
      </c>
      <c r="CZ107" s="59">
        <f t="shared" si="96"/>
        <v>193.88588526156104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29.921785744737562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29.921785744737562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401</v>
      </c>
      <c r="O108" s="13">
        <f>N108*VLOOKUP('Données projet'!$B$9,Paramètres!$A$1:$I$89,3,0)*VLOOKUP('Données projet'!$B$9,Paramètres!$A$1:$I$89,5,0)</f>
        <v>250.22399999999999</v>
      </c>
      <c r="P108" s="13">
        <f t="shared" si="87"/>
        <v>60.633904580527918</v>
      </c>
      <c r="Q108" s="20">
        <f t="shared" si="107"/>
        <v>541.41085047775289</v>
      </c>
      <c r="R108" s="59">
        <f t="shared" si="55"/>
        <v>834.74418381108626</v>
      </c>
      <c r="S108" s="59">
        <f ca="1">AVERAGE(OFFSET($R$3,0,0,'Données projet'!$E$9+1,1))-AVERAGE(OFFSET($H$3,0,0,'Données projet'!$E$9+1,1))</f>
        <v>269.77739619445515</v>
      </c>
      <c r="T108" s="59">
        <f t="shared" si="88"/>
        <v>347.56964743629885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31.40996475523232</v>
      </c>
      <c r="AA108" s="21">
        <f>EXP(-LN(2)/25)*AA107+(1-EXP(-LN(2)/25))/(LN(2)/25)*Calculateur!V108*Calculateur!X108*VLOOKUP('Données projet'!$B$9,Paramètres!$A$1:$I$89,3,0)*0.475*44/12</f>
        <v>11.467773995167049</v>
      </c>
      <c r="AB108" s="21">
        <f>EXP(-LN(2)/2)*AB107+(1-EXP(-LN(2)/2))/(LN(2)/2)*V108*Y108*VLOOKUP('Données projet'!$B$9,Paramètres!$A$1:$I$89,3,0)*0.475*44/12</f>
        <v>1.2779028408942646E-13</v>
      </c>
      <c r="AC108" s="22">
        <f t="shared" si="57"/>
        <v>42.877738750399494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735.00000000000011</v>
      </c>
      <c r="AJ108" s="13">
        <f>AI108*VLOOKUP('Données projet'!$B$10,Paramètres!$A$1:$I$89,3,0)*VLOOKUP('Données projet'!$B$10,Paramètres!$A$1:$I$89,5,0)</f>
        <v>343.98</v>
      </c>
      <c r="AK108" s="13">
        <f t="shared" si="89"/>
        <v>80.321681832084693</v>
      </c>
      <c r="AL108" s="20">
        <f t="shared" si="58"/>
        <v>738.9920958575475</v>
      </c>
      <c r="AM108" s="59">
        <f t="shared" si="59"/>
        <v>1032.3254291908809</v>
      </c>
      <c r="AN108" s="59">
        <f ca="1">AVERAGE(OFFSET($AM$3,0,0,'Données projet'!$E$10+1,1))-AVERAGE(OFFSET($H$3,0,0,'Données projet'!$E$10+1,1))</f>
        <v>342.49944586217674</v>
      </c>
      <c r="AO108" s="59">
        <f t="shared" si="90"/>
        <v>282.29766600872563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71.887318679653703</v>
      </c>
      <c r="AV108" s="21">
        <f>EXP(-LN(2)/25)*AV107+(1-EXP(-LN(2)/25))/(LN(2)/25)*Calculateur!AQ108*Calculateur!AS108*VLOOKUP('Données projet'!$B$10,Paramètres!$A$1:$I$89,3,0)*0.475*44/12</f>
        <v>5.0100672512010336</v>
      </c>
      <c r="AW108" s="21">
        <f>EXP(-LN(2)/2)*AW107+(1-EXP(-LN(2)/2))/(LN(2)/2)*AQ108*AT108*VLOOKUP('Données projet'!$B$10,Paramètres!$A$1:$I$89,3,0)*0.475*44/12</f>
        <v>4.2596761363142191E-13</v>
      </c>
      <c r="AX108" s="21">
        <f t="shared" si="60"/>
        <v>76.897385930855165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319</v>
      </c>
      <c r="BE108" s="13">
        <f>BD108*VLOOKUP('Données projet'!$B$11,Paramètres!$A$1:$I$89,3,0)*VLOOKUP('Données projet'!$B$11,Paramètres!$A$1:$I$89,5,0)</f>
        <v>253.79640000000001</v>
      </c>
      <c r="BF108" s="13">
        <f t="shared" si="91"/>
        <v>61.39816832228076</v>
      </c>
      <c r="BG108" s="20">
        <f t="shared" si="61"/>
        <v>548.96387316130563</v>
      </c>
      <c r="BH108" s="59">
        <f t="shared" si="62"/>
        <v>842.29720649463889</v>
      </c>
      <c r="BI108" s="59">
        <f ca="1">AVERAGE(OFFSET($BH$3,0,0,'Données projet'!$E$11+1,1))-AVERAGE(OFFSET($H$3,0,0,'Données projet'!$E$11+1,1))</f>
        <v>279.49721661620544</v>
      </c>
      <c r="BJ108" s="59">
        <f t="shared" si="92"/>
        <v>275.18739333988754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32.406403829509919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32.406403829509919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732.99999999999966</v>
      </c>
      <c r="BZ108" s="13">
        <f>BY108*VLOOKUP('Données projet'!$B$12,Paramètres!$A$1:$I$89,3,0)*VLOOKUP('Données projet'!$B$12,Paramètres!$A$1:$I$89,5,0)</f>
        <v>352.57299999999987</v>
      </c>
      <c r="CA108" s="13">
        <f t="shared" si="93"/>
        <v>82.092092597941644</v>
      </c>
      <c r="CB108" s="20">
        <f t="shared" si="64"/>
        <v>757.04170294141477</v>
      </c>
      <c r="CC108" s="59">
        <f t="shared" si="65"/>
        <v>1050.375036274748</v>
      </c>
      <c r="CD108" s="59">
        <f ca="1">AVERAGE(OFFSET($CC$3,0,0,'Données projet'!$E$12+1,1))-AVERAGE(OFFSET($H$3,0,0,'Données projet'!$E$12+1,1))</f>
        <v>349.65790906807746</v>
      </c>
      <c r="CE108" s="59">
        <f t="shared" si="94"/>
        <v>291.88925884278888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77.107982783884509</v>
      </c>
      <c r="CL108" s="21">
        <f>EXP(-LN(2)/25)*CL107+(1-EXP(-LN(2)/25))/(LN(2)/25)*Calculateur!CG108*Calculateur!CI108*VLOOKUP('Données projet'!$B$12,Paramètres!$A$1:$I$89,3,0)*0.475*44/12</f>
        <v>5.1492357859566287</v>
      </c>
      <c r="CM108" s="21">
        <f>EXP(-LN(2)/2)*CM107+(1-EXP(-LN(2)/2))/(LN(2)/2)*CG108*CJ108*VLOOKUP('Données projet'!$B$12,Paramètres!$A$1:$I$89,3,0)*0.475*44/12</f>
        <v>2.6268002840604331E-13</v>
      </c>
      <c r="CN108" s="22">
        <f t="shared" si="66"/>
        <v>82.257218569841399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285.99999999999972</v>
      </c>
      <c r="CU108" s="17">
        <f>CT108*VLOOKUP('Données projet'!$B$13,Paramètres!$A$1:$I$89,3,0)*VLOOKUP('Données projet'!$B$13,Paramètres!$A$1:$I$89,5,0)</f>
        <v>223.07999999999979</v>
      </c>
      <c r="CV108" s="13">
        <f t="shared" si="95"/>
        <v>54.783765878062617</v>
      </c>
      <c r="CW108" s="20">
        <f t="shared" si="67"/>
        <v>483.94605890429199</v>
      </c>
      <c r="CX108" s="59">
        <f t="shared" si="68"/>
        <v>777.2793922376253</v>
      </c>
      <c r="CY108" s="59">
        <f ca="1">AVERAGE(OFFSET($CX$3,0,0,'Données projet'!$E$13+1,1))-AVERAGE(OFFSET($H$3,0,0,'Données projet'!$E$13+1,1))</f>
        <v>215.84581110302656</v>
      </c>
      <c r="CZ108" s="59">
        <f t="shared" si="96"/>
        <v>193.88588526156104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29.335037776770477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29.335037776770477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401</v>
      </c>
      <c r="O109" s="13">
        <f>N109*VLOOKUP('Données projet'!$B$9,Paramètres!$A$1:$I$89,3,0)*VLOOKUP('Données projet'!$B$9,Paramètres!$A$1:$I$89,5,0)</f>
        <v>250.22399999999999</v>
      </c>
      <c r="P109" s="13">
        <f t="shared" si="87"/>
        <v>60.633904580527918</v>
      </c>
      <c r="Q109" s="20">
        <f t="shared" si="107"/>
        <v>541.41085047775289</v>
      </c>
      <c r="R109" s="59">
        <f t="shared" si="55"/>
        <v>834.74418381108626</v>
      </c>
      <c r="S109" s="59">
        <f ca="1">AVERAGE(OFFSET($R$3,0,0,'Données projet'!$E$9+1,1))-AVERAGE(OFFSET($H$3,0,0,'Données projet'!$E$9+1,1))</f>
        <v>269.77739619445515</v>
      </c>
      <c r="T109" s="59">
        <f t="shared" si="88"/>
        <v>347.56964743629885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30.794034504569002</v>
      </c>
      <c r="AA109" s="21">
        <f>EXP(-LN(2)/25)*AA108+(1-EXP(-LN(2)/25))/(LN(2)/25)*Calculateur!V109*Calculateur!X109*VLOOKUP('Données projet'!$B$9,Paramètres!$A$1:$I$89,3,0)*0.475*44/12</f>
        <v>11.154187112205181</v>
      </c>
      <c r="AB109" s="21">
        <f>EXP(-LN(2)/2)*AB108+(1-EXP(-LN(2)/2))/(LN(2)/2)*V109*Y109*VLOOKUP('Données projet'!$B$9,Paramètres!$A$1:$I$89,3,0)*0.475*44/12</f>
        <v>9.0361376449388825E-14</v>
      </c>
      <c r="AC109" s="22">
        <f t="shared" si="57"/>
        <v>41.948221616774276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735.00000000000011</v>
      </c>
      <c r="AJ109" s="13">
        <f>AI109*VLOOKUP('Données projet'!$B$10,Paramètres!$A$1:$I$89,3,0)*VLOOKUP('Données projet'!$B$10,Paramètres!$A$1:$I$89,5,0)</f>
        <v>343.98</v>
      </c>
      <c r="AK109" s="13">
        <f t="shared" si="89"/>
        <v>80.321681832084693</v>
      </c>
      <c r="AL109" s="20">
        <f t="shared" si="58"/>
        <v>738.9920958575475</v>
      </c>
      <c r="AM109" s="59">
        <f t="shared" si="59"/>
        <v>1032.3254291908809</v>
      </c>
      <c r="AN109" s="59">
        <f ca="1">AVERAGE(OFFSET($AM$3,0,0,'Données projet'!$E$10+1,1))-AVERAGE(OFFSET($H$3,0,0,'Données projet'!$E$10+1,1))</f>
        <v>342.49944586217674</v>
      </c>
      <c r="AO109" s="59">
        <f t="shared" si="90"/>
        <v>282.29766600872563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70.477652207280556</v>
      </c>
      <c r="AV109" s="21">
        <f>EXP(-LN(2)/25)*AV108+(1-EXP(-LN(2)/25))/(LN(2)/25)*Calculateur!AQ109*Calculateur!AS109*VLOOKUP('Données projet'!$B$10,Paramètres!$A$1:$I$89,3,0)*0.475*44/12</f>
        <v>4.8730666987489553</v>
      </c>
      <c r="AW109" s="21">
        <f>EXP(-LN(2)/2)*AW108+(1-EXP(-LN(2)/2))/(LN(2)/2)*AQ109*AT109*VLOOKUP('Données projet'!$B$10,Paramètres!$A$1:$I$89,3,0)*0.475*44/12</f>
        <v>3.0120458816462967E-13</v>
      </c>
      <c r="AX109" s="21">
        <f t="shared" si="60"/>
        <v>75.350718906029812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319</v>
      </c>
      <c r="BE109" s="13">
        <f>BD109*VLOOKUP('Données projet'!$B$11,Paramètres!$A$1:$I$89,3,0)*VLOOKUP('Données projet'!$B$11,Paramètres!$A$1:$I$89,5,0)</f>
        <v>253.79640000000001</v>
      </c>
      <c r="BF109" s="13">
        <f t="shared" si="91"/>
        <v>61.39816832228076</v>
      </c>
      <c r="BG109" s="20">
        <f t="shared" si="61"/>
        <v>548.96387316130563</v>
      </c>
      <c r="BH109" s="59">
        <f t="shared" si="62"/>
        <v>842.29720649463889</v>
      </c>
      <c r="BI109" s="59">
        <f ca="1">AVERAGE(OFFSET($BH$3,0,0,'Données projet'!$E$11+1,1))-AVERAGE(OFFSET($H$3,0,0,'Données projet'!$E$11+1,1))</f>
        <v>279.49721661620544</v>
      </c>
      <c r="BJ109" s="59">
        <f t="shared" si="92"/>
        <v>275.18739333988754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31.770934016367839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31.770934016367839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732.99999999999966</v>
      </c>
      <c r="BZ109" s="13">
        <f>BY109*VLOOKUP('Données projet'!$B$12,Paramètres!$A$1:$I$89,3,0)*VLOOKUP('Données projet'!$B$12,Paramètres!$A$1:$I$89,5,0)</f>
        <v>352.57299999999987</v>
      </c>
      <c r="CA109" s="13">
        <f t="shared" si="93"/>
        <v>82.092092597941644</v>
      </c>
      <c r="CB109" s="20">
        <f t="shared" si="64"/>
        <v>757.04170294141477</v>
      </c>
      <c r="CC109" s="59">
        <f t="shared" si="65"/>
        <v>1050.375036274748</v>
      </c>
      <c r="CD109" s="59">
        <f ca="1">AVERAGE(OFFSET($CC$3,0,0,'Données projet'!$E$12+1,1))-AVERAGE(OFFSET($H$3,0,0,'Données projet'!$E$12+1,1))</f>
        <v>349.65790906807746</v>
      </c>
      <c r="CE109" s="59">
        <f t="shared" si="94"/>
        <v>291.88925884278888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75.595942272718091</v>
      </c>
      <c r="CL109" s="21">
        <f>EXP(-LN(2)/25)*CL108+(1-EXP(-LN(2)/25))/(LN(2)/25)*Calculateur!CG109*Calculateur!CI109*VLOOKUP('Données projet'!$B$12,Paramètres!$A$1:$I$89,3,0)*0.475*44/12</f>
        <v>5.0084296626031035</v>
      </c>
      <c r="CM109" s="21">
        <f>EXP(-LN(2)/2)*CM108+(1-EXP(-LN(2)/2))/(LN(2)/2)*CG109*CJ109*VLOOKUP('Données projet'!$B$12,Paramètres!$A$1:$I$89,3,0)*0.475*44/12</f>
        <v>1.8574282936818816E-13</v>
      </c>
      <c r="CN109" s="22">
        <f t="shared" si="66"/>
        <v>80.604371935321382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285.99999999999972</v>
      </c>
      <c r="CU109" s="17">
        <f>CT109*VLOOKUP('Données projet'!$B$13,Paramètres!$A$1:$I$89,3,0)*VLOOKUP('Données projet'!$B$13,Paramètres!$A$1:$I$89,5,0)</f>
        <v>223.07999999999979</v>
      </c>
      <c r="CV109" s="13">
        <f t="shared" si="95"/>
        <v>54.783765878062617</v>
      </c>
      <c r="CW109" s="20">
        <f t="shared" si="67"/>
        <v>483.94605890429199</v>
      </c>
      <c r="CX109" s="59">
        <f t="shared" si="68"/>
        <v>777.2793922376253</v>
      </c>
      <c r="CY109" s="59">
        <f ca="1">AVERAGE(OFFSET($CX$3,0,0,'Données projet'!$E$13+1,1))-AVERAGE(OFFSET($H$3,0,0,'Données projet'!$E$13+1,1))</f>
        <v>215.84581110302656</v>
      </c>
      <c r="CZ109" s="59">
        <f t="shared" si="96"/>
        <v>193.88588526156104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28.759795578574305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28.759795578574305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401</v>
      </c>
      <c r="O110" s="13">
        <f>N110*VLOOKUP('Données projet'!$B$9,Paramètres!$A$1:$I$89,3,0)*VLOOKUP('Données projet'!$B$9,Paramètres!$A$1:$I$89,5,0)</f>
        <v>250.22399999999999</v>
      </c>
      <c r="P110" s="13">
        <f t="shared" si="87"/>
        <v>60.633904580527918</v>
      </c>
      <c r="Q110" s="20">
        <f t="shared" si="107"/>
        <v>541.41085047775289</v>
      </c>
      <c r="R110" s="59">
        <f t="shared" si="55"/>
        <v>834.74418381108626</v>
      </c>
      <c r="S110" s="59">
        <f ca="1">AVERAGE(OFFSET($R$3,0,0,'Données projet'!$E$9+1,1))-AVERAGE(OFFSET($H$3,0,0,'Données projet'!$E$9+1,1))</f>
        <v>269.77739619445515</v>
      </c>
      <c r="T110" s="59">
        <f t="shared" si="88"/>
        <v>347.56964743629885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30.190182270440832</v>
      </c>
      <c r="AA110" s="21">
        <f>EXP(-LN(2)/25)*AA109+(1-EXP(-LN(2)/25))/(LN(2)/25)*Calculateur!V110*Calculateur!X110*VLOOKUP('Données projet'!$B$9,Paramètres!$A$1:$I$89,3,0)*0.475*44/12</f>
        <v>10.849175279048723</v>
      </c>
      <c r="AB110" s="21">
        <f>EXP(-LN(2)/2)*AB109+(1-EXP(-LN(2)/2))/(LN(2)/2)*V110*Y110*VLOOKUP('Données projet'!$B$9,Paramètres!$A$1:$I$89,3,0)*0.475*44/12</f>
        <v>6.3895142044713231E-14</v>
      </c>
      <c r="AC110" s="22">
        <f t="shared" si="57"/>
        <v>41.039357549489615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735.00000000000011</v>
      </c>
      <c r="AJ110" s="13">
        <f>AI110*VLOOKUP('Données projet'!$B$10,Paramètres!$A$1:$I$89,3,0)*VLOOKUP('Données projet'!$B$10,Paramètres!$A$1:$I$89,5,0)</f>
        <v>343.98</v>
      </c>
      <c r="AK110" s="13">
        <f t="shared" si="89"/>
        <v>80.321681832084693</v>
      </c>
      <c r="AL110" s="20">
        <f t="shared" si="58"/>
        <v>738.9920958575475</v>
      </c>
      <c r="AM110" s="59">
        <f t="shared" si="59"/>
        <v>1032.3254291908809</v>
      </c>
      <c r="AN110" s="59">
        <f ca="1">AVERAGE(OFFSET($AM$3,0,0,'Données projet'!$E$10+1,1))-AVERAGE(OFFSET($H$3,0,0,'Données projet'!$E$10+1,1))</f>
        <v>342.49944586217674</v>
      </c>
      <c r="AO110" s="59">
        <f t="shared" si="90"/>
        <v>282.29766600872563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69.095628434619002</v>
      </c>
      <c r="AV110" s="21">
        <f>EXP(-LN(2)/25)*AV109+(1-EXP(-LN(2)/25))/(LN(2)/25)*Calculateur!AQ110*Calculateur!AS110*VLOOKUP('Données projet'!$B$10,Paramètres!$A$1:$I$89,3,0)*0.475*44/12</f>
        <v>4.7398124336082246</v>
      </c>
      <c r="AW110" s="21">
        <f>EXP(-LN(2)/2)*AW109+(1-EXP(-LN(2)/2))/(LN(2)/2)*AQ110*AT110*VLOOKUP('Données projet'!$B$10,Paramètres!$A$1:$I$89,3,0)*0.475*44/12</f>
        <v>2.1298380681571095E-13</v>
      </c>
      <c r="AX110" s="21">
        <f t="shared" si="60"/>
        <v>73.835440868227437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319</v>
      </c>
      <c r="BE110" s="13">
        <f>BD110*VLOOKUP('Données projet'!$B$11,Paramètres!$A$1:$I$89,3,0)*VLOOKUP('Données projet'!$B$11,Paramètres!$A$1:$I$89,5,0)</f>
        <v>253.79640000000001</v>
      </c>
      <c r="BF110" s="13">
        <f t="shared" si="91"/>
        <v>61.39816832228076</v>
      </c>
      <c r="BG110" s="20">
        <f t="shared" si="61"/>
        <v>548.96387316130563</v>
      </c>
      <c r="BH110" s="59">
        <f t="shared" si="62"/>
        <v>842.29720649463889</v>
      </c>
      <c r="BI110" s="59">
        <f ca="1">AVERAGE(OFFSET($BH$3,0,0,'Données projet'!$E$11+1,1))-AVERAGE(OFFSET($H$3,0,0,'Données projet'!$E$11+1,1))</f>
        <v>279.49721661620544</v>
      </c>
      <c r="BJ110" s="59">
        <f t="shared" si="92"/>
        <v>275.18739333988754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31.14792537866316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31.14792537866316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732.99999999999966</v>
      </c>
      <c r="BZ110" s="13">
        <f>BY110*VLOOKUP('Données projet'!$B$12,Paramètres!$A$1:$I$89,3,0)*VLOOKUP('Données projet'!$B$12,Paramètres!$A$1:$I$89,5,0)</f>
        <v>352.57299999999987</v>
      </c>
      <c r="CA110" s="13">
        <f t="shared" si="93"/>
        <v>82.092092597941644</v>
      </c>
      <c r="CB110" s="20">
        <f t="shared" si="64"/>
        <v>757.04170294141477</v>
      </c>
      <c r="CC110" s="59">
        <f t="shared" si="65"/>
        <v>1050.375036274748</v>
      </c>
      <c r="CD110" s="59">
        <f ca="1">AVERAGE(OFFSET($CC$3,0,0,'Données projet'!$E$12+1,1))-AVERAGE(OFFSET($H$3,0,0,'Données projet'!$E$12+1,1))</f>
        <v>349.65790906807746</v>
      </c>
      <c r="CE110" s="59">
        <f t="shared" si="94"/>
        <v>291.88925884278888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74.113551953721995</v>
      </c>
      <c r="CL110" s="21">
        <f>EXP(-LN(2)/25)*CL109+(1-EXP(-LN(2)/25))/(LN(2)/25)*Calculateur!CG110*Calculateur!CI110*VLOOKUP('Données projet'!$B$12,Paramètres!$A$1:$I$89,3,0)*0.475*44/12</f>
        <v>4.8714738900973522</v>
      </c>
      <c r="CM110" s="21">
        <f>EXP(-LN(2)/2)*CM109+(1-EXP(-LN(2)/2))/(LN(2)/2)*CG110*CJ110*VLOOKUP('Données projet'!$B$12,Paramètres!$A$1:$I$89,3,0)*0.475*44/12</f>
        <v>1.3134001420302166E-13</v>
      </c>
      <c r="CN110" s="22">
        <f t="shared" si="66"/>
        <v>78.985025843819471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285.99999999999972</v>
      </c>
      <c r="CU110" s="17">
        <f>CT110*VLOOKUP('Données projet'!$B$13,Paramètres!$A$1:$I$89,3,0)*VLOOKUP('Données projet'!$B$13,Paramètres!$A$1:$I$89,5,0)</f>
        <v>223.07999999999979</v>
      </c>
      <c r="CV110" s="13">
        <f t="shared" si="95"/>
        <v>54.783765878062617</v>
      </c>
      <c r="CW110" s="20">
        <f t="shared" si="67"/>
        <v>483.94605890429199</v>
      </c>
      <c r="CX110" s="59">
        <f t="shared" si="68"/>
        <v>777.2793922376253</v>
      </c>
      <c r="CY110" s="59">
        <f ca="1">AVERAGE(OFFSET($CX$3,0,0,'Données projet'!$E$13+1,1))-AVERAGE(OFFSET($H$3,0,0,'Données projet'!$E$13+1,1))</f>
        <v>215.84581110302656</v>
      </c>
      <c r="CZ110" s="59">
        <f t="shared" si="96"/>
        <v>193.88588526156104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28.195833529021662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28.195833529021662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401</v>
      </c>
      <c r="O111" s="13">
        <f>N111*VLOOKUP('Données projet'!$B$9,Paramètres!$A$1:$I$89,3,0)*VLOOKUP('Données projet'!$B$9,Paramètres!$A$1:$I$89,5,0)</f>
        <v>250.22399999999999</v>
      </c>
      <c r="P111" s="13">
        <f t="shared" si="87"/>
        <v>60.633904580527918</v>
      </c>
      <c r="Q111" s="20">
        <f t="shared" si="107"/>
        <v>541.41085047775289</v>
      </c>
      <c r="R111" s="59">
        <f t="shared" si="55"/>
        <v>834.74418381108626</v>
      </c>
      <c r="S111" s="59">
        <f ca="1">AVERAGE(OFFSET($R$3,0,0,'Données projet'!$E$9+1,1))-AVERAGE(OFFSET($H$3,0,0,'Données projet'!$E$9+1,1))</f>
        <v>269.77739619445515</v>
      </c>
      <c r="T111" s="59">
        <f t="shared" si="88"/>
        <v>347.56964743629885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29.598171210310422</v>
      </c>
      <c r="AA111" s="21">
        <f>EXP(-LN(2)/25)*AA110+(1-EXP(-LN(2)/25))/(LN(2)/25)*Calculateur!V111*Calculateur!X111*VLOOKUP('Données projet'!$B$9,Paramètres!$A$1:$I$89,3,0)*0.475*44/12</f>
        <v>10.552504010509804</v>
      </c>
      <c r="AB111" s="21">
        <f>EXP(-LN(2)/2)*AB110+(1-EXP(-LN(2)/2))/(LN(2)/2)*V111*Y111*VLOOKUP('Données projet'!$B$9,Paramètres!$A$1:$I$89,3,0)*0.475*44/12</f>
        <v>4.5180688224694412E-14</v>
      </c>
      <c r="AC111" s="22">
        <f t="shared" si="57"/>
        <v>40.150675220820268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735.00000000000011</v>
      </c>
      <c r="AJ111" s="13">
        <f>AI111*VLOOKUP('Données projet'!$B$10,Paramètres!$A$1:$I$89,3,0)*VLOOKUP('Données projet'!$B$10,Paramètres!$A$1:$I$89,5,0)</f>
        <v>343.98</v>
      </c>
      <c r="AK111" s="13">
        <f t="shared" si="89"/>
        <v>80.321681832084693</v>
      </c>
      <c r="AL111" s="20">
        <f t="shared" si="58"/>
        <v>738.9920958575475</v>
      </c>
      <c r="AM111" s="59">
        <f t="shared" si="59"/>
        <v>1032.3254291908809</v>
      </c>
      <c r="AN111" s="59">
        <f ca="1">AVERAGE(OFFSET($AM$3,0,0,'Données projet'!$E$10+1,1))-AVERAGE(OFFSET($H$3,0,0,'Données projet'!$E$10+1,1))</f>
        <v>342.49944586217674</v>
      </c>
      <c r="AO111" s="59">
        <f t="shared" si="90"/>
        <v>282.29766600872563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67.740705305188072</v>
      </c>
      <c r="AV111" s="21">
        <f>EXP(-LN(2)/25)*AV110+(1-EXP(-LN(2)/25))/(LN(2)/25)*Calculateur!AQ111*Calculateur!AS111*VLOOKUP('Données projet'!$B$10,Paramètres!$A$1:$I$89,3,0)*0.475*44/12</f>
        <v>4.6102020133553046</v>
      </c>
      <c r="AW111" s="21">
        <f>EXP(-LN(2)/2)*AW110+(1-EXP(-LN(2)/2))/(LN(2)/2)*AQ111*AT111*VLOOKUP('Données projet'!$B$10,Paramètres!$A$1:$I$89,3,0)*0.475*44/12</f>
        <v>1.5060229408231483E-13</v>
      </c>
      <c r="AX111" s="21">
        <f t="shared" si="60"/>
        <v>72.350907318543534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319</v>
      </c>
      <c r="BE111" s="13">
        <f>BD111*VLOOKUP('Données projet'!$B$11,Paramètres!$A$1:$I$89,3,0)*VLOOKUP('Données projet'!$B$11,Paramètres!$A$1:$I$89,5,0)</f>
        <v>253.79640000000001</v>
      </c>
      <c r="BF111" s="13">
        <f t="shared" si="91"/>
        <v>61.39816832228076</v>
      </c>
      <c r="BG111" s="20">
        <f t="shared" si="61"/>
        <v>548.96387316130563</v>
      </c>
      <c r="BH111" s="59">
        <f t="shared" si="62"/>
        <v>842.29720649463889</v>
      </c>
      <c r="BI111" s="59">
        <f ca="1">AVERAGE(OFFSET($BH$3,0,0,'Données projet'!$E$11+1,1))-AVERAGE(OFFSET($H$3,0,0,'Données projet'!$E$11+1,1))</f>
        <v>279.49721661620544</v>
      </c>
      <c r="BJ111" s="59">
        <f t="shared" si="92"/>
        <v>275.18739333988754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30.537133560346124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30.537133560346124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732.99999999999966</v>
      </c>
      <c r="BZ111" s="13">
        <f>BY111*VLOOKUP('Données projet'!$B$12,Paramètres!$A$1:$I$89,3,0)*VLOOKUP('Données projet'!$B$12,Paramètres!$A$1:$I$89,5,0)</f>
        <v>352.57299999999987</v>
      </c>
      <c r="CA111" s="13">
        <f t="shared" si="93"/>
        <v>82.092092597941644</v>
      </c>
      <c r="CB111" s="20">
        <f t="shared" si="64"/>
        <v>757.04170294141477</v>
      </c>
      <c r="CC111" s="59">
        <f t="shared" si="65"/>
        <v>1050.375036274748</v>
      </c>
      <c r="CD111" s="59">
        <f ca="1">AVERAGE(OFFSET($CC$3,0,0,'Données projet'!$E$12+1,1))-AVERAGE(OFFSET($H$3,0,0,'Données projet'!$E$12+1,1))</f>
        <v>349.65790906807746</v>
      </c>
      <c r="CE111" s="59">
        <f t="shared" si="94"/>
        <v>291.88925884278888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72.660230404712593</v>
      </c>
      <c r="CL111" s="21">
        <f>EXP(-LN(2)/25)*CL110+(1-EXP(-LN(2)/25))/(LN(2)/25)*Calculateur!CG111*Calculateur!CI111*VLOOKUP('Données projet'!$B$12,Paramètres!$A$1:$I$89,3,0)*0.475*44/12</f>
        <v>4.7382631803929618</v>
      </c>
      <c r="CM111" s="21">
        <f>EXP(-LN(2)/2)*CM110+(1-EXP(-LN(2)/2))/(LN(2)/2)*CG111*CJ111*VLOOKUP('Données projet'!$B$12,Paramètres!$A$1:$I$89,3,0)*0.475*44/12</f>
        <v>9.2871414684094078E-14</v>
      </c>
      <c r="CN111" s="22">
        <f t="shared" si="66"/>
        <v>77.398493585105655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285.99999999999972</v>
      </c>
      <c r="CU111" s="17">
        <f>CT111*VLOOKUP('Données projet'!$B$13,Paramètres!$A$1:$I$89,3,0)*VLOOKUP('Données projet'!$B$13,Paramètres!$A$1:$I$89,5,0)</f>
        <v>223.07999999999979</v>
      </c>
      <c r="CV111" s="13">
        <f t="shared" si="95"/>
        <v>54.783765878062617</v>
      </c>
      <c r="CW111" s="20">
        <f t="shared" si="67"/>
        <v>483.94605890429199</v>
      </c>
      <c r="CX111" s="59">
        <f t="shared" si="68"/>
        <v>777.2793922376253</v>
      </c>
      <c r="CY111" s="59">
        <f ca="1">AVERAGE(OFFSET($CX$3,0,0,'Données projet'!$E$13+1,1))-AVERAGE(OFFSET($H$3,0,0,'Données projet'!$E$13+1,1))</f>
        <v>215.84581110302656</v>
      </c>
      <c r="CZ111" s="59">
        <f t="shared" si="96"/>
        <v>193.88588526156104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27.642930431277861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27.642930431277861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401</v>
      </c>
      <c r="O112" s="13">
        <f>N112*VLOOKUP('Données projet'!$B$9,Paramètres!$A$1:$I$89,3,0)*VLOOKUP('Données projet'!$B$9,Paramètres!$A$1:$I$89,5,0)</f>
        <v>250.22399999999999</v>
      </c>
      <c r="P112" s="13">
        <f t="shared" si="87"/>
        <v>60.633904580527918</v>
      </c>
      <c r="Q112" s="20">
        <f t="shared" si="107"/>
        <v>541.41085047775289</v>
      </c>
      <c r="R112" s="59">
        <f t="shared" si="55"/>
        <v>834.74418381108626</v>
      </c>
      <c r="S112" s="59">
        <f ca="1">AVERAGE(OFFSET($R$3,0,0,'Données projet'!$E$9+1,1))-AVERAGE(OFFSET($H$3,0,0,'Données projet'!$E$9+1,1))</f>
        <v>269.77739619445515</v>
      </c>
      <c r="T112" s="59">
        <f t="shared" si="88"/>
        <v>347.56964743629885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29.017769125978077</v>
      </c>
      <c r="AA112" s="21">
        <f>EXP(-LN(2)/25)*AA111+(1-EXP(-LN(2)/25))/(LN(2)/25)*Calculateur!V112*Calculateur!X112*VLOOKUP('Données projet'!$B$9,Paramètres!$A$1:$I$89,3,0)*0.475*44/12</f>
        <v>10.263945233410345</v>
      </c>
      <c r="AB112" s="21">
        <f>EXP(-LN(2)/2)*AB111+(1-EXP(-LN(2)/2))/(LN(2)/2)*V112*Y112*VLOOKUP('Données projet'!$B$9,Paramètres!$A$1:$I$89,3,0)*0.475*44/12</f>
        <v>3.1947571022356615E-14</v>
      </c>
      <c r="AC112" s="22">
        <f t="shared" si="57"/>
        <v>39.281714359388452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735.00000000000011</v>
      </c>
      <c r="AJ112" s="13">
        <f>AI112*VLOOKUP('Données projet'!$B$10,Paramètres!$A$1:$I$89,3,0)*VLOOKUP('Données projet'!$B$10,Paramètres!$A$1:$I$89,5,0)</f>
        <v>343.98</v>
      </c>
      <c r="AK112" s="13">
        <f t="shared" si="89"/>
        <v>80.321681832084693</v>
      </c>
      <c r="AL112" s="20">
        <f t="shared" si="58"/>
        <v>738.9920958575475</v>
      </c>
      <c r="AM112" s="59">
        <f t="shared" si="59"/>
        <v>1032.3254291908809</v>
      </c>
      <c r="AN112" s="59">
        <f ca="1">AVERAGE(OFFSET($AM$3,0,0,'Données projet'!$E$10+1,1))-AVERAGE(OFFSET($H$3,0,0,'Données projet'!$E$10+1,1))</f>
        <v>342.49944586217674</v>
      </c>
      <c r="AO112" s="59">
        <f t="shared" si="90"/>
        <v>282.29766600872563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66.412351391903783</v>
      </c>
      <c r="AV112" s="21">
        <f>EXP(-LN(2)/25)*AV111+(1-EXP(-LN(2)/25))/(LN(2)/25)*Calculateur!AQ112*Calculateur!AS112*VLOOKUP('Données projet'!$B$10,Paramètres!$A$1:$I$89,3,0)*0.475*44/12</f>
        <v>4.4841357968601168</v>
      </c>
      <c r="AW112" s="21">
        <f>EXP(-LN(2)/2)*AW111+(1-EXP(-LN(2)/2))/(LN(2)/2)*AQ112*AT112*VLOOKUP('Données projet'!$B$10,Paramètres!$A$1:$I$89,3,0)*0.475*44/12</f>
        <v>1.0649190340785548E-13</v>
      </c>
      <c r="AX112" s="21">
        <f t="shared" si="60"/>
        <v>70.896487188763999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319</v>
      </c>
      <c r="BE112" s="13">
        <f>BD112*VLOOKUP('Données projet'!$B$11,Paramètres!$A$1:$I$89,3,0)*VLOOKUP('Données projet'!$B$11,Paramètres!$A$1:$I$89,5,0)</f>
        <v>253.79640000000001</v>
      </c>
      <c r="BF112" s="13">
        <f t="shared" si="91"/>
        <v>61.39816832228076</v>
      </c>
      <c r="BG112" s="20">
        <f t="shared" si="61"/>
        <v>548.96387316130563</v>
      </c>
      <c r="BH112" s="59">
        <f t="shared" si="62"/>
        <v>842.29720649463889</v>
      </c>
      <c r="BI112" s="59">
        <f ca="1">AVERAGE(OFFSET($BH$3,0,0,'Données projet'!$E$11+1,1))-AVERAGE(OFFSET($H$3,0,0,'Données projet'!$E$11+1,1))</f>
        <v>279.49721661620544</v>
      </c>
      <c r="BJ112" s="59">
        <f t="shared" si="92"/>
        <v>275.18739333988754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29.938318997040064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29.938318997040064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732.99999999999966</v>
      </c>
      <c r="BZ112" s="13">
        <f>BY112*VLOOKUP('Données projet'!$B$12,Paramètres!$A$1:$I$89,3,0)*VLOOKUP('Données projet'!$B$12,Paramètres!$A$1:$I$89,5,0)</f>
        <v>352.57299999999987</v>
      </c>
      <c r="CA112" s="13">
        <f t="shared" si="93"/>
        <v>82.092092597941644</v>
      </c>
      <c r="CB112" s="20">
        <f t="shared" si="64"/>
        <v>757.04170294141477</v>
      </c>
      <c r="CC112" s="59">
        <f t="shared" si="65"/>
        <v>1050.375036274748</v>
      </c>
      <c r="CD112" s="59">
        <f ca="1">AVERAGE(OFFSET($CC$3,0,0,'Données projet'!$E$12+1,1))-AVERAGE(OFFSET($H$3,0,0,'Données projet'!$E$12+1,1))</f>
        <v>349.65790906807746</v>
      </c>
      <c r="CE112" s="59">
        <f t="shared" si="94"/>
        <v>291.88925884278888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71.235407604840645</v>
      </c>
      <c r="CL112" s="21">
        <f>EXP(-LN(2)/25)*CL111+(1-EXP(-LN(2)/25))/(LN(2)/25)*Calculateur!CG112*Calculateur!CI112*VLOOKUP('Données projet'!$B$12,Paramètres!$A$1:$I$89,3,0)*0.475*44/12</f>
        <v>4.6086951245506853</v>
      </c>
      <c r="CM112" s="21">
        <f>EXP(-LN(2)/2)*CM111+(1-EXP(-LN(2)/2))/(LN(2)/2)*CG112*CJ112*VLOOKUP('Données projet'!$B$12,Paramètres!$A$1:$I$89,3,0)*0.475*44/12</f>
        <v>6.5670007101510828E-14</v>
      </c>
      <c r="CN112" s="22">
        <f t="shared" si="66"/>
        <v>75.844102729391395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285.99999999999972</v>
      </c>
      <c r="CU112" s="17">
        <f>CT112*VLOOKUP('Données projet'!$B$13,Paramètres!$A$1:$I$89,3,0)*VLOOKUP('Données projet'!$B$13,Paramètres!$A$1:$I$89,5,0)</f>
        <v>223.07999999999979</v>
      </c>
      <c r="CV112" s="13">
        <f t="shared" si="95"/>
        <v>54.783765878062617</v>
      </c>
      <c r="CW112" s="20">
        <f t="shared" si="67"/>
        <v>483.94605890429199</v>
      </c>
      <c r="CX112" s="59">
        <f t="shared" si="68"/>
        <v>777.2793922376253</v>
      </c>
      <c r="CY112" s="59">
        <f ca="1">AVERAGE(OFFSET($CX$3,0,0,'Données projet'!$E$13+1,1))-AVERAGE(OFFSET($H$3,0,0,'Données projet'!$E$13+1,1))</f>
        <v>215.84581110302656</v>
      </c>
      <c r="CZ112" s="59">
        <f t="shared" si="96"/>
        <v>193.88588526156104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27.100869426043229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27.100869426043229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401</v>
      </c>
      <c r="O113" s="13">
        <f>N113*VLOOKUP('Données projet'!$B$9,Paramètres!$A$1:$I$89,3,0)*VLOOKUP('Données projet'!$B$9,Paramètres!$A$1:$I$89,5,0)</f>
        <v>250.22399999999999</v>
      </c>
      <c r="P113" s="13">
        <f t="shared" si="87"/>
        <v>60.633904580527918</v>
      </c>
      <c r="Q113" s="20">
        <f t="shared" si="107"/>
        <v>541.41085047775289</v>
      </c>
      <c r="R113" s="59">
        <f t="shared" si="55"/>
        <v>834.74418381108626</v>
      </c>
      <c r="S113" s="59">
        <f ca="1">AVERAGE(OFFSET($R$3,0,0,'Données projet'!$E$9+1,1))-AVERAGE(OFFSET($H$3,0,0,'Données projet'!$E$9+1,1))</f>
        <v>269.77739619445515</v>
      </c>
      <c r="T113" s="59">
        <f t="shared" si="88"/>
        <v>347.56964743629885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28.448748372509172</v>
      </c>
      <c r="AA113" s="21">
        <f>EXP(-LN(2)/25)*AA112+(1-EXP(-LN(2)/25))/(LN(2)/25)*Calculateur!V113*Calculateur!X113*VLOOKUP('Données projet'!$B$9,Paramètres!$A$1:$I$89,3,0)*0.475*44/12</f>
        <v>9.983277111245318</v>
      </c>
      <c r="AB113" s="21">
        <f>EXP(-LN(2)/2)*AB112+(1-EXP(-LN(2)/2))/(LN(2)/2)*V113*Y113*VLOOKUP('Données projet'!$B$9,Paramètres!$A$1:$I$89,3,0)*0.475*44/12</f>
        <v>2.2590344112347206E-14</v>
      </c>
      <c r="AC113" s="22">
        <f t="shared" si="57"/>
        <v>38.432025483754508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735.00000000000011</v>
      </c>
      <c r="AJ113" s="13">
        <f>AI113*VLOOKUP('Données projet'!$B$10,Paramètres!$A$1:$I$89,3,0)*VLOOKUP('Données projet'!$B$10,Paramètres!$A$1:$I$89,5,0)</f>
        <v>343.98</v>
      </c>
      <c r="AK113" s="13">
        <f t="shared" si="89"/>
        <v>80.321681832084693</v>
      </c>
      <c r="AL113" s="20">
        <f t="shared" si="58"/>
        <v>738.9920958575475</v>
      </c>
      <c r="AM113" s="59">
        <f t="shared" si="59"/>
        <v>1032.3254291908809</v>
      </c>
      <c r="AN113" s="59">
        <f ca="1">AVERAGE(OFFSET($AM$3,0,0,'Données projet'!$E$10+1,1))-AVERAGE(OFFSET($H$3,0,0,'Données projet'!$E$10+1,1))</f>
        <v>342.49944586217674</v>
      </c>
      <c r="AO113" s="59">
        <f t="shared" si="90"/>
        <v>282.29766600872563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65.110045688643112</v>
      </c>
      <c r="AV113" s="21">
        <f>EXP(-LN(2)/25)*AV112+(1-EXP(-LN(2)/25))/(LN(2)/25)*Calculateur!AQ113*Calculateur!AS113*VLOOKUP('Données projet'!$B$10,Paramètres!$A$1:$I$89,3,0)*0.475*44/12</f>
        <v>4.3615168676845242</v>
      </c>
      <c r="AW113" s="21">
        <f>EXP(-LN(2)/2)*AW112+(1-EXP(-LN(2)/2))/(LN(2)/2)*AQ113*AT113*VLOOKUP('Données projet'!$B$10,Paramètres!$A$1:$I$89,3,0)*0.475*44/12</f>
        <v>7.5301147041157417E-14</v>
      </c>
      <c r="AX113" s="21">
        <f t="shared" si="60"/>
        <v>69.471562556327711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319</v>
      </c>
      <c r="BE113" s="13">
        <f>BD113*VLOOKUP('Données projet'!$B$11,Paramètres!$A$1:$I$89,3,0)*VLOOKUP('Données projet'!$B$11,Paramètres!$A$1:$I$89,5,0)</f>
        <v>253.79640000000001</v>
      </c>
      <c r="BF113" s="13">
        <f t="shared" si="91"/>
        <v>61.39816832228076</v>
      </c>
      <c r="BG113" s="20">
        <f t="shared" si="61"/>
        <v>548.96387316130563</v>
      </c>
      <c r="BH113" s="59">
        <f t="shared" si="62"/>
        <v>842.29720649463889</v>
      </c>
      <c r="BI113" s="59">
        <f ca="1">AVERAGE(OFFSET($BH$3,0,0,'Données projet'!$E$11+1,1))-AVERAGE(OFFSET($H$3,0,0,'Données projet'!$E$11+1,1))</f>
        <v>279.49721661620544</v>
      </c>
      <c r="BJ113" s="59">
        <f t="shared" si="92"/>
        <v>275.18739333988754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29.351246822079613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29.351246822079613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732.99999999999966</v>
      </c>
      <c r="BZ113" s="13">
        <f>BY113*VLOOKUP('Données projet'!$B$12,Paramètres!$A$1:$I$89,3,0)*VLOOKUP('Données projet'!$B$12,Paramètres!$A$1:$I$89,5,0)</f>
        <v>352.57299999999987</v>
      </c>
      <c r="CA113" s="13">
        <f t="shared" si="93"/>
        <v>82.092092597941644</v>
      </c>
      <c r="CB113" s="20">
        <f t="shared" si="64"/>
        <v>757.04170294141477</v>
      </c>
      <c r="CC113" s="59">
        <f t="shared" si="65"/>
        <v>1050.375036274748</v>
      </c>
      <c r="CD113" s="59">
        <f ca="1">AVERAGE(OFFSET($CC$3,0,0,'Données projet'!$E$12+1,1))-AVERAGE(OFFSET($H$3,0,0,'Données projet'!$E$12+1,1))</f>
        <v>349.65790906807746</v>
      </c>
      <c r="CE113" s="59">
        <f t="shared" si="94"/>
        <v>291.88925884278888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69.838524711018096</v>
      </c>
      <c r="CL113" s="21">
        <f>EXP(-LN(2)/25)*CL112+(1-EXP(-LN(2)/25))/(LN(2)/25)*Calculateur!CG113*Calculateur!CI113*VLOOKUP('Données projet'!$B$12,Paramètres!$A$1:$I$89,3,0)*0.475*44/12</f>
        <v>4.4826701140091032</v>
      </c>
      <c r="CM113" s="21">
        <f>EXP(-LN(2)/2)*CM112+(1-EXP(-LN(2)/2))/(LN(2)/2)*CG113*CJ113*VLOOKUP('Données projet'!$B$12,Paramètres!$A$1:$I$89,3,0)*0.475*44/12</f>
        <v>4.6435707342047039E-14</v>
      </c>
      <c r="CN113" s="22">
        <f t="shared" si="66"/>
        <v>74.321194825027234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285.99999999999972</v>
      </c>
      <c r="CU113" s="17">
        <f>CT113*VLOOKUP('Données projet'!$B$13,Paramètres!$A$1:$I$89,3,0)*VLOOKUP('Données projet'!$B$13,Paramètres!$A$1:$I$89,5,0)</f>
        <v>223.07999999999979</v>
      </c>
      <c r="CV113" s="13">
        <f t="shared" si="95"/>
        <v>54.783765878062617</v>
      </c>
      <c r="CW113" s="20">
        <f t="shared" si="67"/>
        <v>483.94605890429199</v>
      </c>
      <c r="CX113" s="59">
        <f t="shared" si="68"/>
        <v>777.2793922376253</v>
      </c>
      <c r="CY113" s="59">
        <f ca="1">AVERAGE(OFFSET($CX$3,0,0,'Données projet'!$E$13+1,1))-AVERAGE(OFFSET($H$3,0,0,'Données projet'!$E$13+1,1))</f>
        <v>215.84581110302656</v>
      </c>
      <c r="CZ113" s="59">
        <f t="shared" si="96"/>
        <v>193.88588526156104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26.569437906496677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26.569437906496677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401</v>
      </c>
      <c r="O114" s="13">
        <f>N114*VLOOKUP('Données projet'!$B$9,Paramètres!$A$1:$I$89,3,0)*VLOOKUP('Données projet'!$B$9,Paramètres!$A$1:$I$89,5,0)</f>
        <v>250.22399999999999</v>
      </c>
      <c r="P114" s="13">
        <f t="shared" si="87"/>
        <v>60.633904580527918</v>
      </c>
      <c r="Q114" s="20">
        <f t="shared" si="107"/>
        <v>541.41085047775289</v>
      </c>
      <c r="R114" s="59">
        <f t="shared" si="55"/>
        <v>834.74418381108626</v>
      </c>
      <c r="S114" s="59">
        <f ca="1">AVERAGE(OFFSET($R$3,0,0,'Données projet'!$E$9+1,1))-AVERAGE(OFFSET($H$3,0,0,'Données projet'!$E$9+1,1))</f>
        <v>269.77739619445515</v>
      </c>
      <c r="T114" s="59">
        <f t="shared" si="88"/>
        <v>347.56964743629885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27.890885768947406</v>
      </c>
      <c r="AA114" s="21">
        <f>EXP(-LN(2)/25)*AA113+(1-EXP(-LN(2)/25))/(LN(2)/25)*Calculateur!V114*Calculateur!X114*VLOOKUP('Données projet'!$B$9,Paramètres!$A$1:$I$89,3,0)*0.475*44/12</f>
        <v>9.7102838736405879</v>
      </c>
      <c r="AB114" s="21">
        <f>EXP(-LN(2)/2)*AB113+(1-EXP(-LN(2)/2))/(LN(2)/2)*V114*Y114*VLOOKUP('Données projet'!$B$9,Paramètres!$A$1:$I$89,3,0)*0.475*44/12</f>
        <v>1.5973785511178308E-14</v>
      </c>
      <c r="AC114" s="22">
        <f t="shared" si="57"/>
        <v>37.601169642588005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735.00000000000011</v>
      </c>
      <c r="AJ114" s="13">
        <f>AI114*VLOOKUP('Données projet'!$B$10,Paramètres!$A$1:$I$89,3,0)*VLOOKUP('Données projet'!$B$10,Paramètres!$A$1:$I$89,5,0)</f>
        <v>343.98</v>
      </c>
      <c r="AK114" s="13">
        <f t="shared" si="89"/>
        <v>80.321681832084693</v>
      </c>
      <c r="AL114" s="20">
        <f t="shared" si="58"/>
        <v>738.9920958575475</v>
      </c>
      <c r="AM114" s="59">
        <f t="shared" si="59"/>
        <v>1032.3254291908809</v>
      </c>
      <c r="AN114" s="59">
        <f ca="1">AVERAGE(OFFSET($AM$3,0,0,'Données projet'!$E$10+1,1))-AVERAGE(OFFSET($H$3,0,0,'Données projet'!$E$10+1,1))</f>
        <v>342.49944586217674</v>
      </c>
      <c r="AO114" s="59">
        <f t="shared" si="90"/>
        <v>282.29766600872563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63.833277405895338</v>
      </c>
      <c r="AV114" s="21">
        <f>EXP(-LN(2)/25)*AV113+(1-EXP(-LN(2)/25))/(LN(2)/25)*Calculateur!AQ114*Calculateur!AS114*VLOOKUP('Données projet'!$B$10,Paramètres!$A$1:$I$89,3,0)*0.475*44/12</f>
        <v>4.2422509595754869</v>
      </c>
      <c r="AW114" s="21">
        <f>EXP(-LN(2)/2)*AW113+(1-EXP(-LN(2)/2))/(LN(2)/2)*AQ114*AT114*VLOOKUP('Données projet'!$B$10,Paramètres!$A$1:$I$89,3,0)*0.475*44/12</f>
        <v>5.3245951703927739E-14</v>
      </c>
      <c r="AX114" s="21">
        <f t="shared" si="60"/>
        <v>68.075528365470888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319</v>
      </c>
      <c r="BE114" s="13">
        <f>BD114*VLOOKUP('Données projet'!$B$11,Paramètres!$A$1:$I$89,3,0)*VLOOKUP('Données projet'!$B$11,Paramètres!$A$1:$I$89,5,0)</f>
        <v>253.79640000000001</v>
      </c>
      <c r="BF114" s="13">
        <f t="shared" si="91"/>
        <v>61.39816832228076</v>
      </c>
      <c r="BG114" s="20">
        <f t="shared" si="61"/>
        <v>548.96387316130563</v>
      </c>
      <c r="BH114" s="59">
        <f t="shared" si="62"/>
        <v>842.29720649463889</v>
      </c>
      <c r="BI114" s="59">
        <f ca="1">AVERAGE(OFFSET($BH$3,0,0,'Données projet'!$E$11+1,1))-AVERAGE(OFFSET($H$3,0,0,'Données projet'!$E$11+1,1))</f>
        <v>279.49721661620544</v>
      </c>
      <c r="BJ114" s="59">
        <f t="shared" si="92"/>
        <v>275.18739333988754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28.77568677439147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28.77568677439147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732.99999999999966</v>
      </c>
      <c r="BZ114" s="13">
        <f>BY114*VLOOKUP('Données projet'!$B$12,Paramètres!$A$1:$I$89,3,0)*VLOOKUP('Données projet'!$B$12,Paramètres!$A$1:$I$89,5,0)</f>
        <v>352.57299999999987</v>
      </c>
      <c r="CA114" s="13">
        <f t="shared" si="93"/>
        <v>82.092092597941644</v>
      </c>
      <c r="CB114" s="20">
        <f t="shared" si="64"/>
        <v>757.04170294141477</v>
      </c>
      <c r="CC114" s="59">
        <f t="shared" si="65"/>
        <v>1050.375036274748</v>
      </c>
      <c r="CD114" s="59">
        <f ca="1">AVERAGE(OFFSET($CC$3,0,0,'Données projet'!$E$12+1,1))-AVERAGE(OFFSET($H$3,0,0,'Données projet'!$E$12+1,1))</f>
        <v>349.65790906807746</v>
      </c>
      <c r="CE114" s="59">
        <f t="shared" si="94"/>
        <v>291.88925884278888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68.469033838728976</v>
      </c>
      <c r="CL114" s="21">
        <f>EXP(-LN(2)/25)*CL113+(1-EXP(-LN(2)/25))/(LN(2)/25)*Calculateur!CG114*Calculateur!CI114*VLOOKUP('Données projet'!$B$12,Paramètres!$A$1:$I$89,3,0)*0.475*44/12</f>
        <v>4.3600912640081484</v>
      </c>
      <c r="CM114" s="21">
        <f>EXP(-LN(2)/2)*CM113+(1-EXP(-LN(2)/2))/(LN(2)/2)*CG114*CJ114*VLOOKUP('Données projet'!$B$12,Paramètres!$A$1:$I$89,3,0)*0.475*44/12</f>
        <v>3.2835003550755414E-14</v>
      </c>
      <c r="CN114" s="22">
        <f t="shared" si="66"/>
        <v>72.829125102737152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285.99999999999972</v>
      </c>
      <c r="CU114" s="17">
        <f>CT114*VLOOKUP('Données projet'!$B$13,Paramètres!$A$1:$I$89,3,0)*VLOOKUP('Données projet'!$B$13,Paramètres!$A$1:$I$89,5,0)</f>
        <v>223.07999999999979</v>
      </c>
      <c r="CV114" s="13">
        <f t="shared" si="95"/>
        <v>54.783765878062617</v>
      </c>
      <c r="CW114" s="20">
        <f t="shared" si="67"/>
        <v>483.94605890429199</v>
      </c>
      <c r="CX114" s="59">
        <f t="shared" si="68"/>
        <v>777.2793922376253</v>
      </c>
      <c r="CY114" s="59">
        <f ca="1">AVERAGE(OFFSET($CX$3,0,0,'Données projet'!$E$13+1,1))-AVERAGE(OFFSET($H$3,0,0,'Données projet'!$E$13+1,1))</f>
        <v>215.84581110302656</v>
      </c>
      <c r="CZ114" s="59">
        <f t="shared" si="96"/>
        <v>193.88588526156104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26.048427434907214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26.048427434907214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401</v>
      </c>
      <c r="O115" s="13">
        <f>N115*VLOOKUP('Données projet'!$B$9,Paramètres!$A$1:$I$89,3,0)*VLOOKUP('Données projet'!$B$9,Paramètres!$A$1:$I$89,5,0)</f>
        <v>250.22399999999999</v>
      </c>
      <c r="P115" s="13">
        <f t="shared" si="87"/>
        <v>60.633904580527918</v>
      </c>
      <c r="Q115" s="20">
        <f t="shared" si="107"/>
        <v>541.41085047775289</v>
      </c>
      <c r="R115" s="59">
        <f t="shared" si="55"/>
        <v>834.74418381108626</v>
      </c>
      <c r="S115" s="59">
        <f ca="1">AVERAGE(OFFSET($R$3,0,0,'Données projet'!$E$9+1,1))-AVERAGE(OFFSET($H$3,0,0,'Données projet'!$E$9+1,1))</f>
        <v>269.77739619445515</v>
      </c>
      <c r="T115" s="59">
        <f t="shared" si="88"/>
        <v>347.56964743629885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27.343962510778894</v>
      </c>
      <c r="AA115" s="21">
        <f>EXP(-LN(2)/25)*AA114+(1-EXP(-LN(2)/25))/(LN(2)/25)*Calculateur!V115*Calculateur!X115*VLOOKUP('Données projet'!$B$9,Paramètres!$A$1:$I$89,3,0)*0.475*44/12</f>
        <v>9.4447556504742494</v>
      </c>
      <c r="AB115" s="21">
        <f>EXP(-LN(2)/2)*AB114+(1-EXP(-LN(2)/2))/(LN(2)/2)*V115*Y115*VLOOKUP('Données projet'!$B$9,Paramètres!$A$1:$I$89,3,0)*0.475*44/12</f>
        <v>1.1295172056173603E-14</v>
      </c>
      <c r="AC115" s="22">
        <f t="shared" si="57"/>
        <v>36.788718161253158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735.00000000000011</v>
      </c>
      <c r="AJ115" s="13">
        <f>AI115*VLOOKUP('Données projet'!$B$10,Paramètres!$A$1:$I$89,3,0)*VLOOKUP('Données projet'!$B$10,Paramètres!$A$1:$I$89,5,0)</f>
        <v>343.98</v>
      </c>
      <c r="AK115" s="13">
        <f t="shared" si="89"/>
        <v>80.321681832084693</v>
      </c>
      <c r="AL115" s="20">
        <f t="shared" si="58"/>
        <v>738.9920958575475</v>
      </c>
      <c r="AM115" s="59">
        <f t="shared" si="59"/>
        <v>1032.3254291908809</v>
      </c>
      <c r="AN115" s="59">
        <f ca="1">AVERAGE(OFFSET($AM$3,0,0,'Données projet'!$E$10+1,1))-AVERAGE(OFFSET($H$3,0,0,'Données projet'!$E$10+1,1))</f>
        <v>342.49944586217674</v>
      </c>
      <c r="AO115" s="59">
        <f t="shared" si="90"/>
        <v>282.29766600872563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62.58154577042049</v>
      </c>
      <c r="AV115" s="21">
        <f>EXP(-LN(2)/25)*AV114+(1-EXP(-LN(2)/25))/(LN(2)/25)*Calculateur!AQ115*Calculateur!AS115*VLOOKUP('Données projet'!$B$10,Paramètres!$A$1:$I$89,3,0)*0.475*44/12</f>
        <v>4.1262463839956132</v>
      </c>
      <c r="AW115" s="21">
        <f>EXP(-LN(2)/2)*AW114+(1-EXP(-LN(2)/2))/(LN(2)/2)*AQ115*AT115*VLOOKUP('Données projet'!$B$10,Paramètres!$A$1:$I$89,3,0)*0.475*44/12</f>
        <v>3.7650573520578708E-14</v>
      </c>
      <c r="AX115" s="21">
        <f t="shared" si="60"/>
        <v>66.70779215441614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319</v>
      </c>
      <c r="BE115" s="13">
        <f>BD115*VLOOKUP('Données projet'!$B$11,Paramètres!$A$1:$I$89,3,0)*VLOOKUP('Données projet'!$B$11,Paramètres!$A$1:$I$89,5,0)</f>
        <v>253.79640000000001</v>
      </c>
      <c r="BF115" s="13">
        <f t="shared" si="91"/>
        <v>61.39816832228076</v>
      </c>
      <c r="BG115" s="20">
        <f t="shared" si="61"/>
        <v>548.96387316130563</v>
      </c>
      <c r="BH115" s="59">
        <f t="shared" si="62"/>
        <v>842.29720649463889</v>
      </c>
      <c r="BI115" s="59">
        <f ca="1">AVERAGE(OFFSET($BH$3,0,0,'Données projet'!$E$11+1,1))-AVERAGE(OFFSET($H$3,0,0,'Données projet'!$E$11+1,1))</f>
        <v>279.49721661620544</v>
      </c>
      <c r="BJ115" s="59">
        <f t="shared" si="92"/>
        <v>275.18739333988754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28.211413108181524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28.211413108181524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732.99999999999966</v>
      </c>
      <c r="BZ115" s="13">
        <f>BY115*VLOOKUP('Données projet'!$B$12,Paramètres!$A$1:$I$89,3,0)*VLOOKUP('Données projet'!$B$12,Paramètres!$A$1:$I$89,5,0)</f>
        <v>352.57299999999987</v>
      </c>
      <c r="CA115" s="13">
        <f t="shared" si="93"/>
        <v>82.092092597941644</v>
      </c>
      <c r="CB115" s="20">
        <f t="shared" si="64"/>
        <v>757.04170294141477</v>
      </c>
      <c r="CC115" s="59">
        <f t="shared" si="65"/>
        <v>1050.375036274748</v>
      </c>
      <c r="CD115" s="59">
        <f ca="1">AVERAGE(OFFSET($CC$3,0,0,'Données projet'!$E$12+1,1))-AVERAGE(OFFSET($H$3,0,0,'Données projet'!$E$12+1,1))</f>
        <v>349.65790906807746</v>
      </c>
      <c r="CE115" s="59">
        <f t="shared" si="94"/>
        <v>291.88925884278888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67.126397847138492</v>
      </c>
      <c r="CL115" s="21">
        <f>EXP(-LN(2)/25)*CL114+(1-EXP(-LN(2)/25))/(LN(2)/25)*Calculateur!CG115*Calculateur!CI115*VLOOKUP('Données projet'!$B$12,Paramètres!$A$1:$I$89,3,0)*0.475*44/12</f>
        <v>4.2408643391066114</v>
      </c>
      <c r="CM115" s="21">
        <f>EXP(-LN(2)/2)*CM114+(1-EXP(-LN(2)/2))/(LN(2)/2)*CG115*CJ115*VLOOKUP('Données projet'!$B$12,Paramètres!$A$1:$I$89,3,0)*0.475*44/12</f>
        <v>2.321785367102352E-14</v>
      </c>
      <c r="CN115" s="22">
        <f t="shared" si="66"/>
        <v>71.367262186245128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285.99999999999972</v>
      </c>
      <c r="CU115" s="17">
        <f>CT115*VLOOKUP('Données projet'!$B$13,Paramètres!$A$1:$I$89,3,0)*VLOOKUP('Données projet'!$B$13,Paramètres!$A$1:$I$89,5,0)</f>
        <v>223.07999999999979</v>
      </c>
      <c r="CV115" s="13">
        <f t="shared" si="95"/>
        <v>54.783765878062617</v>
      </c>
      <c r="CW115" s="20">
        <f t="shared" si="67"/>
        <v>483.94605890429199</v>
      </c>
      <c r="CX115" s="59">
        <f t="shared" si="68"/>
        <v>777.2793922376253</v>
      </c>
      <c r="CY115" s="59">
        <f ca="1">AVERAGE(OFFSET($CX$3,0,0,'Données projet'!$E$13+1,1))-AVERAGE(OFFSET($H$3,0,0,'Données projet'!$E$13+1,1))</f>
        <v>215.84581110302656</v>
      </c>
      <c r="CZ115" s="59">
        <f t="shared" si="96"/>
        <v>193.88588526156104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25.537633660880612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25.537633660880612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401</v>
      </c>
      <c r="O116" s="13">
        <f>N116*VLOOKUP('Données projet'!$B$9,Paramètres!$A$1:$I$89,3,0)*VLOOKUP('Données projet'!$B$9,Paramètres!$A$1:$I$89,5,0)</f>
        <v>250.22399999999999</v>
      </c>
      <c r="P116" s="13">
        <f t="shared" si="87"/>
        <v>60.633904580527918</v>
      </c>
      <c r="Q116" s="20">
        <f t="shared" si="107"/>
        <v>541.41085047775289</v>
      </c>
      <c r="R116" s="59">
        <f t="shared" si="55"/>
        <v>834.74418381108626</v>
      </c>
      <c r="S116" s="59">
        <f ca="1">AVERAGE(OFFSET($R$3,0,0,'Données projet'!$E$9+1,1))-AVERAGE(OFFSET($H$3,0,0,'Données projet'!$E$9+1,1))</f>
        <v>269.77739619445515</v>
      </c>
      <c r="T116" s="59">
        <f t="shared" si="88"/>
        <v>347.56964743629885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26.807764084112819</v>
      </c>
      <c r="AA116" s="21">
        <f>EXP(-LN(2)/25)*AA115+(1-EXP(-LN(2)/25))/(LN(2)/25)*Calculateur!V116*Calculateur!X116*VLOOKUP('Données projet'!$B$9,Paramètres!$A$1:$I$89,3,0)*0.475*44/12</f>
        <v>9.1864883105339175</v>
      </c>
      <c r="AB116" s="21">
        <f>EXP(-LN(2)/2)*AB115+(1-EXP(-LN(2)/2))/(LN(2)/2)*V116*Y116*VLOOKUP('Données projet'!$B$9,Paramètres!$A$1:$I$89,3,0)*0.475*44/12</f>
        <v>7.9868927555891539E-15</v>
      </c>
      <c r="AC116" s="22">
        <f t="shared" si="57"/>
        <v>35.994252394646743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735.00000000000011</v>
      </c>
      <c r="AJ116" s="13">
        <f>AI116*VLOOKUP('Données projet'!$B$10,Paramètres!$A$1:$I$89,3,0)*VLOOKUP('Données projet'!$B$10,Paramètres!$A$1:$I$89,5,0)</f>
        <v>343.98</v>
      </c>
      <c r="AK116" s="13">
        <f t="shared" si="89"/>
        <v>80.321681832084693</v>
      </c>
      <c r="AL116" s="20">
        <f t="shared" si="58"/>
        <v>738.9920958575475</v>
      </c>
      <c r="AM116" s="59">
        <f t="shared" si="59"/>
        <v>1032.3254291908809</v>
      </c>
      <c r="AN116" s="59">
        <f ca="1">AVERAGE(OFFSET($AM$3,0,0,'Données projet'!$E$10+1,1))-AVERAGE(OFFSET($H$3,0,0,'Données projet'!$E$10+1,1))</f>
        <v>342.49944586217674</v>
      </c>
      <c r="AO116" s="59">
        <f t="shared" si="90"/>
        <v>282.29766600872563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61.354359828836394</v>
      </c>
      <c r="AV116" s="21">
        <f>EXP(-LN(2)/25)*AV115+(1-EXP(-LN(2)/25))/(LN(2)/25)*Calculateur!AQ116*Calculateur!AS116*VLOOKUP('Données projet'!$B$10,Paramètres!$A$1:$I$89,3,0)*0.475*44/12</f>
        <v>4.0134139596353862</v>
      </c>
      <c r="AW116" s="21">
        <f>EXP(-LN(2)/2)*AW115+(1-EXP(-LN(2)/2))/(LN(2)/2)*AQ116*AT116*VLOOKUP('Données projet'!$B$10,Paramètres!$A$1:$I$89,3,0)*0.475*44/12</f>
        <v>2.6622975851963869E-14</v>
      </c>
      <c r="AX116" s="21">
        <f t="shared" si="60"/>
        <v>65.367773788471808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319</v>
      </c>
      <c r="BE116" s="13">
        <f>BD116*VLOOKUP('Données projet'!$B$11,Paramètres!$A$1:$I$89,3,0)*VLOOKUP('Données projet'!$B$11,Paramètres!$A$1:$I$89,5,0)</f>
        <v>253.79640000000001</v>
      </c>
      <c r="BF116" s="13">
        <f t="shared" si="91"/>
        <v>61.39816832228076</v>
      </c>
      <c r="BG116" s="20">
        <f t="shared" si="61"/>
        <v>548.96387316130563</v>
      </c>
      <c r="BH116" s="59">
        <f t="shared" si="62"/>
        <v>842.29720649463889</v>
      </c>
      <c r="BI116" s="59">
        <f ca="1">AVERAGE(OFFSET($BH$3,0,0,'Données projet'!$E$11+1,1))-AVERAGE(OFFSET($H$3,0,0,'Données projet'!$E$11+1,1))</f>
        <v>279.49721661620544</v>
      </c>
      <c r="BJ116" s="59">
        <f t="shared" si="92"/>
        <v>275.18739333988754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27.658204504393005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27.658204504393005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732.99999999999966</v>
      </c>
      <c r="BZ116" s="13">
        <f>BY116*VLOOKUP('Données projet'!$B$12,Paramètres!$A$1:$I$89,3,0)*VLOOKUP('Données projet'!$B$12,Paramètres!$A$1:$I$89,5,0)</f>
        <v>352.57299999999987</v>
      </c>
      <c r="CA116" s="13">
        <f t="shared" si="93"/>
        <v>82.092092597941644</v>
      </c>
      <c r="CB116" s="20">
        <f t="shared" si="64"/>
        <v>757.04170294141477</v>
      </c>
      <c r="CC116" s="59">
        <f t="shared" si="65"/>
        <v>1050.375036274748</v>
      </c>
      <c r="CD116" s="59">
        <f ca="1">AVERAGE(OFFSET($CC$3,0,0,'Données projet'!$E$12+1,1))-AVERAGE(OFFSET($H$3,0,0,'Données projet'!$E$12+1,1))</f>
        <v>349.65790906807746</v>
      </c>
      <c r="CE116" s="59">
        <f t="shared" si="94"/>
        <v>291.88925884278888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65.810090128416007</v>
      </c>
      <c r="CL116" s="21">
        <f>EXP(-LN(2)/25)*CL115+(1-EXP(-LN(2)/25))/(LN(2)/25)*Calculateur!CG116*Calculateur!CI116*VLOOKUP('Données projet'!$B$12,Paramètres!$A$1:$I$89,3,0)*0.475*44/12</f>
        <v>4.1248976807363782</v>
      </c>
      <c r="CM116" s="21">
        <f>EXP(-LN(2)/2)*CM115+(1-EXP(-LN(2)/2))/(LN(2)/2)*CG116*CJ116*VLOOKUP('Données projet'!$B$12,Paramètres!$A$1:$I$89,3,0)*0.475*44/12</f>
        <v>1.6417501775377707E-14</v>
      </c>
      <c r="CN116" s="22">
        <f t="shared" si="66"/>
        <v>69.934987809152403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285.99999999999972</v>
      </c>
      <c r="CU116" s="17">
        <f>CT116*VLOOKUP('Données projet'!$B$13,Paramètres!$A$1:$I$89,3,0)*VLOOKUP('Données projet'!$B$13,Paramètres!$A$1:$I$89,5,0)</f>
        <v>223.07999999999979</v>
      </c>
      <c r="CV116" s="13">
        <f t="shared" si="95"/>
        <v>54.783765878062617</v>
      </c>
      <c r="CW116" s="20">
        <f t="shared" si="67"/>
        <v>483.94605890429199</v>
      </c>
      <c r="CX116" s="59">
        <f t="shared" si="68"/>
        <v>777.2793922376253</v>
      </c>
      <c r="CY116" s="59">
        <f ca="1">AVERAGE(OFFSET($CX$3,0,0,'Données projet'!$E$13+1,1))-AVERAGE(OFFSET($H$3,0,0,'Données projet'!$E$13+1,1))</f>
        <v>215.84581110302656</v>
      </c>
      <c r="CZ116" s="59">
        <f t="shared" si="96"/>
        <v>193.88588526156104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25.036856241209232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25.036856241209232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401</v>
      </c>
      <c r="O117" s="13">
        <f>N117*VLOOKUP('Données projet'!$B$9,Paramètres!$A$1:$I$89,3,0)*VLOOKUP('Données projet'!$B$9,Paramètres!$A$1:$I$89,5,0)</f>
        <v>250.22399999999999</v>
      </c>
      <c r="P117" s="13">
        <f t="shared" si="87"/>
        <v>60.633904580527918</v>
      </c>
      <c r="Q117" s="20">
        <f t="shared" si="107"/>
        <v>541.41085047775289</v>
      </c>
      <c r="R117" s="59">
        <f t="shared" si="55"/>
        <v>834.74418381108626</v>
      </c>
      <c r="S117" s="59">
        <f ca="1">AVERAGE(OFFSET($R$3,0,0,'Données projet'!$E$9+1,1))-AVERAGE(OFFSET($H$3,0,0,'Données projet'!$E$9+1,1))</f>
        <v>269.77739619445515</v>
      </c>
      <c r="T117" s="59">
        <f t="shared" si="88"/>
        <v>347.56964743629885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26.28208018154492</v>
      </c>
      <c r="AA117" s="21">
        <f>EXP(-LN(2)/25)*AA116+(1-EXP(-LN(2)/25))/(LN(2)/25)*Calculateur!V117*Calculateur!X117*VLOOKUP('Données projet'!$B$9,Paramètres!$A$1:$I$89,3,0)*0.475*44/12</f>
        <v>8.9352833045859441</v>
      </c>
      <c r="AB117" s="21">
        <f>EXP(-LN(2)/2)*AB116+(1-EXP(-LN(2)/2))/(LN(2)/2)*V117*Y117*VLOOKUP('Données projet'!$B$9,Paramètres!$A$1:$I$89,3,0)*0.475*44/12</f>
        <v>5.6475860280868015E-15</v>
      </c>
      <c r="AC117" s="22">
        <f t="shared" si="57"/>
        <v>35.217363486130871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735.00000000000011</v>
      </c>
      <c r="AJ117" s="13">
        <f>AI117*VLOOKUP('Données projet'!$B$10,Paramètres!$A$1:$I$89,3,0)*VLOOKUP('Données projet'!$B$10,Paramètres!$A$1:$I$89,5,0)</f>
        <v>343.98</v>
      </c>
      <c r="AK117" s="13">
        <f t="shared" si="89"/>
        <v>80.321681832084693</v>
      </c>
      <c r="AL117" s="20">
        <f t="shared" si="58"/>
        <v>738.9920958575475</v>
      </c>
      <c r="AM117" s="59">
        <f t="shared" si="59"/>
        <v>1032.3254291908809</v>
      </c>
      <c r="AN117" s="59">
        <f ca="1">AVERAGE(OFFSET($AM$3,0,0,'Données projet'!$E$10+1,1))-AVERAGE(OFFSET($H$3,0,0,'Données projet'!$E$10+1,1))</f>
        <v>342.49944586217674</v>
      </c>
      <c r="AO117" s="59">
        <f t="shared" si="90"/>
        <v>282.29766600872563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60.151238255057244</v>
      </c>
      <c r="AV117" s="21">
        <f>EXP(-LN(2)/25)*AV116+(1-EXP(-LN(2)/25))/(LN(2)/25)*Calculateur!AQ117*Calculateur!AS117*VLOOKUP('Données projet'!$B$10,Paramètres!$A$1:$I$89,3,0)*0.475*44/12</f>
        <v>3.903666943852889</v>
      </c>
      <c r="AW117" s="21">
        <f>EXP(-LN(2)/2)*AW116+(1-EXP(-LN(2)/2))/(LN(2)/2)*AQ117*AT117*VLOOKUP('Données projet'!$B$10,Paramètres!$A$1:$I$89,3,0)*0.475*44/12</f>
        <v>1.8825286760289354E-14</v>
      </c>
      <c r="AX117" s="21">
        <f t="shared" si="60"/>
        <v>64.054905198910149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319</v>
      </c>
      <c r="BE117" s="13">
        <f>BD117*VLOOKUP('Données projet'!$B$11,Paramètres!$A$1:$I$89,3,0)*VLOOKUP('Données projet'!$B$11,Paramètres!$A$1:$I$89,5,0)</f>
        <v>253.79640000000001</v>
      </c>
      <c r="BF117" s="13">
        <f t="shared" si="91"/>
        <v>61.39816832228076</v>
      </c>
      <c r="BG117" s="20">
        <f t="shared" si="61"/>
        <v>548.96387316130563</v>
      </c>
      <c r="BH117" s="59">
        <f t="shared" si="62"/>
        <v>842.29720649463889</v>
      </c>
      <c r="BI117" s="59">
        <f ca="1">AVERAGE(OFFSET($BH$3,0,0,'Données projet'!$E$11+1,1))-AVERAGE(OFFSET($H$3,0,0,'Données projet'!$E$11+1,1))</f>
        <v>279.49721661620544</v>
      </c>
      <c r="BJ117" s="59">
        <f t="shared" si="92"/>
        <v>275.18739333988754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27.115843983900849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27.115843983900849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732.99999999999966</v>
      </c>
      <c r="BZ117" s="13">
        <f>BY117*VLOOKUP('Données projet'!$B$12,Paramètres!$A$1:$I$89,3,0)*VLOOKUP('Données projet'!$B$12,Paramètres!$A$1:$I$89,5,0)</f>
        <v>352.57299999999987</v>
      </c>
      <c r="CA117" s="13">
        <f t="shared" si="93"/>
        <v>82.092092597941644</v>
      </c>
      <c r="CB117" s="20">
        <f t="shared" si="64"/>
        <v>757.04170294141477</v>
      </c>
      <c r="CC117" s="59">
        <f t="shared" si="65"/>
        <v>1050.375036274748</v>
      </c>
      <c r="CD117" s="59">
        <f ca="1">AVERAGE(OFFSET($CC$3,0,0,'Données projet'!$E$12+1,1))-AVERAGE(OFFSET($H$3,0,0,'Données projet'!$E$12+1,1))</f>
        <v>349.65790906807746</v>
      </c>
      <c r="CE117" s="59">
        <f t="shared" si="94"/>
        <v>291.88925884278888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64.519594401189238</v>
      </c>
      <c r="CL117" s="21">
        <f>EXP(-LN(2)/25)*CL116+(1-EXP(-LN(2)/25))/(LN(2)/25)*Calculateur!CG117*Calculateur!CI117*VLOOKUP('Données projet'!$B$12,Paramètres!$A$1:$I$89,3,0)*0.475*44/12</f>
        <v>4.0121021367377008</v>
      </c>
      <c r="CM117" s="21">
        <f>EXP(-LN(2)/2)*CM116+(1-EXP(-LN(2)/2))/(LN(2)/2)*CG117*CJ117*VLOOKUP('Données projet'!$B$12,Paramètres!$A$1:$I$89,3,0)*0.475*44/12</f>
        <v>1.160892683551176E-14</v>
      </c>
      <c r="CN117" s="22">
        <f t="shared" si="66"/>
        <v>68.531696537926948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285.99999999999972</v>
      </c>
      <c r="CU117" s="17">
        <f>CT117*VLOOKUP('Données projet'!$B$13,Paramètres!$A$1:$I$89,3,0)*VLOOKUP('Données projet'!$B$13,Paramètres!$A$1:$I$89,5,0)</f>
        <v>223.07999999999979</v>
      </c>
      <c r="CV117" s="13">
        <f t="shared" si="95"/>
        <v>54.783765878062617</v>
      </c>
      <c r="CW117" s="20">
        <f t="shared" si="67"/>
        <v>483.94605890429199</v>
      </c>
      <c r="CX117" s="59">
        <f t="shared" si="68"/>
        <v>777.2793922376253</v>
      </c>
      <c r="CY117" s="59">
        <f ca="1">AVERAGE(OFFSET($CX$3,0,0,'Données projet'!$E$13+1,1))-AVERAGE(OFFSET($H$3,0,0,'Données projet'!$E$13+1,1))</f>
        <v>215.84581110302656</v>
      </c>
      <c r="CZ117" s="59">
        <f t="shared" si="96"/>
        <v>193.88588526156104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24.545898761293543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24.545898761293543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401</v>
      </c>
      <c r="O118" s="13">
        <f>N118*VLOOKUP('Données projet'!$B$9,Paramètres!$A$1:$I$89,3,0)*VLOOKUP('Données projet'!$B$9,Paramètres!$A$1:$I$89,5,0)</f>
        <v>250.22399999999999</v>
      </c>
      <c r="P118" s="13">
        <f t="shared" si="87"/>
        <v>60.633904580527918</v>
      </c>
      <c r="Q118" s="20">
        <f t="shared" si="107"/>
        <v>541.41085047775289</v>
      </c>
      <c r="R118" s="59">
        <f t="shared" si="55"/>
        <v>834.74418381108626</v>
      </c>
      <c r="S118" s="59">
        <f ca="1">AVERAGE(OFFSET($R$3,0,0,'Données projet'!$E$9+1,1))-AVERAGE(OFFSET($H$3,0,0,'Données projet'!$E$9+1,1))</f>
        <v>269.77739619445515</v>
      </c>
      <c r="T118" s="59">
        <f t="shared" si="88"/>
        <v>347.56964743629885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25.766704619670858</v>
      </c>
      <c r="AA118" s="21">
        <f>EXP(-LN(2)/25)*AA117+(1-EXP(-LN(2)/25))/(LN(2)/25)*Calculateur!V118*Calculateur!X118*VLOOKUP('Données projet'!$B$9,Paramètres!$A$1:$I$89,3,0)*0.475*44/12</f>
        <v>8.6909475127359137</v>
      </c>
      <c r="AB118" s="21">
        <f>EXP(-LN(2)/2)*AB117+(1-EXP(-LN(2)/2))/(LN(2)/2)*V118*Y118*VLOOKUP('Données projet'!$B$9,Paramètres!$A$1:$I$89,3,0)*0.475*44/12</f>
        <v>3.9934463777945769E-15</v>
      </c>
      <c r="AC118" s="22">
        <f t="shared" si="57"/>
        <v>34.457652132406778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735.00000000000011</v>
      </c>
      <c r="AJ118" s="13">
        <f>AI118*VLOOKUP('Données projet'!$B$10,Paramètres!$A$1:$I$89,3,0)*VLOOKUP('Données projet'!$B$10,Paramètres!$A$1:$I$89,5,0)</f>
        <v>343.98</v>
      </c>
      <c r="AK118" s="13">
        <f t="shared" si="89"/>
        <v>80.321681832084693</v>
      </c>
      <c r="AL118" s="20">
        <f t="shared" si="58"/>
        <v>738.9920958575475</v>
      </c>
      <c r="AM118" s="59">
        <f t="shared" si="59"/>
        <v>1032.3254291908809</v>
      </c>
      <c r="AN118" s="59">
        <f ca="1">AVERAGE(OFFSET($AM$3,0,0,'Données projet'!$E$10+1,1))-AVERAGE(OFFSET($H$3,0,0,'Données projet'!$E$10+1,1))</f>
        <v>342.49944586217674</v>
      </c>
      <c r="AO118" s="59">
        <f t="shared" si="90"/>
        <v>282.29766600872563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58.971709161508208</v>
      </c>
      <c r="AV118" s="21">
        <f>EXP(-LN(2)/25)*AV117+(1-EXP(-LN(2)/25))/(LN(2)/25)*Calculateur!AQ118*Calculateur!AS118*VLOOKUP('Données projet'!$B$10,Paramètres!$A$1:$I$89,3,0)*0.475*44/12</f>
        <v>3.796920965988309</v>
      </c>
      <c r="AW118" s="21">
        <f>EXP(-LN(2)/2)*AW117+(1-EXP(-LN(2)/2))/(LN(2)/2)*AQ118*AT118*VLOOKUP('Données projet'!$B$10,Paramètres!$A$1:$I$89,3,0)*0.475*44/12</f>
        <v>1.3311487925981935E-14</v>
      </c>
      <c r="AX118" s="21">
        <f t="shared" si="60"/>
        <v>62.768630127496529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319</v>
      </c>
      <c r="BE118" s="13">
        <f>BD118*VLOOKUP('Données projet'!$B$11,Paramètres!$A$1:$I$89,3,0)*VLOOKUP('Données projet'!$B$11,Paramètres!$A$1:$I$89,5,0)</f>
        <v>253.79640000000001</v>
      </c>
      <c r="BF118" s="13">
        <f t="shared" si="91"/>
        <v>61.39816832228076</v>
      </c>
      <c r="BG118" s="20">
        <f t="shared" si="61"/>
        <v>548.96387316130563</v>
      </c>
      <c r="BH118" s="59">
        <f t="shared" si="62"/>
        <v>842.29720649463889</v>
      </c>
      <c r="BI118" s="59">
        <f ca="1">AVERAGE(OFFSET($BH$3,0,0,'Données projet'!$E$11+1,1))-AVERAGE(OFFSET($H$3,0,0,'Données projet'!$E$11+1,1))</f>
        <v>279.49721661620544</v>
      </c>
      <c r="BJ118" s="59">
        <f t="shared" si="92"/>
        <v>275.18739333988754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26.584118822408289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26.584118822408289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732.99999999999966</v>
      </c>
      <c r="BZ118" s="13">
        <f>BY118*VLOOKUP('Données projet'!$B$12,Paramètres!$A$1:$I$89,3,0)*VLOOKUP('Données projet'!$B$12,Paramètres!$A$1:$I$89,5,0)</f>
        <v>352.57299999999987</v>
      </c>
      <c r="CA118" s="13">
        <f t="shared" si="93"/>
        <v>82.092092597941644</v>
      </c>
      <c r="CB118" s="20">
        <f t="shared" si="64"/>
        <v>757.04170294141477</v>
      </c>
      <c r="CC118" s="59">
        <f t="shared" si="65"/>
        <v>1050.375036274748</v>
      </c>
      <c r="CD118" s="59">
        <f ca="1">AVERAGE(OFFSET($CC$3,0,0,'Données projet'!$E$12+1,1))-AVERAGE(OFFSET($H$3,0,0,'Données projet'!$E$12+1,1))</f>
        <v>349.65790906807746</v>
      </c>
      <c r="CE118" s="59">
        <f t="shared" si="94"/>
        <v>291.88925884278888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63.254404508048708</v>
      </c>
      <c r="CL118" s="21">
        <f>EXP(-LN(2)/25)*CL117+(1-EXP(-LN(2)/25))/(LN(2)/25)*Calculateur!CG118*Calculateur!CI118*VLOOKUP('Données projet'!$B$12,Paramètres!$A$1:$I$89,3,0)*0.475*44/12</f>
        <v>3.902390992821327</v>
      </c>
      <c r="CM118" s="21">
        <f>EXP(-LN(2)/2)*CM117+(1-EXP(-LN(2)/2))/(LN(2)/2)*CG118*CJ118*VLOOKUP('Données projet'!$B$12,Paramètres!$A$1:$I$89,3,0)*0.475*44/12</f>
        <v>8.2087508876888535E-15</v>
      </c>
      <c r="CN118" s="22">
        <f t="shared" si="66"/>
        <v>67.156795500870047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285.99999999999972</v>
      </c>
      <c r="CU118" s="17">
        <f>CT118*VLOOKUP('Données projet'!$B$13,Paramètres!$A$1:$I$89,3,0)*VLOOKUP('Données projet'!$B$13,Paramètres!$A$1:$I$89,5,0)</f>
        <v>223.07999999999979</v>
      </c>
      <c r="CV118" s="13">
        <f t="shared" si="95"/>
        <v>54.783765878062617</v>
      </c>
      <c r="CW118" s="20">
        <f t="shared" si="67"/>
        <v>483.94605890429199</v>
      </c>
      <c r="CX118" s="59">
        <f t="shared" si="68"/>
        <v>777.2793922376253</v>
      </c>
      <c r="CY118" s="59">
        <f ca="1">AVERAGE(OFFSET($CX$3,0,0,'Données projet'!$E$13+1,1))-AVERAGE(OFFSET($H$3,0,0,'Données projet'!$E$13+1,1))</f>
        <v>215.84581110302656</v>
      </c>
      <c r="CZ118" s="59">
        <f t="shared" si="96"/>
        <v>193.88588526156104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24.064568658104506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24.064568658104506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401</v>
      </c>
      <c r="O119" s="13">
        <f>N119*VLOOKUP('Données projet'!$B$9,Paramètres!$A$1:$I$89,3,0)*VLOOKUP('Données projet'!$B$9,Paramètres!$A$1:$I$89,5,0)</f>
        <v>250.22399999999999</v>
      </c>
      <c r="P119" s="13">
        <f t="shared" si="87"/>
        <v>60.633904580527918</v>
      </c>
      <c r="Q119" s="20">
        <f t="shared" si="107"/>
        <v>541.41085047775289</v>
      </c>
      <c r="R119" s="59">
        <f t="shared" si="55"/>
        <v>834.74418381108626</v>
      </c>
      <c r="S119" s="59">
        <f ca="1">AVERAGE(OFFSET($R$3,0,0,'Données projet'!$E$9+1,1))-AVERAGE(OFFSET($H$3,0,0,'Données projet'!$E$9+1,1))</f>
        <v>269.77739619445515</v>
      </c>
      <c r="T119" s="59">
        <f t="shared" si="88"/>
        <v>347.56964743629885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25.261435258217091</v>
      </c>
      <c r="AA119" s="21">
        <f>EXP(-LN(2)/25)*AA118+(1-EXP(-LN(2)/25))/(LN(2)/25)*Calculateur!V119*Calculateur!X119*VLOOKUP('Données projet'!$B$9,Paramètres!$A$1:$I$89,3,0)*0.475*44/12</f>
        <v>8.4532930959630832</v>
      </c>
      <c r="AB119" s="21">
        <f>EXP(-LN(2)/2)*AB118+(1-EXP(-LN(2)/2))/(LN(2)/2)*V119*Y119*VLOOKUP('Données projet'!$B$9,Paramètres!$A$1:$I$89,3,0)*0.475*44/12</f>
        <v>2.8237930140434008E-15</v>
      </c>
      <c r="AC119" s="22">
        <f t="shared" si="57"/>
        <v>33.714728354180174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735.00000000000011</v>
      </c>
      <c r="AJ119" s="13">
        <f>AI119*VLOOKUP('Données projet'!$B$10,Paramètres!$A$1:$I$89,3,0)*VLOOKUP('Données projet'!$B$10,Paramètres!$A$1:$I$89,5,0)</f>
        <v>343.98</v>
      </c>
      <c r="AK119" s="13">
        <f t="shared" si="89"/>
        <v>80.321681832084693</v>
      </c>
      <c r="AL119" s="20">
        <f t="shared" si="58"/>
        <v>738.9920958575475</v>
      </c>
      <c r="AM119" s="59">
        <f t="shared" si="59"/>
        <v>1032.3254291908809</v>
      </c>
      <c r="AN119" s="59">
        <f ca="1">AVERAGE(OFFSET($AM$3,0,0,'Données projet'!$E$10+1,1))-AVERAGE(OFFSET($H$3,0,0,'Données projet'!$E$10+1,1))</f>
        <v>342.49944586217674</v>
      </c>
      <c r="AO119" s="59">
        <f t="shared" si="90"/>
        <v>282.29766600872563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57.815309914041961</v>
      </c>
      <c r="AV119" s="21">
        <f>EXP(-LN(2)/25)*AV118+(1-EXP(-LN(2)/25))/(LN(2)/25)*Calculateur!AQ119*Calculateur!AS119*VLOOKUP('Données projet'!$B$10,Paramètres!$A$1:$I$89,3,0)*0.475*44/12</f>
        <v>3.6930939625019632</v>
      </c>
      <c r="AW119" s="21">
        <f>EXP(-LN(2)/2)*AW118+(1-EXP(-LN(2)/2))/(LN(2)/2)*AQ119*AT119*VLOOKUP('Données projet'!$B$10,Paramètres!$A$1:$I$89,3,0)*0.475*44/12</f>
        <v>9.4126433801446771E-15</v>
      </c>
      <c r="AX119" s="21">
        <f t="shared" si="60"/>
        <v>61.50840387654393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319</v>
      </c>
      <c r="BE119" s="13">
        <f>BD119*VLOOKUP('Données projet'!$B$11,Paramètres!$A$1:$I$89,3,0)*VLOOKUP('Données projet'!$B$11,Paramètres!$A$1:$I$89,5,0)</f>
        <v>253.79640000000001</v>
      </c>
      <c r="BF119" s="13">
        <f t="shared" si="91"/>
        <v>61.39816832228076</v>
      </c>
      <c r="BG119" s="20">
        <f t="shared" si="61"/>
        <v>548.96387316130563</v>
      </c>
      <c r="BH119" s="59">
        <f t="shared" si="62"/>
        <v>842.29720649463889</v>
      </c>
      <c r="BI119" s="59">
        <f ca="1">AVERAGE(OFFSET($BH$3,0,0,'Données projet'!$E$11+1,1))-AVERAGE(OFFSET($H$3,0,0,'Données projet'!$E$11+1,1))</f>
        <v>279.49721661620544</v>
      </c>
      <c r="BJ119" s="59">
        <f t="shared" si="92"/>
        <v>275.18739333988754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26.062820467012276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26.062820467012276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732.99999999999966</v>
      </c>
      <c r="BZ119" s="13">
        <f>BY119*VLOOKUP('Données projet'!$B$12,Paramètres!$A$1:$I$89,3,0)*VLOOKUP('Données projet'!$B$12,Paramètres!$A$1:$I$89,5,0)</f>
        <v>352.57299999999987</v>
      </c>
      <c r="CA119" s="13">
        <f t="shared" si="93"/>
        <v>82.092092597941644</v>
      </c>
      <c r="CB119" s="20">
        <f t="shared" si="64"/>
        <v>757.04170294141477</v>
      </c>
      <c r="CC119" s="59">
        <f t="shared" si="65"/>
        <v>1050.375036274748</v>
      </c>
      <c r="CD119" s="59">
        <f ca="1">AVERAGE(OFFSET($CC$3,0,0,'Données projet'!$E$12+1,1))-AVERAGE(OFFSET($H$3,0,0,'Données projet'!$E$12+1,1))</f>
        <v>349.65790906807746</v>
      </c>
      <c r="CE119" s="59">
        <f t="shared" si="94"/>
        <v>291.88925884278888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62.014024217023028</v>
      </c>
      <c r="CL119" s="21">
        <f>EXP(-LN(2)/25)*CL118+(1-EXP(-LN(2)/25))/(LN(2)/25)*Calculateur!CG119*Calculateur!CI119*VLOOKUP('Données projet'!$B$12,Paramètres!$A$1:$I$89,3,0)*0.475*44/12</f>
        <v>3.7956799059048043</v>
      </c>
      <c r="CM119" s="21">
        <f>EXP(-LN(2)/2)*CM118+(1-EXP(-LN(2)/2))/(LN(2)/2)*CG119*CJ119*VLOOKUP('Données projet'!$B$12,Paramètres!$A$1:$I$89,3,0)*0.475*44/12</f>
        <v>5.8044634177558799E-15</v>
      </c>
      <c r="CN119" s="22">
        <f t="shared" si="66"/>
        <v>65.809704122927826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285.99999999999972</v>
      </c>
      <c r="CU119" s="17">
        <f>CT119*VLOOKUP('Données projet'!$B$13,Paramètres!$A$1:$I$89,3,0)*VLOOKUP('Données projet'!$B$13,Paramètres!$A$1:$I$89,5,0)</f>
        <v>223.07999999999979</v>
      </c>
      <c r="CV119" s="13">
        <f t="shared" si="95"/>
        <v>54.783765878062617</v>
      </c>
      <c r="CW119" s="20">
        <f t="shared" si="67"/>
        <v>483.94605890429199</v>
      </c>
      <c r="CX119" s="59">
        <f t="shared" si="68"/>
        <v>777.2793922376253</v>
      </c>
      <c r="CY119" s="59">
        <f ca="1">AVERAGE(OFFSET($CX$3,0,0,'Données projet'!$E$13+1,1))-AVERAGE(OFFSET($H$3,0,0,'Données projet'!$E$13+1,1))</f>
        <v>215.84581110302656</v>
      </c>
      <c r="CZ119" s="59">
        <f t="shared" si="96"/>
        <v>193.88588526156104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23.59267714465663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23.59267714465663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401</v>
      </c>
      <c r="O120" s="13">
        <f>N120*VLOOKUP('Données projet'!$B$9,Paramètres!$A$1:$I$89,3,0)*VLOOKUP('Données projet'!$B$9,Paramètres!$A$1:$I$89,5,0)</f>
        <v>250.22399999999999</v>
      </c>
      <c r="P120" s="13">
        <f t="shared" si="87"/>
        <v>60.633904580527918</v>
      </c>
      <c r="Q120" s="20">
        <f t="shared" si="107"/>
        <v>541.41085047775289</v>
      </c>
      <c r="R120" s="59">
        <f t="shared" si="55"/>
        <v>834.74418381108626</v>
      </c>
      <c r="S120" s="59">
        <f ca="1">AVERAGE(OFFSET($R$3,0,0,'Données projet'!$E$9+1,1))-AVERAGE(OFFSET($H$3,0,0,'Données projet'!$E$9+1,1))</f>
        <v>269.77739619445515</v>
      </c>
      <c r="T120" s="59">
        <f t="shared" si="88"/>
        <v>347.56964743629885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24.766073920757552</v>
      </c>
      <c r="AA120" s="21">
        <f>EXP(-LN(2)/25)*AA119+(1-EXP(-LN(2)/25))/(LN(2)/25)*Calculateur!V120*Calculateur!X120*VLOOKUP('Données projet'!$B$9,Paramètres!$A$1:$I$89,3,0)*0.475*44/12</f>
        <v>8.2221373517146095</v>
      </c>
      <c r="AB120" s="21">
        <f>EXP(-LN(2)/2)*AB119+(1-EXP(-LN(2)/2))/(LN(2)/2)*V120*Y120*VLOOKUP('Données projet'!$B$9,Paramètres!$A$1:$I$89,3,0)*0.475*44/12</f>
        <v>1.9967231888972885E-15</v>
      </c>
      <c r="AC120" s="22">
        <f t="shared" si="57"/>
        <v>32.988211272472164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735.00000000000011</v>
      </c>
      <c r="AJ120" s="13">
        <f>AI120*VLOOKUP('Données projet'!$B$10,Paramètres!$A$1:$I$89,3,0)*VLOOKUP('Données projet'!$B$10,Paramètres!$A$1:$I$89,5,0)</f>
        <v>343.98</v>
      </c>
      <c r="AK120" s="13">
        <f t="shared" si="89"/>
        <v>80.321681832084693</v>
      </c>
      <c r="AL120" s="20">
        <f t="shared" si="58"/>
        <v>738.9920958575475</v>
      </c>
      <c r="AM120" s="59">
        <f t="shared" si="59"/>
        <v>1032.3254291908809</v>
      </c>
      <c r="AN120" s="59">
        <f ca="1">AVERAGE(OFFSET($AM$3,0,0,'Données projet'!$E$10+1,1))-AVERAGE(OFFSET($H$3,0,0,'Données projet'!$E$10+1,1))</f>
        <v>342.49944586217674</v>
      </c>
      <c r="AO120" s="59">
        <f t="shared" si="90"/>
        <v>282.29766600872563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56.681586950484629</v>
      </c>
      <c r="AV120" s="21">
        <f>EXP(-LN(2)/25)*AV119+(1-EXP(-LN(2)/25))/(LN(2)/25)*Calculateur!AQ120*Calculateur!AS120*VLOOKUP('Données projet'!$B$10,Paramètres!$A$1:$I$89,3,0)*0.475*44/12</f>
        <v>3.592106113885976</v>
      </c>
      <c r="AW120" s="21">
        <f>EXP(-LN(2)/2)*AW119+(1-EXP(-LN(2)/2))/(LN(2)/2)*AQ120*AT120*VLOOKUP('Données projet'!$B$10,Paramètres!$A$1:$I$89,3,0)*0.475*44/12</f>
        <v>6.6557439629909673E-15</v>
      </c>
      <c r="AX120" s="21">
        <f t="shared" si="60"/>
        <v>60.273693064370612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319</v>
      </c>
      <c r="BE120" s="13">
        <f>BD120*VLOOKUP('Données projet'!$B$11,Paramètres!$A$1:$I$89,3,0)*VLOOKUP('Données projet'!$B$11,Paramètres!$A$1:$I$89,5,0)</f>
        <v>253.79640000000001</v>
      </c>
      <c r="BF120" s="13">
        <f t="shared" si="91"/>
        <v>61.39816832228076</v>
      </c>
      <c r="BG120" s="20">
        <f t="shared" si="61"/>
        <v>548.96387316130563</v>
      </c>
      <c r="BH120" s="59">
        <f t="shared" si="62"/>
        <v>842.29720649463889</v>
      </c>
      <c r="BI120" s="59">
        <f ca="1">AVERAGE(OFFSET($BH$3,0,0,'Données projet'!$E$11+1,1))-AVERAGE(OFFSET($H$3,0,0,'Données projet'!$E$11+1,1))</f>
        <v>279.49721661620544</v>
      </c>
      <c r="BJ120" s="59">
        <f t="shared" si="92"/>
        <v>275.18739333988754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25.551744454404975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25.551744454404975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732.99999999999966</v>
      </c>
      <c r="BZ120" s="13">
        <f>BY120*VLOOKUP('Données projet'!$B$12,Paramètres!$A$1:$I$89,3,0)*VLOOKUP('Données projet'!$B$12,Paramètres!$A$1:$I$89,5,0)</f>
        <v>352.57299999999987</v>
      </c>
      <c r="CA120" s="13">
        <f t="shared" si="93"/>
        <v>82.092092597941644</v>
      </c>
      <c r="CB120" s="20">
        <f t="shared" si="64"/>
        <v>757.04170294141477</v>
      </c>
      <c r="CC120" s="59">
        <f t="shared" si="65"/>
        <v>1050.375036274748</v>
      </c>
      <c r="CD120" s="59">
        <f ca="1">AVERAGE(OFFSET($CC$3,0,0,'Données projet'!$E$12+1,1))-AVERAGE(OFFSET($H$3,0,0,'Données projet'!$E$12+1,1))</f>
        <v>349.65790906807746</v>
      </c>
      <c r="CE120" s="59">
        <f t="shared" si="94"/>
        <v>291.88925884278888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60.797967026947092</v>
      </c>
      <c r="CL120" s="21">
        <f>EXP(-LN(2)/25)*CL119+(1-EXP(-LN(2)/25))/(LN(2)/25)*Calculateur!CG120*Calculateur!CI120*VLOOKUP('Données projet'!$B$12,Paramètres!$A$1:$I$89,3,0)*0.475*44/12</f>
        <v>3.6918868392717061</v>
      </c>
      <c r="CM120" s="21">
        <f>EXP(-LN(2)/2)*CM119+(1-EXP(-LN(2)/2))/(LN(2)/2)*CG120*CJ120*VLOOKUP('Données projet'!$B$12,Paramètres!$A$1:$I$89,3,0)*0.475*44/12</f>
        <v>4.1043754438444267E-15</v>
      </c>
      <c r="CN120" s="22">
        <f t="shared" si="66"/>
        <v>64.489853866218795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285.99999999999972</v>
      </c>
      <c r="CU120" s="17">
        <f>CT120*VLOOKUP('Données projet'!$B$13,Paramètres!$A$1:$I$89,3,0)*VLOOKUP('Données projet'!$B$13,Paramètres!$A$1:$I$89,5,0)</f>
        <v>223.07999999999979</v>
      </c>
      <c r="CV120" s="13">
        <f t="shared" si="95"/>
        <v>54.783765878062617</v>
      </c>
      <c r="CW120" s="20">
        <f t="shared" si="67"/>
        <v>483.94605890429199</v>
      </c>
      <c r="CX120" s="59">
        <f t="shared" si="68"/>
        <v>777.2793922376253</v>
      </c>
      <c r="CY120" s="59">
        <f ca="1">AVERAGE(OFFSET($CX$3,0,0,'Données projet'!$E$13+1,1))-AVERAGE(OFFSET($H$3,0,0,'Données projet'!$E$13+1,1))</f>
        <v>215.84581110302656</v>
      </c>
      <c r="CZ120" s="59">
        <f t="shared" si="96"/>
        <v>193.88588526156104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23.130039135962065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23.130039135962065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401</v>
      </c>
      <c r="O121" s="13">
        <f>N121*VLOOKUP('Données projet'!$B$9,Paramètres!$A$1:$I$89,3,0)*VLOOKUP('Données projet'!$B$9,Paramètres!$A$1:$I$89,5,0)</f>
        <v>250.22399999999999</v>
      </c>
      <c r="P121" s="13">
        <f t="shared" si="87"/>
        <v>60.633904580527918</v>
      </c>
      <c r="Q121" s="20">
        <f t="shared" si="107"/>
        <v>541.41085047775289</v>
      </c>
      <c r="R121" s="59">
        <f t="shared" si="55"/>
        <v>834.74418381108626</v>
      </c>
      <c r="S121" s="59">
        <f ca="1">AVERAGE(OFFSET($R$3,0,0,'Données projet'!$E$9+1,1))-AVERAGE(OFFSET($H$3,0,0,'Données projet'!$E$9+1,1))</f>
        <v>269.77739619445515</v>
      </c>
      <c r="T121" s="59">
        <f t="shared" si="88"/>
        <v>347.56964743629885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24.280426316985015</v>
      </c>
      <c r="AA121" s="21">
        <f>EXP(-LN(2)/25)*AA120+(1-EXP(-LN(2)/25))/(LN(2)/25)*Calculateur!V121*Calculateur!X121*VLOOKUP('Données projet'!$B$9,Paramètres!$A$1:$I$89,3,0)*0.475*44/12</f>
        <v>7.9973025734485619</v>
      </c>
      <c r="AB121" s="21">
        <f>EXP(-LN(2)/2)*AB120+(1-EXP(-LN(2)/2))/(LN(2)/2)*V121*Y121*VLOOKUP('Données projet'!$B$9,Paramètres!$A$1:$I$89,3,0)*0.475*44/12</f>
        <v>1.4118965070217004E-15</v>
      </c>
      <c r="AC121" s="22">
        <f t="shared" si="57"/>
        <v>32.277728890433579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735.00000000000011</v>
      </c>
      <c r="AJ121" s="13">
        <f>AI121*VLOOKUP('Données projet'!$B$10,Paramètres!$A$1:$I$89,3,0)*VLOOKUP('Données projet'!$B$10,Paramètres!$A$1:$I$89,5,0)</f>
        <v>343.98</v>
      </c>
      <c r="AK121" s="13">
        <f t="shared" si="89"/>
        <v>80.321681832084693</v>
      </c>
      <c r="AL121" s="20">
        <f t="shared" si="58"/>
        <v>738.9920958575475</v>
      </c>
      <c r="AM121" s="59">
        <f t="shared" si="59"/>
        <v>1032.3254291908809</v>
      </c>
      <c r="AN121" s="59">
        <f ca="1">AVERAGE(OFFSET($AM$3,0,0,'Données projet'!$E$10+1,1))-AVERAGE(OFFSET($H$3,0,0,'Données projet'!$E$10+1,1))</f>
        <v>342.49944586217674</v>
      </c>
      <c r="AO121" s="59">
        <f t="shared" si="90"/>
        <v>282.29766600872563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55.570095602739926</v>
      </c>
      <c r="AV121" s="21">
        <f>EXP(-LN(2)/25)*AV120+(1-EXP(-LN(2)/25))/(LN(2)/25)*Calculateur!AQ121*Calculateur!AS121*VLOOKUP('Données projet'!$B$10,Paramètres!$A$1:$I$89,3,0)*0.475*44/12</f>
        <v>3.4938797833011135</v>
      </c>
      <c r="AW121" s="21">
        <f>EXP(-LN(2)/2)*AW120+(1-EXP(-LN(2)/2))/(LN(2)/2)*AQ121*AT121*VLOOKUP('Données projet'!$B$10,Paramètres!$A$1:$I$89,3,0)*0.475*44/12</f>
        <v>4.7063216900723386E-15</v>
      </c>
      <c r="AX121" s="21">
        <f t="shared" si="60"/>
        <v>59.063975386041044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319</v>
      </c>
      <c r="BE121" s="13">
        <f>BD121*VLOOKUP('Données projet'!$B$11,Paramètres!$A$1:$I$89,3,0)*VLOOKUP('Données projet'!$B$11,Paramètres!$A$1:$I$89,5,0)</f>
        <v>253.79640000000001</v>
      </c>
      <c r="BF121" s="13">
        <f t="shared" si="91"/>
        <v>61.39816832228076</v>
      </c>
      <c r="BG121" s="20">
        <f t="shared" si="61"/>
        <v>548.96387316130563</v>
      </c>
      <c r="BH121" s="59">
        <f t="shared" si="62"/>
        <v>842.29720649463889</v>
      </c>
      <c r="BI121" s="59">
        <f ca="1">AVERAGE(OFFSET($BH$3,0,0,'Données projet'!$E$11+1,1))-AVERAGE(OFFSET($H$3,0,0,'Données projet'!$E$11+1,1))</f>
        <v>279.49721661620544</v>
      </c>
      <c r="BJ121" s="59">
        <f t="shared" si="92"/>
        <v>275.18739333988754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25.050690330679316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25.050690330679316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732.99999999999966</v>
      </c>
      <c r="BZ121" s="13">
        <f>BY121*VLOOKUP('Données projet'!$B$12,Paramètres!$A$1:$I$89,3,0)*VLOOKUP('Données projet'!$B$12,Paramètres!$A$1:$I$89,5,0)</f>
        <v>352.57299999999987</v>
      </c>
      <c r="CA121" s="13">
        <f t="shared" si="93"/>
        <v>82.092092597941644</v>
      </c>
      <c r="CB121" s="20">
        <f t="shared" si="64"/>
        <v>757.04170294141477</v>
      </c>
      <c r="CC121" s="59">
        <f t="shared" si="65"/>
        <v>1050.375036274748</v>
      </c>
      <c r="CD121" s="59">
        <f ca="1">AVERAGE(OFFSET($CC$3,0,0,'Données projet'!$E$12+1,1))-AVERAGE(OFFSET($H$3,0,0,'Données projet'!$E$12+1,1))</f>
        <v>349.65790906807746</v>
      </c>
      <c r="CE121" s="59">
        <f t="shared" si="94"/>
        <v>291.88925884278888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59.605755976646897</v>
      </c>
      <c r="CL121" s="21">
        <f>EXP(-LN(2)/25)*CL120+(1-EXP(-LN(2)/25))/(LN(2)/25)*Calculateur!CG121*Calculateur!CI121*VLOOKUP('Données projet'!$B$12,Paramètres!$A$1:$I$89,3,0)*0.475*44/12</f>
        <v>3.5909319995039302</v>
      </c>
      <c r="CM121" s="21">
        <f>EXP(-LN(2)/2)*CM120+(1-EXP(-LN(2)/2))/(LN(2)/2)*CG121*CJ121*VLOOKUP('Données projet'!$B$12,Paramètres!$A$1:$I$89,3,0)*0.475*44/12</f>
        <v>2.9022317088779399E-15</v>
      </c>
      <c r="CN121" s="22">
        <f t="shared" si="66"/>
        <v>63.196687976150827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285.99999999999972</v>
      </c>
      <c r="CU121" s="17">
        <f>CT121*VLOOKUP('Données projet'!$B$13,Paramètres!$A$1:$I$89,3,0)*VLOOKUP('Données projet'!$B$13,Paramètres!$A$1:$I$89,5,0)</f>
        <v>223.07999999999979</v>
      </c>
      <c r="CV121" s="13">
        <f t="shared" si="95"/>
        <v>54.783765878062617</v>
      </c>
      <c r="CW121" s="20">
        <f t="shared" si="67"/>
        <v>483.94605890429199</v>
      </c>
      <c r="CX121" s="59">
        <f t="shared" si="68"/>
        <v>777.2793922376253</v>
      </c>
      <c r="CY121" s="59">
        <f ca="1">AVERAGE(OFFSET($CX$3,0,0,'Données projet'!$E$13+1,1))-AVERAGE(OFFSET($H$3,0,0,'Données projet'!$E$13+1,1))</f>
        <v>215.84581110302656</v>
      </c>
      <c r="CZ121" s="59">
        <f t="shared" si="96"/>
        <v>193.88588526156104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22.67647317643668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22.67647317643668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401</v>
      </c>
      <c r="O122" s="13">
        <f>N122*VLOOKUP('Données projet'!$B$9,Paramètres!$A$1:$I$89,3,0)*VLOOKUP('Données projet'!$B$9,Paramètres!$A$1:$I$89,5,0)</f>
        <v>250.22399999999999</v>
      </c>
      <c r="P122" s="13">
        <f t="shared" si="87"/>
        <v>60.633904580527918</v>
      </c>
      <c r="Q122" s="20">
        <f t="shared" si="107"/>
        <v>541.41085047775289</v>
      </c>
      <c r="R122" s="59">
        <f t="shared" si="55"/>
        <v>834.74418381108626</v>
      </c>
      <c r="S122" s="59">
        <f ca="1">AVERAGE(OFFSET($R$3,0,0,'Données projet'!$E$9+1,1))-AVERAGE(OFFSET($H$3,0,0,'Données projet'!$E$9+1,1))</f>
        <v>269.77739619445515</v>
      </c>
      <c r="T122" s="59">
        <f t="shared" si="88"/>
        <v>347.56964743629885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23.804301966506664</v>
      </c>
      <c r="AA122" s="21">
        <f>EXP(-LN(2)/25)*AA121+(1-EXP(-LN(2)/25))/(LN(2)/25)*Calculateur!V122*Calculateur!X122*VLOOKUP('Données projet'!$B$9,Paramètres!$A$1:$I$89,3,0)*0.475*44/12</f>
        <v>7.7786159140177471</v>
      </c>
      <c r="AB122" s="21">
        <f>EXP(-LN(2)/2)*AB121+(1-EXP(-LN(2)/2))/(LN(2)/2)*V122*Y122*VLOOKUP('Données projet'!$B$9,Paramètres!$A$1:$I$89,3,0)*0.475*44/12</f>
        <v>9.9836159444864423E-16</v>
      </c>
      <c r="AC122" s="22">
        <f t="shared" si="57"/>
        <v>31.582917880524413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735.00000000000011</v>
      </c>
      <c r="AJ122" s="13">
        <f>AI122*VLOOKUP('Données projet'!$B$10,Paramètres!$A$1:$I$89,3,0)*VLOOKUP('Données projet'!$B$10,Paramètres!$A$1:$I$89,5,0)</f>
        <v>343.98</v>
      </c>
      <c r="AK122" s="13">
        <f t="shared" si="89"/>
        <v>80.321681832084693</v>
      </c>
      <c r="AL122" s="20">
        <f t="shared" si="58"/>
        <v>738.9920958575475</v>
      </c>
      <c r="AM122" s="59">
        <f t="shared" si="59"/>
        <v>1032.3254291908809</v>
      </c>
      <c r="AN122" s="59">
        <f ca="1">AVERAGE(OFFSET($AM$3,0,0,'Données projet'!$E$10+1,1))-AVERAGE(OFFSET($H$3,0,0,'Données projet'!$E$10+1,1))</f>
        <v>342.49944586217674</v>
      </c>
      <c r="AO122" s="59">
        <f t="shared" si="90"/>
        <v>282.29766600872563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54.480399922381721</v>
      </c>
      <c r="AV122" s="21">
        <f>EXP(-LN(2)/25)*AV121+(1-EXP(-LN(2)/25))/(LN(2)/25)*Calculateur!AQ122*Calculateur!AS122*VLOOKUP('Données projet'!$B$10,Paramètres!$A$1:$I$89,3,0)*0.475*44/12</f>
        <v>3.3983394568915921</v>
      </c>
      <c r="AW122" s="21">
        <f>EXP(-LN(2)/2)*AW121+(1-EXP(-LN(2)/2))/(LN(2)/2)*AQ122*AT122*VLOOKUP('Données projet'!$B$10,Paramètres!$A$1:$I$89,3,0)*0.475*44/12</f>
        <v>3.3278719814954837E-15</v>
      </c>
      <c r="AX122" s="21">
        <f t="shared" si="60"/>
        <v>57.878739379273313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319</v>
      </c>
      <c r="BE122" s="13">
        <f>BD122*VLOOKUP('Données projet'!$B$11,Paramètres!$A$1:$I$89,3,0)*VLOOKUP('Données projet'!$B$11,Paramètres!$A$1:$I$89,5,0)</f>
        <v>253.79640000000001</v>
      </c>
      <c r="BF122" s="13">
        <f t="shared" si="91"/>
        <v>61.39816832228076</v>
      </c>
      <c r="BG122" s="20">
        <f t="shared" si="61"/>
        <v>548.96387316130563</v>
      </c>
      <c r="BH122" s="59">
        <f t="shared" si="62"/>
        <v>842.29720649463889</v>
      </c>
      <c r="BI122" s="59">
        <f ca="1">AVERAGE(OFFSET($BH$3,0,0,'Données projet'!$E$11+1,1))-AVERAGE(OFFSET($H$3,0,0,'Données projet'!$E$11+1,1))</f>
        <v>279.49721661620544</v>
      </c>
      <c r="BJ122" s="59">
        <f t="shared" si="92"/>
        <v>275.18739333988754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24.559461572707079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24.559461572707079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732.99999999999966</v>
      </c>
      <c r="BZ122" s="13">
        <f>BY122*VLOOKUP('Données projet'!$B$12,Paramètres!$A$1:$I$89,3,0)*VLOOKUP('Données projet'!$B$12,Paramètres!$A$1:$I$89,5,0)</f>
        <v>352.57299999999987</v>
      </c>
      <c r="CA122" s="13">
        <f t="shared" si="93"/>
        <v>82.092092597941644</v>
      </c>
      <c r="CB122" s="20">
        <f t="shared" si="64"/>
        <v>757.04170294141477</v>
      </c>
      <c r="CC122" s="59">
        <f t="shared" si="65"/>
        <v>1050.375036274748</v>
      </c>
      <c r="CD122" s="59">
        <f ca="1">AVERAGE(OFFSET($CC$3,0,0,'Données projet'!$E$12+1,1))-AVERAGE(OFFSET($H$3,0,0,'Données projet'!$E$12+1,1))</f>
        <v>349.65790906807746</v>
      </c>
      <c r="CE122" s="59">
        <f t="shared" si="94"/>
        <v>291.88925884278888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58.43692345786615</v>
      </c>
      <c r="CL122" s="21">
        <f>EXP(-LN(2)/25)*CL121+(1-EXP(-LN(2)/25))/(LN(2)/25)*Calculateur!CG122*Calculateur!CI122*VLOOKUP('Données projet'!$B$12,Paramètres!$A$1:$I$89,3,0)*0.475*44/12</f>
        <v>3.4927377751385884</v>
      </c>
      <c r="CM122" s="21">
        <f>EXP(-LN(2)/2)*CM121+(1-EXP(-LN(2)/2))/(LN(2)/2)*CG122*CJ122*VLOOKUP('Données projet'!$B$12,Paramètres!$A$1:$I$89,3,0)*0.475*44/12</f>
        <v>2.0521877219222134E-15</v>
      </c>
      <c r="CN122" s="22">
        <f t="shared" si="66"/>
        <v>61.929661233004737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285.99999999999972</v>
      </c>
      <c r="CU122" s="17">
        <f>CT122*VLOOKUP('Données projet'!$B$13,Paramètres!$A$1:$I$89,3,0)*VLOOKUP('Données projet'!$B$13,Paramètres!$A$1:$I$89,5,0)</f>
        <v>223.07999999999979</v>
      </c>
      <c r="CV122" s="13">
        <f t="shared" si="95"/>
        <v>54.783765878062617</v>
      </c>
      <c r="CW122" s="20">
        <f t="shared" si="67"/>
        <v>483.94605890429199</v>
      </c>
      <c r="CX122" s="59">
        <f t="shared" si="68"/>
        <v>777.2793922376253</v>
      </c>
      <c r="CY122" s="59">
        <f ca="1">AVERAGE(OFFSET($CX$3,0,0,'Données projet'!$E$13+1,1))-AVERAGE(OFFSET($H$3,0,0,'Données projet'!$E$13+1,1))</f>
        <v>215.84581110302656</v>
      </c>
      <c r="CZ122" s="59">
        <f t="shared" si="96"/>
        <v>193.88588526156104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22.23180136872967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22.23180136872967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401</v>
      </c>
      <c r="O123" s="13">
        <f>N123*VLOOKUP('Données projet'!$B$9,Paramètres!$A$1:$I$89,3,0)*VLOOKUP('Données projet'!$B$9,Paramètres!$A$1:$I$89,5,0)</f>
        <v>250.22399999999999</v>
      </c>
      <c r="P123" s="13">
        <f t="shared" si="87"/>
        <v>60.633904580527918</v>
      </c>
      <c r="Q123" s="20">
        <f t="shared" si="107"/>
        <v>541.41085047775289</v>
      </c>
      <c r="R123" s="59">
        <f t="shared" si="55"/>
        <v>834.74418381108626</v>
      </c>
      <c r="S123" s="59">
        <f ca="1">AVERAGE(OFFSET($R$3,0,0,'Données projet'!$E$9+1,1))-AVERAGE(OFFSET($H$3,0,0,'Données projet'!$E$9+1,1))</f>
        <v>269.77739619445515</v>
      </c>
      <c r="T123" s="59">
        <f t="shared" si="88"/>
        <v>347.56964743629885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23.337514124134017</v>
      </c>
      <c r="AA123" s="21">
        <f>EXP(-LN(2)/25)*AA122+(1-EXP(-LN(2)/25))/(LN(2)/25)*Calculateur!V123*Calculateur!X123*VLOOKUP('Données projet'!$B$9,Paramètres!$A$1:$I$89,3,0)*0.475*44/12</f>
        <v>7.5659092527892993</v>
      </c>
      <c r="AB123" s="21">
        <f>EXP(-LN(2)/2)*AB122+(1-EXP(-LN(2)/2))/(LN(2)/2)*V123*Y123*VLOOKUP('Données projet'!$B$9,Paramètres!$A$1:$I$89,3,0)*0.475*44/12</f>
        <v>7.0594825351085019E-16</v>
      </c>
      <c r="AC123" s="22">
        <f t="shared" si="57"/>
        <v>30.903423376923318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735.00000000000011</v>
      </c>
      <c r="AJ123" s="13">
        <f>AI123*VLOOKUP('Données projet'!$B$10,Paramètres!$A$1:$I$89,3,0)*VLOOKUP('Données projet'!$B$10,Paramètres!$A$1:$I$89,5,0)</f>
        <v>343.98</v>
      </c>
      <c r="AK123" s="13">
        <f t="shared" si="89"/>
        <v>80.321681832084693</v>
      </c>
      <c r="AL123" s="20">
        <f t="shared" si="58"/>
        <v>738.9920958575475</v>
      </c>
      <c r="AM123" s="59">
        <f t="shared" si="59"/>
        <v>1032.3254291908809</v>
      </c>
      <c r="AN123" s="59">
        <f ca="1">AVERAGE(OFFSET($AM$3,0,0,'Données projet'!$E$10+1,1))-AVERAGE(OFFSET($H$3,0,0,'Données projet'!$E$10+1,1))</f>
        <v>342.49944586217674</v>
      </c>
      <c r="AO123" s="59">
        <f t="shared" si="90"/>
        <v>282.29766600872563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53.412072509666601</v>
      </c>
      <c r="AV123" s="21">
        <f>EXP(-LN(2)/25)*AV122+(1-EXP(-LN(2)/25))/(LN(2)/25)*Calculateur!AQ123*Calculateur!AS123*VLOOKUP('Données projet'!$B$10,Paramètres!$A$1:$I$89,3,0)*0.475*44/12</f>
        <v>3.3054116857319866</v>
      </c>
      <c r="AW123" s="21">
        <f>EXP(-LN(2)/2)*AW122+(1-EXP(-LN(2)/2))/(LN(2)/2)*AQ123*AT123*VLOOKUP('Données projet'!$B$10,Paramètres!$A$1:$I$89,3,0)*0.475*44/12</f>
        <v>2.3531608450361693E-15</v>
      </c>
      <c r="AX123" s="21">
        <f t="shared" si="60"/>
        <v>56.71748419539859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319</v>
      </c>
      <c r="BE123" s="13">
        <f>BD123*VLOOKUP('Données projet'!$B$11,Paramètres!$A$1:$I$89,3,0)*VLOOKUP('Données projet'!$B$11,Paramètres!$A$1:$I$89,5,0)</f>
        <v>253.79640000000001</v>
      </c>
      <c r="BF123" s="13">
        <f t="shared" si="91"/>
        <v>61.39816832228076</v>
      </c>
      <c r="BG123" s="20">
        <f t="shared" si="61"/>
        <v>548.96387316130563</v>
      </c>
      <c r="BH123" s="59">
        <f t="shared" si="62"/>
        <v>842.29720649463889</v>
      </c>
      <c r="BI123" s="59">
        <f ca="1">AVERAGE(OFFSET($BH$3,0,0,'Données projet'!$E$11+1,1))-AVERAGE(OFFSET($H$3,0,0,'Données projet'!$E$11+1,1))</f>
        <v>279.49721661620544</v>
      </c>
      <c r="BJ123" s="59">
        <f t="shared" si="92"/>
        <v>275.18739333988754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24.077865511058722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24.077865511058722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732.99999999999966</v>
      </c>
      <c r="BZ123" s="13">
        <f>BY123*VLOOKUP('Données projet'!$B$12,Paramètres!$A$1:$I$89,3,0)*VLOOKUP('Données projet'!$B$12,Paramètres!$A$1:$I$89,5,0)</f>
        <v>352.57299999999987</v>
      </c>
      <c r="CA123" s="13">
        <f t="shared" si="93"/>
        <v>82.092092597941644</v>
      </c>
      <c r="CB123" s="20">
        <f t="shared" si="64"/>
        <v>757.04170294141477</v>
      </c>
      <c r="CC123" s="59">
        <f t="shared" si="65"/>
        <v>1050.375036274748</v>
      </c>
      <c r="CD123" s="59">
        <f ca="1">AVERAGE(OFFSET($CC$3,0,0,'Données projet'!$E$12+1,1))-AVERAGE(OFFSET($H$3,0,0,'Données projet'!$E$12+1,1))</f>
        <v>349.65790906807746</v>
      </c>
      <c r="CE123" s="59">
        <f t="shared" si="94"/>
        <v>291.88925884278888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57.291011031861252</v>
      </c>
      <c r="CL123" s="21">
        <f>EXP(-LN(2)/25)*CL122+(1-EXP(-LN(2)/25))/(LN(2)/25)*Calculateur!CG123*Calculateur!CI123*VLOOKUP('Données projet'!$B$12,Paramètres!$A$1:$I$89,3,0)*0.475*44/12</f>
        <v>3.3972286770023268</v>
      </c>
      <c r="CM123" s="21">
        <f>EXP(-LN(2)/2)*CM122+(1-EXP(-LN(2)/2))/(LN(2)/2)*CG123*CJ123*VLOOKUP('Données projet'!$B$12,Paramètres!$A$1:$I$89,3,0)*0.475*44/12</f>
        <v>1.45111585443897E-15</v>
      </c>
      <c r="CN123" s="22">
        <f t="shared" si="66"/>
        <v>60.688239708863577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285.99999999999972</v>
      </c>
      <c r="CU123" s="17">
        <f>CT123*VLOOKUP('Données projet'!$B$13,Paramètres!$A$1:$I$89,3,0)*VLOOKUP('Données projet'!$B$13,Paramètres!$A$1:$I$89,5,0)</f>
        <v>223.07999999999979</v>
      </c>
      <c r="CV123" s="13">
        <f t="shared" si="95"/>
        <v>54.783765878062617</v>
      </c>
      <c r="CW123" s="20">
        <f t="shared" si="67"/>
        <v>483.94605890429199</v>
      </c>
      <c r="CX123" s="59">
        <f t="shared" si="68"/>
        <v>777.2793922376253</v>
      </c>
      <c r="CY123" s="59">
        <f ca="1">AVERAGE(OFFSET($CX$3,0,0,'Données projet'!$E$13+1,1))-AVERAGE(OFFSET($H$3,0,0,'Données projet'!$E$13+1,1))</f>
        <v>215.84581110302656</v>
      </c>
      <c r="CZ123" s="59">
        <f t="shared" si="96"/>
        <v>193.88588526156104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21.795849303948771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21.795849303948771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401</v>
      </c>
      <c r="O124" s="13">
        <f>N124*VLOOKUP('Données projet'!$B$9,Paramètres!$A$1:$I$89,3,0)*VLOOKUP('Données projet'!$B$9,Paramètres!$A$1:$I$89,5,0)</f>
        <v>250.22399999999999</v>
      </c>
      <c r="P124" s="13">
        <f t="shared" si="87"/>
        <v>60.633904580527918</v>
      </c>
      <c r="Q124" s="20">
        <f t="shared" si="107"/>
        <v>541.41085047775289</v>
      </c>
      <c r="R124" s="59">
        <f t="shared" si="55"/>
        <v>834.74418381108626</v>
      </c>
      <c r="S124" s="59">
        <f ca="1">AVERAGE(OFFSET($R$3,0,0,'Données projet'!$E$9+1,1))-AVERAGE(OFFSET($H$3,0,0,'Données projet'!$E$9+1,1))</f>
        <v>269.77739619445515</v>
      </c>
      <c r="T124" s="59">
        <f t="shared" si="88"/>
        <v>347.56964743629885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22.879879706637826</v>
      </c>
      <c r="AA124" s="21">
        <f>EXP(-LN(2)/25)*AA123+(1-EXP(-LN(2)/25))/(LN(2)/25)*Calculateur!V124*Calculateur!X124*VLOOKUP('Données projet'!$B$9,Paramètres!$A$1:$I$89,3,0)*0.475*44/12</f>
        <v>7.3590190663979005</v>
      </c>
      <c r="AB124" s="21">
        <f>EXP(-LN(2)/2)*AB123+(1-EXP(-LN(2)/2))/(LN(2)/2)*V124*Y124*VLOOKUP('Données projet'!$B$9,Paramètres!$A$1:$I$89,3,0)*0.475*44/12</f>
        <v>4.9918079722432212E-16</v>
      </c>
      <c r="AC124" s="22">
        <f t="shared" si="57"/>
        <v>30.238898773035729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735.00000000000011</v>
      </c>
      <c r="AJ124" s="13">
        <f>AI124*VLOOKUP('Données projet'!$B$10,Paramètres!$A$1:$I$89,3,0)*VLOOKUP('Données projet'!$B$10,Paramètres!$A$1:$I$89,5,0)</f>
        <v>343.98</v>
      </c>
      <c r="AK124" s="13">
        <f t="shared" si="89"/>
        <v>80.321681832084693</v>
      </c>
      <c r="AL124" s="20">
        <f t="shared" si="58"/>
        <v>738.9920958575475</v>
      </c>
      <c r="AM124" s="59">
        <f t="shared" si="59"/>
        <v>1032.3254291908809</v>
      </c>
      <c r="AN124" s="59">
        <f ca="1">AVERAGE(OFFSET($AM$3,0,0,'Données projet'!$E$10+1,1))-AVERAGE(OFFSET($H$3,0,0,'Données projet'!$E$10+1,1))</f>
        <v>342.49944586217674</v>
      </c>
      <c r="AO124" s="59">
        <f t="shared" si="90"/>
        <v>282.29766600872563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52.364694345899444</v>
      </c>
      <c r="AV124" s="21">
        <f>EXP(-LN(2)/25)*AV123+(1-EXP(-LN(2)/25))/(LN(2)/25)*Calculateur!AQ124*Calculateur!AS124*VLOOKUP('Données projet'!$B$10,Paramètres!$A$1:$I$89,3,0)*0.475*44/12</f>
        <v>3.2150250293615996</v>
      </c>
      <c r="AW124" s="21">
        <f>EXP(-LN(2)/2)*AW123+(1-EXP(-LN(2)/2))/(LN(2)/2)*AQ124*AT124*VLOOKUP('Données projet'!$B$10,Paramètres!$A$1:$I$89,3,0)*0.475*44/12</f>
        <v>1.6639359907477418E-15</v>
      </c>
      <c r="AX124" s="21">
        <f t="shared" si="60"/>
        <v>55.579719375261043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319</v>
      </c>
      <c r="BE124" s="13">
        <f>BD124*VLOOKUP('Données projet'!$B$11,Paramètres!$A$1:$I$89,3,0)*VLOOKUP('Données projet'!$B$11,Paramètres!$A$1:$I$89,5,0)</f>
        <v>253.79640000000001</v>
      </c>
      <c r="BF124" s="13">
        <f t="shared" si="91"/>
        <v>61.39816832228076</v>
      </c>
      <c r="BG124" s="20">
        <f t="shared" si="61"/>
        <v>548.96387316130563</v>
      </c>
      <c r="BH124" s="59">
        <f t="shared" si="62"/>
        <v>842.29720649463889</v>
      </c>
      <c r="BI124" s="59">
        <f ca="1">AVERAGE(OFFSET($BH$3,0,0,'Données projet'!$E$11+1,1))-AVERAGE(OFFSET($H$3,0,0,'Données projet'!$E$11+1,1))</f>
        <v>279.49721661620544</v>
      </c>
      <c r="BJ124" s="59">
        <f t="shared" si="92"/>
        <v>275.18739333988754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23.605713254434693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23.605713254434693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732.99999999999966</v>
      </c>
      <c r="BZ124" s="13">
        <f>BY124*VLOOKUP('Données projet'!$B$12,Paramètres!$A$1:$I$89,3,0)*VLOOKUP('Données projet'!$B$12,Paramètres!$A$1:$I$89,5,0)</f>
        <v>352.57299999999987</v>
      </c>
      <c r="CA124" s="13">
        <f t="shared" si="93"/>
        <v>82.092092597941644</v>
      </c>
      <c r="CB124" s="20">
        <f t="shared" si="64"/>
        <v>757.04170294141477</v>
      </c>
      <c r="CC124" s="59">
        <f t="shared" si="65"/>
        <v>1050.375036274748</v>
      </c>
      <c r="CD124" s="59">
        <f ca="1">AVERAGE(OFFSET($CC$3,0,0,'Données projet'!$E$12+1,1))-AVERAGE(OFFSET($H$3,0,0,'Données projet'!$E$12+1,1))</f>
        <v>349.65790906807746</v>
      </c>
      <c r="CE124" s="59">
        <f t="shared" si="94"/>
        <v>291.88925884278888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56.167569249592745</v>
      </c>
      <c r="CL124" s="21">
        <f>EXP(-LN(2)/25)*CL123+(1-EXP(-LN(2)/25))/(LN(2)/25)*Calculateur!CG124*Calculateur!CI124*VLOOKUP('Données projet'!$B$12,Paramètres!$A$1:$I$89,3,0)*0.475*44/12</f>
        <v>3.3043312801772067</v>
      </c>
      <c r="CM124" s="21">
        <f>EXP(-LN(2)/2)*CM123+(1-EXP(-LN(2)/2))/(LN(2)/2)*CG124*CJ124*VLOOKUP('Données projet'!$B$12,Paramètres!$A$1:$I$89,3,0)*0.475*44/12</f>
        <v>1.0260938609611067E-15</v>
      </c>
      <c r="CN124" s="22">
        <f t="shared" si="66"/>
        <v>59.471900529769954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285.99999999999972</v>
      </c>
      <c r="CU124" s="17">
        <f>CT124*VLOOKUP('Données projet'!$B$13,Paramètres!$A$1:$I$89,3,0)*VLOOKUP('Données projet'!$B$13,Paramètres!$A$1:$I$89,5,0)</f>
        <v>223.07999999999979</v>
      </c>
      <c r="CV124" s="13">
        <f t="shared" si="95"/>
        <v>54.783765878062617</v>
      </c>
      <c r="CW124" s="20">
        <f t="shared" si="67"/>
        <v>483.94605890429199</v>
      </c>
      <c r="CX124" s="59">
        <f t="shared" si="68"/>
        <v>777.2793922376253</v>
      </c>
      <c r="CY124" s="59">
        <f ca="1">AVERAGE(OFFSET($CX$3,0,0,'Données projet'!$E$13+1,1))-AVERAGE(OFFSET($H$3,0,0,'Données projet'!$E$13+1,1))</f>
        <v>215.84581110302656</v>
      </c>
      <c r="CZ124" s="59">
        <f t="shared" si="96"/>
        <v>193.88588526156104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21.368445993253722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21.368445993253722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401</v>
      </c>
      <c r="O125" s="13">
        <f>N125*VLOOKUP('Données projet'!$B$9,Paramètres!$A$1:$I$89,3,0)*VLOOKUP('Données projet'!$B$9,Paramètres!$A$1:$I$89,5,0)</f>
        <v>250.22399999999999</v>
      </c>
      <c r="P125" s="13">
        <f t="shared" si="87"/>
        <v>60.633904580527918</v>
      </c>
      <c r="Q125" s="20">
        <f t="shared" si="107"/>
        <v>541.41085047775289</v>
      </c>
      <c r="R125" s="59">
        <f t="shared" si="55"/>
        <v>834.74418381108626</v>
      </c>
      <c r="S125" s="59">
        <f ca="1">AVERAGE(OFFSET($R$3,0,0,'Données projet'!$E$9+1,1))-AVERAGE(OFFSET($H$3,0,0,'Données projet'!$E$9+1,1))</f>
        <v>269.77739619445515</v>
      </c>
      <c r="T125" s="59">
        <f t="shared" si="88"/>
        <v>347.56964743629885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22.431219220939305</v>
      </c>
      <c r="AA125" s="21">
        <f>EXP(-LN(2)/25)*AA124+(1-EXP(-LN(2)/25))/(LN(2)/25)*Calculateur!V125*Calculateur!X125*VLOOKUP('Données projet'!$B$9,Paramètres!$A$1:$I$89,3,0)*0.475*44/12</f>
        <v>7.157786303033256</v>
      </c>
      <c r="AB125" s="21">
        <f>EXP(-LN(2)/2)*AB124+(1-EXP(-LN(2)/2))/(LN(2)/2)*V125*Y125*VLOOKUP('Données projet'!$B$9,Paramètres!$A$1:$I$89,3,0)*0.475*44/12</f>
        <v>3.529741267554251E-16</v>
      </c>
      <c r="AC125" s="22">
        <f t="shared" si="57"/>
        <v>29.58900552397256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735.00000000000011</v>
      </c>
      <c r="AJ125" s="13">
        <f>AI125*VLOOKUP('Données projet'!$B$10,Paramètres!$A$1:$I$89,3,0)*VLOOKUP('Données projet'!$B$10,Paramètres!$A$1:$I$89,5,0)</f>
        <v>343.98</v>
      </c>
      <c r="AK125" s="13">
        <f t="shared" si="89"/>
        <v>80.321681832084693</v>
      </c>
      <c r="AL125" s="20">
        <f t="shared" si="58"/>
        <v>738.9920958575475</v>
      </c>
      <c r="AM125" s="59">
        <f t="shared" si="59"/>
        <v>1032.3254291908809</v>
      </c>
      <c r="AN125" s="59">
        <f ca="1">AVERAGE(OFFSET($AM$3,0,0,'Données projet'!$E$10+1,1))-AVERAGE(OFFSET($H$3,0,0,'Données projet'!$E$10+1,1))</f>
        <v>342.49944586217674</v>
      </c>
      <c r="AO125" s="59">
        <f t="shared" si="90"/>
        <v>282.29766600872563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51.337854629086159</v>
      </c>
      <c r="AV125" s="21">
        <f>EXP(-LN(2)/25)*AV124+(1-EXP(-LN(2)/25))/(LN(2)/25)*Calculateur!AQ125*Calculateur!AS125*VLOOKUP('Données projet'!$B$10,Paramètres!$A$1:$I$89,3,0)*0.475*44/12</f>
        <v>3.1271100008628885</v>
      </c>
      <c r="AW125" s="21">
        <f>EXP(-LN(2)/2)*AW124+(1-EXP(-LN(2)/2))/(LN(2)/2)*AQ125*AT125*VLOOKUP('Données projet'!$B$10,Paramètres!$A$1:$I$89,3,0)*0.475*44/12</f>
        <v>1.1765804225180846E-15</v>
      </c>
      <c r="AX125" s="21">
        <f t="shared" si="60"/>
        <v>54.464964629949051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319</v>
      </c>
      <c r="BE125" s="13">
        <f>BD125*VLOOKUP('Données projet'!$B$11,Paramètres!$A$1:$I$89,3,0)*VLOOKUP('Données projet'!$B$11,Paramètres!$A$1:$I$89,5,0)</f>
        <v>253.79640000000001</v>
      </c>
      <c r="BF125" s="13">
        <f t="shared" si="91"/>
        <v>61.39816832228076</v>
      </c>
      <c r="BG125" s="20">
        <f t="shared" si="61"/>
        <v>548.96387316130563</v>
      </c>
      <c r="BH125" s="59">
        <f t="shared" si="62"/>
        <v>842.29720649463889</v>
      </c>
      <c r="BI125" s="59">
        <f ca="1">AVERAGE(OFFSET($BH$3,0,0,'Données projet'!$E$11+1,1))-AVERAGE(OFFSET($H$3,0,0,'Données projet'!$E$11+1,1))</f>
        <v>279.49721661620544</v>
      </c>
      <c r="BJ125" s="59">
        <f t="shared" si="92"/>
        <v>275.18739333988754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23.142819615578624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23.142819615578624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732.99999999999966</v>
      </c>
      <c r="BZ125" s="13">
        <f>BY125*VLOOKUP('Données projet'!$B$12,Paramètres!$A$1:$I$89,3,0)*VLOOKUP('Données projet'!$B$12,Paramètres!$A$1:$I$89,5,0)</f>
        <v>352.57299999999987</v>
      </c>
      <c r="CA125" s="13">
        <f t="shared" si="93"/>
        <v>82.092092597941644</v>
      </c>
      <c r="CB125" s="20">
        <f t="shared" si="64"/>
        <v>757.04170294141477</v>
      </c>
      <c r="CC125" s="59">
        <f t="shared" si="65"/>
        <v>1050.375036274748</v>
      </c>
      <c r="CD125" s="59">
        <f ca="1">AVERAGE(OFFSET($CC$3,0,0,'Données projet'!$E$12+1,1))-AVERAGE(OFFSET($H$3,0,0,'Données projet'!$E$12+1,1))</f>
        <v>349.65790906807746</v>
      </c>
      <c r="CE125" s="59">
        <f t="shared" si="94"/>
        <v>291.88925884278888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55.066157475442694</v>
      </c>
      <c r="CL125" s="21">
        <f>EXP(-LN(2)/25)*CL124+(1-EXP(-LN(2)/25))/(LN(2)/25)*Calculateur!CG125*Calculateur!CI125*VLOOKUP('Données projet'!$B$12,Paramètres!$A$1:$I$89,3,0)*0.475*44/12</f>
        <v>3.2139741675535309</v>
      </c>
      <c r="CM125" s="21">
        <f>EXP(-LN(2)/2)*CM124+(1-EXP(-LN(2)/2))/(LN(2)/2)*CG125*CJ125*VLOOKUP('Données projet'!$B$12,Paramètres!$A$1:$I$89,3,0)*0.475*44/12</f>
        <v>7.2555792721948499E-16</v>
      </c>
      <c r="CN125" s="22">
        <f t="shared" si="66"/>
        <v>58.280131642996224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285.99999999999972</v>
      </c>
      <c r="CU125" s="17">
        <f>CT125*VLOOKUP('Données projet'!$B$13,Paramètres!$A$1:$I$89,3,0)*VLOOKUP('Données projet'!$B$13,Paramètres!$A$1:$I$89,5,0)</f>
        <v>223.07999999999979</v>
      </c>
      <c r="CV125" s="13">
        <f t="shared" si="95"/>
        <v>54.783765878062617</v>
      </c>
      <c r="CW125" s="20">
        <f t="shared" si="67"/>
        <v>483.94605890429199</v>
      </c>
      <c r="CX125" s="59">
        <f t="shared" si="68"/>
        <v>777.2793922376253</v>
      </c>
      <c r="CY125" s="59">
        <f ca="1">AVERAGE(OFFSET($CX$3,0,0,'Données projet'!$E$13+1,1))-AVERAGE(OFFSET($H$3,0,0,'Données projet'!$E$13+1,1))</f>
        <v>215.84581110302656</v>
      </c>
      <c r="CZ125" s="59">
        <f t="shared" si="96"/>
        <v>193.88588526156104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20.949423800791124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20.949423800791124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401</v>
      </c>
      <c r="O126" s="13">
        <f>N126*VLOOKUP('Données projet'!$B$9,Paramètres!$A$1:$I$89,3,0)*VLOOKUP('Données projet'!$B$9,Paramètres!$A$1:$I$89,5,0)</f>
        <v>250.22399999999999</v>
      </c>
      <c r="P126" s="13">
        <f t="shared" si="87"/>
        <v>60.633904580527918</v>
      </c>
      <c r="Q126" s="20">
        <f t="shared" si="107"/>
        <v>541.41085047775289</v>
      </c>
      <c r="R126" s="59">
        <f t="shared" si="55"/>
        <v>834.74418381108626</v>
      </c>
      <c r="S126" s="59">
        <f ca="1">AVERAGE(OFFSET($R$3,0,0,'Données projet'!$E$9+1,1))-AVERAGE(OFFSET($H$3,0,0,'Données projet'!$E$9+1,1))</f>
        <v>269.77739619445515</v>
      </c>
      <c r="T126" s="59">
        <f t="shared" si="88"/>
        <v>347.56964743629885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21.991356693709456</v>
      </c>
      <c r="AA126" s="21">
        <f>EXP(-LN(2)/25)*AA125+(1-EXP(-LN(2)/25))/(LN(2)/25)*Calculateur!V126*Calculateur!X126*VLOOKUP('Données projet'!$B$9,Paramètres!$A$1:$I$89,3,0)*0.475*44/12</f>
        <v>6.9620562601651894</v>
      </c>
      <c r="AB126" s="21">
        <f>EXP(-LN(2)/2)*AB125+(1-EXP(-LN(2)/2))/(LN(2)/2)*V126*Y126*VLOOKUP('Données projet'!$B$9,Paramètres!$A$1:$I$89,3,0)*0.475*44/12</f>
        <v>2.4959039861216106E-16</v>
      </c>
      <c r="AC126" s="22">
        <f t="shared" si="57"/>
        <v>28.953412953874647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735.00000000000011</v>
      </c>
      <c r="AJ126" s="13">
        <f>AI126*VLOOKUP('Données projet'!$B$10,Paramètres!$A$1:$I$89,3,0)*VLOOKUP('Données projet'!$B$10,Paramètres!$A$1:$I$89,5,0)</f>
        <v>343.98</v>
      </c>
      <c r="AK126" s="13">
        <f t="shared" si="89"/>
        <v>80.321681832084693</v>
      </c>
      <c r="AL126" s="20">
        <f t="shared" si="58"/>
        <v>738.9920958575475</v>
      </c>
      <c r="AM126" s="59">
        <f t="shared" si="59"/>
        <v>1032.3254291908809</v>
      </c>
      <c r="AN126" s="59">
        <f ca="1">AVERAGE(OFFSET($AM$3,0,0,'Données projet'!$E$10+1,1))-AVERAGE(OFFSET($H$3,0,0,'Données projet'!$E$10+1,1))</f>
        <v>342.49944586217674</v>
      </c>
      <c r="AO126" s="59">
        <f t="shared" si="90"/>
        <v>282.29766600872563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50.331150612809203</v>
      </c>
      <c r="AV126" s="21">
        <f>EXP(-LN(2)/25)*AV125+(1-EXP(-LN(2)/25))/(LN(2)/25)*Calculateur!AQ126*Calculateur!AS126*VLOOKUP('Données projet'!$B$10,Paramètres!$A$1:$I$89,3,0)*0.475*44/12</f>
        <v>3.0415990134417248</v>
      </c>
      <c r="AW126" s="21">
        <f>EXP(-LN(2)/2)*AW125+(1-EXP(-LN(2)/2))/(LN(2)/2)*AQ126*AT126*VLOOKUP('Données projet'!$B$10,Paramètres!$A$1:$I$89,3,0)*0.475*44/12</f>
        <v>8.3196799537387092E-16</v>
      </c>
      <c r="AX126" s="21">
        <f t="shared" si="60"/>
        <v>53.372749626250929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319</v>
      </c>
      <c r="BE126" s="13">
        <f>BD126*VLOOKUP('Données projet'!$B$11,Paramètres!$A$1:$I$89,3,0)*VLOOKUP('Données projet'!$B$11,Paramètres!$A$1:$I$89,5,0)</f>
        <v>253.79640000000001</v>
      </c>
      <c r="BF126" s="13">
        <f t="shared" si="91"/>
        <v>61.39816832228076</v>
      </c>
      <c r="BG126" s="20">
        <f t="shared" si="61"/>
        <v>548.96387316130563</v>
      </c>
      <c r="BH126" s="59">
        <f t="shared" si="62"/>
        <v>842.29720649463889</v>
      </c>
      <c r="BI126" s="59">
        <f ca="1">AVERAGE(OFFSET($BH$3,0,0,'Données projet'!$E$11+1,1))-AVERAGE(OFFSET($H$3,0,0,'Données projet'!$E$11+1,1))</f>
        <v>279.49721661620544</v>
      </c>
      <c r="BJ126" s="59">
        <f t="shared" si="92"/>
        <v>275.18739333988754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22.689003038643282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22.689003038643282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732.99999999999966</v>
      </c>
      <c r="BZ126" s="13">
        <f>BY126*VLOOKUP('Données projet'!$B$12,Paramètres!$A$1:$I$89,3,0)*VLOOKUP('Données projet'!$B$12,Paramètres!$A$1:$I$89,5,0)</f>
        <v>352.57299999999987</v>
      </c>
      <c r="CA126" s="13">
        <f t="shared" si="93"/>
        <v>82.092092597941644</v>
      </c>
      <c r="CB126" s="20">
        <f t="shared" si="64"/>
        <v>757.04170294141477</v>
      </c>
      <c r="CC126" s="59">
        <f t="shared" si="65"/>
        <v>1050.375036274748</v>
      </c>
      <c r="CD126" s="59">
        <f ca="1">AVERAGE(OFFSET($CC$3,0,0,'Données projet'!$E$12+1,1))-AVERAGE(OFFSET($H$3,0,0,'Données projet'!$E$12+1,1))</f>
        <v>349.65790906807746</v>
      </c>
      <c r="CE126" s="59">
        <f t="shared" si="94"/>
        <v>291.88925884278888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53.98634371438888</v>
      </c>
      <c r="CL126" s="21">
        <f>EXP(-LN(2)/25)*CL125+(1-EXP(-LN(2)/25))/(LN(2)/25)*Calculateur!CG126*Calculateur!CI126*VLOOKUP('Données projet'!$B$12,Paramètres!$A$1:$I$89,3,0)*0.475*44/12</f>
        <v>3.126087874926224</v>
      </c>
      <c r="CM126" s="21">
        <f>EXP(-LN(2)/2)*CM125+(1-EXP(-LN(2)/2))/(LN(2)/2)*CG126*CJ126*VLOOKUP('Données projet'!$B$12,Paramètres!$A$1:$I$89,3,0)*0.475*44/12</f>
        <v>5.1304693048055334E-16</v>
      </c>
      <c r="CN126" s="22">
        <f t="shared" si="66"/>
        <v>57.112431589315108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285.99999999999972</v>
      </c>
      <c r="CU126" s="17">
        <f>CT126*VLOOKUP('Données projet'!$B$13,Paramètres!$A$1:$I$89,3,0)*VLOOKUP('Données projet'!$B$13,Paramètres!$A$1:$I$89,5,0)</f>
        <v>223.07999999999979</v>
      </c>
      <c r="CV126" s="13">
        <f t="shared" si="95"/>
        <v>54.783765878062617</v>
      </c>
      <c r="CW126" s="20">
        <f t="shared" si="67"/>
        <v>483.94605890429199</v>
      </c>
      <c r="CX126" s="59">
        <f t="shared" si="68"/>
        <v>777.2793922376253</v>
      </c>
      <c r="CY126" s="59">
        <f ca="1">AVERAGE(OFFSET($CX$3,0,0,'Données projet'!$E$13+1,1))-AVERAGE(OFFSET($H$3,0,0,'Données projet'!$E$13+1,1))</f>
        <v>215.84581110302656</v>
      </c>
      <c r="CZ126" s="59">
        <f t="shared" si="96"/>
        <v>193.88588526156104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20.538618377944417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20.538618377944417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401</v>
      </c>
      <c r="O127" s="13">
        <f>N127*VLOOKUP('Données projet'!$B$9,Paramètres!$A$1:$I$89,3,0)*VLOOKUP('Données projet'!$B$9,Paramètres!$A$1:$I$89,5,0)</f>
        <v>250.22399999999999</v>
      </c>
      <c r="P127" s="13">
        <f t="shared" si="87"/>
        <v>60.633904580527918</v>
      </c>
      <c r="Q127" s="20">
        <f t="shared" si="107"/>
        <v>541.41085047775289</v>
      </c>
      <c r="R127" s="59">
        <f t="shared" si="55"/>
        <v>834.74418381108626</v>
      </c>
      <c r="S127" s="59">
        <f ca="1">AVERAGE(OFFSET($R$3,0,0,'Données projet'!$E$9+1,1))-AVERAGE(OFFSET($H$3,0,0,'Données projet'!$E$9+1,1))</f>
        <v>269.77739619445515</v>
      </c>
      <c r="T127" s="59">
        <f t="shared" si="88"/>
        <v>347.56964743629885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21.560119602348934</v>
      </c>
      <c r="AA127" s="21">
        <f>EXP(-LN(2)/25)*AA126+(1-EXP(-LN(2)/25))/(LN(2)/25)*Calculateur!V127*Calculateur!X127*VLOOKUP('Données projet'!$B$9,Paramètres!$A$1:$I$89,3,0)*0.475*44/12</f>
        <v>6.7716784656123457</v>
      </c>
      <c r="AB127" s="21">
        <f>EXP(-LN(2)/2)*AB126+(1-EXP(-LN(2)/2))/(LN(2)/2)*V127*Y127*VLOOKUP('Données projet'!$B$9,Paramètres!$A$1:$I$89,3,0)*0.475*44/12</f>
        <v>1.7648706337771255E-16</v>
      </c>
      <c r="AC127" s="22">
        <f t="shared" si="57"/>
        <v>28.33179806796128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735.00000000000011</v>
      </c>
      <c r="AJ127" s="13">
        <f>AI127*VLOOKUP('Données projet'!$B$10,Paramètres!$A$1:$I$89,3,0)*VLOOKUP('Données projet'!$B$10,Paramètres!$A$1:$I$89,5,0)</f>
        <v>343.98</v>
      </c>
      <c r="AK127" s="13">
        <f t="shared" si="89"/>
        <v>80.321681832084693</v>
      </c>
      <c r="AL127" s="20">
        <f t="shared" si="58"/>
        <v>738.9920958575475</v>
      </c>
      <c r="AM127" s="59">
        <f t="shared" si="59"/>
        <v>1032.3254291908809</v>
      </c>
      <c r="AN127" s="59">
        <f ca="1">AVERAGE(OFFSET($AM$3,0,0,'Données projet'!$E$10+1,1))-AVERAGE(OFFSET($H$3,0,0,'Données projet'!$E$10+1,1))</f>
        <v>342.49944586217674</v>
      </c>
      <c r="AO127" s="59">
        <f t="shared" si="90"/>
        <v>282.29766600872563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49.344187448262616</v>
      </c>
      <c r="AV127" s="21">
        <f>EXP(-LN(2)/25)*AV126+(1-EXP(-LN(2)/25))/(LN(2)/25)*Calculateur!AQ127*Calculateur!AS127*VLOOKUP('Données projet'!$B$10,Paramètres!$A$1:$I$89,3,0)*0.475*44/12</f>
        <v>2.9584263284684202</v>
      </c>
      <c r="AW127" s="21">
        <f>EXP(-LN(2)/2)*AW126+(1-EXP(-LN(2)/2))/(LN(2)/2)*AQ127*AT127*VLOOKUP('Données projet'!$B$10,Paramètres!$A$1:$I$89,3,0)*0.475*44/12</f>
        <v>5.8829021125904232E-16</v>
      </c>
      <c r="AX127" s="21">
        <f t="shared" si="60"/>
        <v>52.302613776731036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319</v>
      </c>
      <c r="BE127" s="13">
        <f>BD127*VLOOKUP('Données projet'!$B$11,Paramètres!$A$1:$I$89,3,0)*VLOOKUP('Données projet'!$B$11,Paramètres!$A$1:$I$89,5,0)</f>
        <v>253.79640000000001</v>
      </c>
      <c r="BF127" s="13">
        <f t="shared" si="91"/>
        <v>61.39816832228076</v>
      </c>
      <c r="BG127" s="20">
        <f t="shared" si="61"/>
        <v>548.96387316130563</v>
      </c>
      <c r="BH127" s="59">
        <f t="shared" si="62"/>
        <v>842.29720649463889</v>
      </c>
      <c r="BI127" s="59">
        <f ca="1">AVERAGE(OFFSET($BH$3,0,0,'Données projet'!$E$11+1,1))-AVERAGE(OFFSET($H$3,0,0,'Données projet'!$E$11+1,1))</f>
        <v>279.49721661620544</v>
      </c>
      <c r="BJ127" s="59">
        <f t="shared" si="92"/>
        <v>275.18739333988754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22.244085527980861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22.244085527980861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732.99999999999966</v>
      </c>
      <c r="BZ127" s="13">
        <f>BY127*VLOOKUP('Données projet'!$B$12,Paramètres!$A$1:$I$89,3,0)*VLOOKUP('Données projet'!$B$12,Paramètres!$A$1:$I$89,5,0)</f>
        <v>352.57299999999987</v>
      </c>
      <c r="CA127" s="13">
        <f t="shared" si="93"/>
        <v>82.092092597941644</v>
      </c>
      <c r="CB127" s="20">
        <f t="shared" si="64"/>
        <v>757.04170294141477</v>
      </c>
      <c r="CC127" s="59">
        <f t="shared" si="65"/>
        <v>1050.375036274748</v>
      </c>
      <c r="CD127" s="59">
        <f ca="1">AVERAGE(OFFSET($CC$3,0,0,'Données projet'!$E$12+1,1))-AVERAGE(OFFSET($H$3,0,0,'Données projet'!$E$12+1,1))</f>
        <v>349.65790906807746</v>
      </c>
      <c r="CE127" s="59">
        <f t="shared" si="94"/>
        <v>291.88925884278888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52.927704442567972</v>
      </c>
      <c r="CL127" s="21">
        <f>EXP(-LN(2)/25)*CL126+(1-EXP(-LN(2)/25))/(LN(2)/25)*Calculateur!CG127*Calculateur!CI127*VLOOKUP('Données projet'!$B$12,Paramètres!$A$1:$I$89,3,0)*0.475*44/12</f>
        <v>3.0406048375925496</v>
      </c>
      <c r="CM127" s="21">
        <f>EXP(-LN(2)/2)*CM126+(1-EXP(-LN(2)/2))/(LN(2)/2)*CG127*CJ127*VLOOKUP('Données projet'!$B$12,Paramètres!$A$1:$I$89,3,0)*0.475*44/12</f>
        <v>3.6277896360974249E-16</v>
      </c>
      <c r="CN127" s="22">
        <f t="shared" si="66"/>
        <v>55.968309280160518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285.99999999999972</v>
      </c>
      <c r="CU127" s="17">
        <f>CT127*VLOOKUP('Données projet'!$B$13,Paramètres!$A$1:$I$89,3,0)*VLOOKUP('Données projet'!$B$13,Paramètres!$A$1:$I$89,5,0)</f>
        <v>223.07999999999979</v>
      </c>
      <c r="CV127" s="13">
        <f t="shared" si="95"/>
        <v>54.783765878062617</v>
      </c>
      <c r="CW127" s="20">
        <f t="shared" si="67"/>
        <v>483.94605890429199</v>
      </c>
      <c r="CX127" s="59">
        <f t="shared" si="68"/>
        <v>777.2793922376253</v>
      </c>
      <c r="CY127" s="59">
        <f ca="1">AVERAGE(OFFSET($CX$3,0,0,'Données projet'!$E$13+1,1))-AVERAGE(OFFSET($H$3,0,0,'Données projet'!$E$13+1,1))</f>
        <v>215.84581110302656</v>
      </c>
      <c r="CZ127" s="59">
        <f t="shared" si="96"/>
        <v>193.88588526156104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20.135868598873166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20.135868598873166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401</v>
      </c>
      <c r="O128" s="13">
        <f>N128*VLOOKUP('Données projet'!$B$9,Paramètres!$A$1:$I$89,3,0)*VLOOKUP('Données projet'!$B$9,Paramètres!$A$1:$I$89,5,0)</f>
        <v>250.22399999999999</v>
      </c>
      <c r="P128" s="13">
        <f t="shared" si="87"/>
        <v>60.633904580527918</v>
      </c>
      <c r="Q128" s="20">
        <f t="shared" si="107"/>
        <v>541.41085047775289</v>
      </c>
      <c r="R128" s="59">
        <f t="shared" si="55"/>
        <v>834.74418381108626</v>
      </c>
      <c r="S128" s="59">
        <f ca="1">AVERAGE(OFFSET($R$3,0,0,'Données projet'!$E$9+1,1))-AVERAGE(OFFSET($H$3,0,0,'Données projet'!$E$9+1,1))</f>
        <v>269.77739619445515</v>
      </c>
      <c r="T128" s="59">
        <f t="shared" si="88"/>
        <v>347.56964743629885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21.137338807321338</v>
      </c>
      <c r="AA128" s="21">
        <f>EXP(-LN(2)/25)*AA127+(1-EXP(-LN(2)/25))/(LN(2)/25)*Calculateur!V128*Calculateur!X128*VLOOKUP('Données projet'!$B$9,Paramètres!$A$1:$I$89,3,0)*0.475*44/12</f>
        <v>6.5865065618630823</v>
      </c>
      <c r="AB128" s="21">
        <f>EXP(-LN(2)/2)*AB127+(1-EXP(-LN(2)/2))/(LN(2)/2)*V128*Y128*VLOOKUP('Données projet'!$B$9,Paramètres!$A$1:$I$89,3,0)*0.475*44/12</f>
        <v>1.2479519930608053E-16</v>
      </c>
      <c r="AC128" s="22">
        <f t="shared" si="57"/>
        <v>27.723845369184421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735.00000000000011</v>
      </c>
      <c r="AJ128" s="13">
        <f>AI128*VLOOKUP('Données projet'!$B$10,Paramètres!$A$1:$I$89,3,0)*VLOOKUP('Données projet'!$B$10,Paramètres!$A$1:$I$89,5,0)</f>
        <v>343.98</v>
      </c>
      <c r="AK128" s="13">
        <f t="shared" si="89"/>
        <v>80.321681832084693</v>
      </c>
      <c r="AL128" s="20">
        <f t="shared" si="58"/>
        <v>738.9920958575475</v>
      </c>
      <c r="AM128" s="59">
        <f t="shared" si="59"/>
        <v>1032.3254291908809</v>
      </c>
      <c r="AN128" s="59">
        <f ca="1">AVERAGE(OFFSET($AM$3,0,0,'Données projet'!$E$10+1,1))-AVERAGE(OFFSET($H$3,0,0,'Données projet'!$E$10+1,1))</f>
        <v>342.49944586217674</v>
      </c>
      <c r="AO128" s="59">
        <f t="shared" si="90"/>
        <v>282.29766600872563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48.376578029384703</v>
      </c>
      <c r="AV128" s="21">
        <f>EXP(-LN(2)/25)*AV127+(1-EXP(-LN(2)/25))/(LN(2)/25)*Calculateur!AQ128*Calculateur!AS128*VLOOKUP('Données projet'!$B$10,Paramètres!$A$1:$I$89,3,0)*0.475*44/12</f>
        <v>2.8775280049395722</v>
      </c>
      <c r="AW128" s="21">
        <f>EXP(-LN(2)/2)*AW127+(1-EXP(-LN(2)/2))/(LN(2)/2)*AQ128*AT128*VLOOKUP('Données projet'!$B$10,Paramètres!$A$1:$I$89,3,0)*0.475*44/12</f>
        <v>4.1598399768693546E-16</v>
      </c>
      <c r="AX128" s="21">
        <f t="shared" si="60"/>
        <v>51.254106034324273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319</v>
      </c>
      <c r="BE128" s="13">
        <f>BD128*VLOOKUP('Données projet'!$B$11,Paramètres!$A$1:$I$89,3,0)*VLOOKUP('Données projet'!$B$11,Paramètres!$A$1:$I$89,5,0)</f>
        <v>253.79640000000001</v>
      </c>
      <c r="BF128" s="13">
        <f t="shared" si="91"/>
        <v>61.39816832228076</v>
      </c>
      <c r="BG128" s="20">
        <f t="shared" si="61"/>
        <v>548.96387316130563</v>
      </c>
      <c r="BH128" s="59">
        <f t="shared" si="62"/>
        <v>842.29720649463889</v>
      </c>
      <c r="BI128" s="59">
        <f ca="1">AVERAGE(OFFSET($BH$3,0,0,'Données projet'!$E$11+1,1))-AVERAGE(OFFSET($H$3,0,0,'Données projet'!$E$11+1,1))</f>
        <v>279.49721661620544</v>
      </c>
      <c r="BJ128" s="59">
        <f t="shared" si="92"/>
        <v>275.18739333988754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21.807892578329643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21.807892578329643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732.99999999999966</v>
      </c>
      <c r="BZ128" s="13">
        <f>BY128*VLOOKUP('Données projet'!$B$12,Paramètres!$A$1:$I$89,3,0)*VLOOKUP('Données projet'!$B$12,Paramètres!$A$1:$I$89,5,0)</f>
        <v>352.57299999999987</v>
      </c>
      <c r="CA128" s="13">
        <f t="shared" si="93"/>
        <v>82.092092597941644</v>
      </c>
      <c r="CB128" s="20">
        <f t="shared" si="64"/>
        <v>757.04170294141477</v>
      </c>
      <c r="CC128" s="59">
        <f t="shared" si="65"/>
        <v>1050.375036274748</v>
      </c>
      <c r="CD128" s="59">
        <f ca="1">AVERAGE(OFFSET($CC$3,0,0,'Données projet'!$E$12+1,1))-AVERAGE(OFFSET($H$3,0,0,'Données projet'!$E$12+1,1))</f>
        <v>349.65790906807746</v>
      </c>
      <c r="CE128" s="59">
        <f t="shared" si="94"/>
        <v>291.88925884278888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51.889824441161274</v>
      </c>
      <c r="CL128" s="21">
        <f>EXP(-LN(2)/25)*CL127+(1-EXP(-LN(2)/25))/(LN(2)/25)*Calculateur!CG128*Calculateur!CI128*VLOOKUP('Données projet'!$B$12,Paramètres!$A$1:$I$89,3,0)*0.475*44/12</f>
        <v>2.9574593384101222</v>
      </c>
      <c r="CM128" s="21">
        <f>EXP(-LN(2)/2)*CM127+(1-EXP(-LN(2)/2))/(LN(2)/2)*CG128*CJ128*VLOOKUP('Données projet'!$B$12,Paramètres!$A$1:$I$89,3,0)*0.475*44/12</f>
        <v>2.5652346524027667E-16</v>
      </c>
      <c r="CN128" s="22">
        <f t="shared" si="66"/>
        <v>54.847283779571399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285.99999999999972</v>
      </c>
      <c r="CU128" s="17">
        <f>CT128*VLOOKUP('Données projet'!$B$13,Paramètres!$A$1:$I$89,3,0)*VLOOKUP('Données projet'!$B$13,Paramètres!$A$1:$I$89,5,0)</f>
        <v>223.07999999999979</v>
      </c>
      <c r="CV128" s="13">
        <f t="shared" si="95"/>
        <v>54.783765878062617</v>
      </c>
      <c r="CW128" s="20">
        <f t="shared" si="67"/>
        <v>483.94605890429199</v>
      </c>
      <c r="CX128" s="59">
        <f t="shared" si="68"/>
        <v>777.2793922376253</v>
      </c>
      <c r="CY128" s="59">
        <f ca="1">AVERAGE(OFFSET($CX$3,0,0,'Données projet'!$E$13+1,1))-AVERAGE(OFFSET($H$3,0,0,'Données projet'!$E$13+1,1))</f>
        <v>215.84581110302656</v>
      </c>
      <c r="CZ128" s="59">
        <f t="shared" si="96"/>
        <v>193.88588526156104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19.741016497316394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19.741016497316394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401</v>
      </c>
      <c r="O129" s="13">
        <f>N129*VLOOKUP('Données projet'!$B$9,Paramètres!$A$1:$I$89,3,0)*VLOOKUP('Données projet'!$B$9,Paramètres!$A$1:$I$89,5,0)</f>
        <v>250.22399999999999</v>
      </c>
      <c r="P129" s="13">
        <f t="shared" si="87"/>
        <v>60.633904580527918</v>
      </c>
      <c r="Q129" s="20">
        <f t="shared" si="107"/>
        <v>541.41085047775289</v>
      </c>
      <c r="R129" s="59">
        <f t="shared" si="55"/>
        <v>834.74418381108626</v>
      </c>
      <c r="S129" s="59">
        <f ca="1">AVERAGE(OFFSET($R$3,0,0,'Données projet'!$E$9+1,1))-AVERAGE(OFFSET($H$3,0,0,'Données projet'!$E$9+1,1))</f>
        <v>269.77739619445515</v>
      </c>
      <c r="T129" s="59">
        <f t="shared" si="88"/>
        <v>347.56964743629885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20.722848485813412</v>
      </c>
      <c r="AA129" s="21">
        <f>EXP(-LN(2)/25)*AA128+(1-EXP(-LN(2)/25))/(LN(2)/25)*Calculateur!V129*Calculateur!X129*VLOOKUP('Données projet'!$B$9,Paramètres!$A$1:$I$89,3,0)*0.475*44/12</f>
        <v>6.4063981935596095</v>
      </c>
      <c r="AB129" s="21">
        <f>EXP(-LN(2)/2)*AB128+(1-EXP(-LN(2)/2))/(LN(2)/2)*V129*Y129*VLOOKUP('Données projet'!$B$9,Paramètres!$A$1:$I$89,3,0)*0.475*44/12</f>
        <v>8.8243531688856274E-17</v>
      </c>
      <c r="AC129" s="22">
        <f t="shared" si="57"/>
        <v>27.129246679373022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735.00000000000011</v>
      </c>
      <c r="AJ129" s="13">
        <f>AI129*VLOOKUP('Données projet'!$B$10,Paramètres!$A$1:$I$89,3,0)*VLOOKUP('Données projet'!$B$10,Paramètres!$A$1:$I$89,5,0)</f>
        <v>343.98</v>
      </c>
      <c r="AK129" s="13">
        <f t="shared" si="89"/>
        <v>80.321681832084693</v>
      </c>
      <c r="AL129" s="20">
        <f t="shared" si="58"/>
        <v>738.9920958575475</v>
      </c>
      <c r="AM129" s="59">
        <f t="shared" si="59"/>
        <v>1032.3254291908809</v>
      </c>
      <c r="AN129" s="59">
        <f ca="1">AVERAGE(OFFSET($AM$3,0,0,'Données projet'!$E$10+1,1))-AVERAGE(OFFSET($H$3,0,0,'Données projet'!$E$10+1,1))</f>
        <v>342.49944586217674</v>
      </c>
      <c r="AO129" s="59">
        <f t="shared" si="90"/>
        <v>282.29766600872563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47.427942841027516</v>
      </c>
      <c r="AV129" s="21">
        <f>EXP(-LN(2)/25)*AV128+(1-EXP(-LN(2)/25))/(LN(2)/25)*Calculateur!AQ129*Calculateur!AS129*VLOOKUP('Données projet'!$B$10,Paramètres!$A$1:$I$89,3,0)*0.475*44/12</f>
        <v>2.7988418503218786</v>
      </c>
      <c r="AW129" s="21">
        <f>EXP(-LN(2)/2)*AW128+(1-EXP(-LN(2)/2))/(LN(2)/2)*AQ129*AT129*VLOOKUP('Données projet'!$B$10,Paramètres!$A$1:$I$89,3,0)*0.475*44/12</f>
        <v>2.9414510562952116E-16</v>
      </c>
      <c r="AX129" s="21">
        <f t="shared" si="60"/>
        <v>50.226784691349394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319</v>
      </c>
      <c r="BE129" s="13">
        <f>BD129*VLOOKUP('Données projet'!$B$11,Paramètres!$A$1:$I$89,3,0)*VLOOKUP('Données projet'!$B$11,Paramètres!$A$1:$I$89,5,0)</f>
        <v>253.79640000000001</v>
      </c>
      <c r="BF129" s="13">
        <f t="shared" si="91"/>
        <v>61.39816832228076</v>
      </c>
      <c r="BG129" s="20">
        <f t="shared" si="61"/>
        <v>548.96387316130563</v>
      </c>
      <c r="BH129" s="59">
        <f t="shared" si="62"/>
        <v>842.29720649463889</v>
      </c>
      <c r="BI129" s="59">
        <f ca="1">AVERAGE(OFFSET($BH$3,0,0,'Données projet'!$E$11+1,1))-AVERAGE(OFFSET($H$3,0,0,'Données projet'!$E$11+1,1))</f>
        <v>279.49721661620544</v>
      </c>
      <c r="BJ129" s="59">
        <f t="shared" si="92"/>
        <v>275.18739333988754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21.380253106369658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21.380253106369658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732.99999999999966</v>
      </c>
      <c r="BZ129" s="13">
        <f>BY129*VLOOKUP('Données projet'!$B$12,Paramètres!$A$1:$I$89,3,0)*VLOOKUP('Données projet'!$B$12,Paramètres!$A$1:$I$89,5,0)</f>
        <v>352.57299999999987</v>
      </c>
      <c r="CA129" s="13">
        <f t="shared" si="93"/>
        <v>82.092092597941644</v>
      </c>
      <c r="CB129" s="20">
        <f t="shared" si="64"/>
        <v>757.04170294141477</v>
      </c>
      <c r="CC129" s="59">
        <f t="shared" si="65"/>
        <v>1050.375036274748</v>
      </c>
      <c r="CD129" s="59">
        <f ca="1">AVERAGE(OFFSET($CC$3,0,0,'Données projet'!$E$12+1,1))-AVERAGE(OFFSET($H$3,0,0,'Données projet'!$E$12+1,1))</f>
        <v>349.65790906807746</v>
      </c>
      <c r="CE129" s="59">
        <f t="shared" si="94"/>
        <v>291.88925884278888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50.872296633537864</v>
      </c>
      <c r="CL129" s="21">
        <f>EXP(-LN(2)/25)*CL128+(1-EXP(-LN(2)/25))/(LN(2)/25)*Calculateur!CG129*Calculateur!CI129*VLOOKUP('Données projet'!$B$12,Paramètres!$A$1:$I$89,3,0)*0.475*44/12</f>
        <v>2.8765874572752703</v>
      </c>
      <c r="CM129" s="21">
        <f>EXP(-LN(2)/2)*CM128+(1-EXP(-LN(2)/2))/(LN(2)/2)*CG129*CJ129*VLOOKUP('Données projet'!$B$12,Paramètres!$A$1:$I$89,3,0)*0.475*44/12</f>
        <v>1.8138948180487125E-16</v>
      </c>
      <c r="CN129" s="22">
        <f t="shared" si="66"/>
        <v>53.748884090813135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285.99999999999972</v>
      </c>
      <c r="CU129" s="17">
        <f>CT129*VLOOKUP('Données projet'!$B$13,Paramètres!$A$1:$I$89,3,0)*VLOOKUP('Données projet'!$B$13,Paramètres!$A$1:$I$89,5,0)</f>
        <v>223.07999999999979</v>
      </c>
      <c r="CV129" s="13">
        <f t="shared" si="95"/>
        <v>54.783765878062617</v>
      </c>
      <c r="CW129" s="20">
        <f t="shared" si="67"/>
        <v>483.94605890429199</v>
      </c>
      <c r="CX129" s="59">
        <f t="shared" si="68"/>
        <v>777.2793922376253</v>
      </c>
      <c r="CY129" s="59">
        <f ca="1">AVERAGE(OFFSET($CX$3,0,0,'Données projet'!$E$13+1,1))-AVERAGE(OFFSET($H$3,0,0,'Données projet'!$E$13+1,1))</f>
        <v>215.84581110302656</v>
      </c>
      <c r="CZ129" s="59">
        <f t="shared" si="96"/>
        <v>193.88588526156104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19.353907204635149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19.353907204635149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401</v>
      </c>
      <c r="O130" s="13">
        <f>N130*VLOOKUP('Données projet'!$B$9,Paramètres!$A$1:$I$89,3,0)*VLOOKUP('Données projet'!$B$9,Paramètres!$A$1:$I$89,5,0)</f>
        <v>250.22399999999999</v>
      </c>
      <c r="P130" s="13">
        <f t="shared" si="87"/>
        <v>60.633904580527918</v>
      </c>
      <c r="Q130" s="20">
        <f t="shared" si="107"/>
        <v>541.41085047775289</v>
      </c>
      <c r="R130" s="59">
        <f t="shared" si="55"/>
        <v>834.74418381108626</v>
      </c>
      <c r="S130" s="59">
        <f ca="1">AVERAGE(OFFSET($R$3,0,0,'Données projet'!$E$9+1,1))-AVERAGE(OFFSET($H$3,0,0,'Données projet'!$E$9+1,1))</f>
        <v>269.77739619445515</v>
      </c>
      <c r="T130" s="59">
        <f t="shared" si="88"/>
        <v>347.56964743629885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20.316486066696122</v>
      </c>
      <c r="AA130" s="21">
        <f>EXP(-LN(2)/25)*AA129+(1-EXP(-LN(2)/25))/(LN(2)/25)*Calculateur!V130*Calculateur!X130*VLOOKUP('Données projet'!$B$9,Paramètres!$A$1:$I$89,3,0)*0.475*44/12</f>
        <v>6.2312148980588828</v>
      </c>
      <c r="AB130" s="21">
        <f>EXP(-LN(2)/2)*AB129+(1-EXP(-LN(2)/2))/(LN(2)/2)*V130*Y130*VLOOKUP('Données projet'!$B$9,Paramètres!$A$1:$I$89,3,0)*0.475*44/12</f>
        <v>6.2397599653040265E-17</v>
      </c>
      <c r="AC130" s="22">
        <f t="shared" si="57"/>
        <v>26.547700964755006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735.00000000000011</v>
      </c>
      <c r="AJ130" s="13">
        <f>AI130*VLOOKUP('Données projet'!$B$10,Paramètres!$A$1:$I$89,3,0)*VLOOKUP('Données projet'!$B$10,Paramètres!$A$1:$I$89,5,0)</f>
        <v>343.98</v>
      </c>
      <c r="AK130" s="13">
        <f t="shared" si="89"/>
        <v>80.321681832084693</v>
      </c>
      <c r="AL130" s="20">
        <f t="shared" si="58"/>
        <v>738.9920958575475</v>
      </c>
      <c r="AM130" s="59">
        <f t="shared" si="59"/>
        <v>1032.3254291908809</v>
      </c>
      <c r="AN130" s="59">
        <f ca="1">AVERAGE(OFFSET($AM$3,0,0,'Données projet'!$E$10+1,1))-AVERAGE(OFFSET($H$3,0,0,'Données projet'!$E$10+1,1))</f>
        <v>342.49944586217674</v>
      </c>
      <c r="AO130" s="59">
        <f t="shared" si="90"/>
        <v>282.29766600872563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46.497909810103678</v>
      </c>
      <c r="AV130" s="21">
        <f>EXP(-LN(2)/25)*AV129+(1-EXP(-LN(2)/25))/(LN(2)/25)*Calculateur!AQ130*Calculateur!AS130*VLOOKUP('Données projet'!$B$10,Paramètres!$A$1:$I$89,3,0)*0.475*44/12</f>
        <v>2.7223073727401306</v>
      </c>
      <c r="AW130" s="21">
        <f>EXP(-LN(2)/2)*AW129+(1-EXP(-LN(2)/2))/(LN(2)/2)*AQ130*AT130*VLOOKUP('Données projet'!$B$10,Paramètres!$A$1:$I$89,3,0)*0.475*44/12</f>
        <v>2.0799199884346773E-16</v>
      </c>
      <c r="AX130" s="21">
        <f t="shared" si="60"/>
        <v>49.220217182843811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319</v>
      </c>
      <c r="BE130" s="13">
        <f>BD130*VLOOKUP('Données projet'!$B$11,Paramètres!$A$1:$I$89,3,0)*VLOOKUP('Données projet'!$B$11,Paramètres!$A$1:$I$89,5,0)</f>
        <v>253.79640000000001</v>
      </c>
      <c r="BF130" s="13">
        <f t="shared" si="91"/>
        <v>61.39816832228076</v>
      </c>
      <c r="BG130" s="20">
        <f t="shared" si="61"/>
        <v>548.96387316130563</v>
      </c>
      <c r="BH130" s="59">
        <f t="shared" si="62"/>
        <v>842.29720649463889</v>
      </c>
      <c r="BI130" s="59">
        <f ca="1">AVERAGE(OFFSET($BH$3,0,0,'Données projet'!$E$11+1,1))-AVERAGE(OFFSET($H$3,0,0,'Données projet'!$E$11+1,1))</f>
        <v>279.49721661620544</v>
      </c>
      <c r="BJ130" s="59">
        <f t="shared" si="92"/>
        <v>275.18739333988754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20.960999383620486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20.960999383620486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732.99999999999966</v>
      </c>
      <c r="BZ130" s="13">
        <f>BY130*VLOOKUP('Données projet'!$B$12,Paramètres!$A$1:$I$89,3,0)*VLOOKUP('Données projet'!$B$12,Paramètres!$A$1:$I$89,5,0)</f>
        <v>352.57299999999987</v>
      </c>
      <c r="CA130" s="13">
        <f t="shared" si="93"/>
        <v>82.092092597941644</v>
      </c>
      <c r="CB130" s="20">
        <f t="shared" si="64"/>
        <v>757.04170294141477</v>
      </c>
      <c r="CC130" s="59">
        <f t="shared" si="65"/>
        <v>1050.375036274748</v>
      </c>
      <c r="CD130" s="59">
        <f ca="1">AVERAGE(OFFSET($CC$3,0,0,'Données projet'!$E$12+1,1))-AVERAGE(OFFSET($H$3,0,0,'Données projet'!$E$12+1,1))</f>
        <v>349.65790906807746</v>
      </c>
      <c r="CE130" s="59">
        <f t="shared" si="94"/>
        <v>291.88925884278888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49.874721925591267</v>
      </c>
      <c r="CL130" s="21">
        <f>EXP(-LN(2)/25)*CL129+(1-EXP(-LN(2)/25))/(LN(2)/25)*Calculateur!CG130*Calculateur!CI130*VLOOKUP('Données projet'!$B$12,Paramètres!$A$1:$I$89,3,0)*0.475*44/12</f>
        <v>2.7979270219829182</v>
      </c>
      <c r="CM130" s="21">
        <f>EXP(-LN(2)/2)*CM129+(1-EXP(-LN(2)/2))/(LN(2)/2)*CG130*CJ130*VLOOKUP('Données projet'!$B$12,Paramètres!$A$1:$I$89,3,0)*0.475*44/12</f>
        <v>1.2826173262013834E-16</v>
      </c>
      <c r="CN130" s="22">
        <f t="shared" si="66"/>
        <v>52.672648947574189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285.99999999999972</v>
      </c>
      <c r="CU130" s="17">
        <f>CT130*VLOOKUP('Données projet'!$B$13,Paramètres!$A$1:$I$89,3,0)*VLOOKUP('Données projet'!$B$13,Paramètres!$A$1:$I$89,5,0)</f>
        <v>223.07999999999979</v>
      </c>
      <c r="CV130" s="13">
        <f t="shared" si="95"/>
        <v>54.783765878062617</v>
      </c>
      <c r="CW130" s="20">
        <f t="shared" si="67"/>
        <v>483.94605890429199</v>
      </c>
      <c r="CX130" s="59">
        <f t="shared" si="68"/>
        <v>777.2793922376253</v>
      </c>
      <c r="CY130" s="59">
        <f ca="1">AVERAGE(OFFSET($CX$3,0,0,'Données projet'!$E$13+1,1))-AVERAGE(OFFSET($H$3,0,0,'Données projet'!$E$13+1,1))</f>
        <v>215.84581110302656</v>
      </c>
      <c r="CZ130" s="59">
        <f t="shared" si="96"/>
        <v>193.88588526156104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18.974388889070031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18.974388889070031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401</v>
      </c>
      <c r="O131" s="13">
        <f>N131*VLOOKUP('Données projet'!$B$9,Paramètres!$A$1:$I$89,3,0)*VLOOKUP('Données projet'!$B$9,Paramètres!$A$1:$I$89,5,0)</f>
        <v>250.22399999999999</v>
      </c>
      <c r="P131" s="13">
        <f t="shared" si="87"/>
        <v>60.633904580527918</v>
      </c>
      <c r="Q131" s="20">
        <f t="shared" ref="Q131:Q153" si="108">(O131+P131)*0.475*44/12</f>
        <v>541.41085047775289</v>
      </c>
      <c r="R131" s="59">
        <f t="shared" ref="R131:R194" si="109">Q131+(I131+J131)*44/12</f>
        <v>834.74418381108626</v>
      </c>
      <c r="S131" s="59">
        <f ca="1">AVERAGE(OFFSET($R$3,0,0,'Données projet'!$E$9+1,1))-AVERAGE(OFFSET($H$3,0,0,'Données projet'!$E$9+1,1))</f>
        <v>269.77739619445515</v>
      </c>
      <c r="T131" s="59">
        <f t="shared" si="88"/>
        <v>347.56964743629885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19.91809216676112</v>
      </c>
      <c r="AA131" s="21">
        <f>EXP(-LN(2)/25)*AA130+(1-EXP(-LN(2)/25))/(LN(2)/25)*Calculateur!V131*Calculateur!X131*VLOOKUP('Données projet'!$B$9,Paramètres!$A$1:$I$89,3,0)*0.475*44/12</f>
        <v>6.0608219989861132</v>
      </c>
      <c r="AB131" s="21">
        <f>EXP(-LN(2)/2)*AB130+(1-EXP(-LN(2)/2))/(LN(2)/2)*V131*Y131*VLOOKUP('Données projet'!$B$9,Paramètres!$A$1:$I$89,3,0)*0.475*44/12</f>
        <v>4.4121765844428137E-17</v>
      </c>
      <c r="AC131" s="22">
        <f t="shared" si="57"/>
        <v>25.978914165747234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735.00000000000011</v>
      </c>
      <c r="AJ131" s="13">
        <f>AI131*VLOOKUP('Données projet'!$B$10,Paramètres!$A$1:$I$89,3,0)*VLOOKUP('Données projet'!$B$10,Paramètres!$A$1:$I$89,5,0)</f>
        <v>343.98</v>
      </c>
      <c r="AK131" s="13">
        <f t="shared" si="89"/>
        <v>80.321681832084693</v>
      </c>
      <c r="AL131" s="20">
        <f t="shared" si="58"/>
        <v>738.9920958575475</v>
      </c>
      <c r="AM131" s="59">
        <f t="shared" si="59"/>
        <v>1032.3254291908809</v>
      </c>
      <c r="AN131" s="59">
        <f ca="1">AVERAGE(OFFSET($AM$3,0,0,'Données projet'!$E$10+1,1))-AVERAGE(OFFSET($H$3,0,0,'Données projet'!$E$10+1,1))</f>
        <v>342.49944586217674</v>
      </c>
      <c r="AO131" s="59">
        <f t="shared" si="90"/>
        <v>282.29766600872563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45.586114159652119</v>
      </c>
      <c r="AV131" s="21">
        <f>EXP(-LN(2)/25)*AV130+(1-EXP(-LN(2)/25))/(LN(2)/25)*Calculateur!AQ131*Calculateur!AS131*VLOOKUP('Données projet'!$B$10,Paramètres!$A$1:$I$89,3,0)*0.475*44/12</f>
        <v>2.6478657344726289</v>
      </c>
      <c r="AW131" s="21">
        <f>EXP(-LN(2)/2)*AW130+(1-EXP(-LN(2)/2))/(LN(2)/2)*AQ131*AT131*VLOOKUP('Données projet'!$B$10,Paramètres!$A$1:$I$89,3,0)*0.475*44/12</f>
        <v>1.4707255281476058E-16</v>
      </c>
      <c r="AX131" s="21">
        <f t="shared" si="60"/>
        <v>48.233979894124751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319</v>
      </c>
      <c r="BE131" s="13">
        <f>BD131*VLOOKUP('Données projet'!$B$11,Paramètres!$A$1:$I$89,3,0)*VLOOKUP('Données projet'!$B$11,Paramètres!$A$1:$I$89,5,0)</f>
        <v>253.79640000000001</v>
      </c>
      <c r="BF131" s="13">
        <f t="shared" si="91"/>
        <v>61.39816832228076</v>
      </c>
      <c r="BG131" s="20">
        <f t="shared" si="61"/>
        <v>548.96387316130563</v>
      </c>
      <c r="BH131" s="59">
        <f t="shared" si="62"/>
        <v>842.29720649463889</v>
      </c>
      <c r="BI131" s="59">
        <f ca="1">AVERAGE(OFFSET($BH$3,0,0,'Données projet'!$E$11+1,1))-AVERAGE(OFFSET($H$3,0,0,'Données projet'!$E$11+1,1))</f>
        <v>279.49721661620544</v>
      </c>
      <c r="BJ131" s="59">
        <f t="shared" si="92"/>
        <v>275.18739333988754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20.549966970654904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20.549966970654904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732.99999999999966</v>
      </c>
      <c r="BZ131" s="13">
        <f>BY131*VLOOKUP('Données projet'!$B$12,Paramètres!$A$1:$I$89,3,0)*VLOOKUP('Données projet'!$B$12,Paramètres!$A$1:$I$89,5,0)</f>
        <v>352.57299999999987</v>
      </c>
      <c r="CA131" s="13">
        <f t="shared" si="93"/>
        <v>82.092092597941644</v>
      </c>
      <c r="CB131" s="20">
        <f t="shared" si="64"/>
        <v>757.04170294141477</v>
      </c>
      <c r="CC131" s="59">
        <f t="shared" si="65"/>
        <v>1050.375036274748</v>
      </c>
      <c r="CD131" s="59">
        <f ca="1">AVERAGE(OFFSET($CC$3,0,0,'Données projet'!$E$12+1,1))-AVERAGE(OFFSET($H$3,0,0,'Données projet'!$E$12+1,1))</f>
        <v>349.65790906807746</v>
      </c>
      <c r="CE131" s="59">
        <f t="shared" si="94"/>
        <v>291.88925884278888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48.896709049207011</v>
      </c>
      <c r="CL131" s="21">
        <f>EXP(-LN(2)/25)*CL130+(1-EXP(-LN(2)/25))/(LN(2)/25)*Calculateur!CG131*Calculateur!CI131*VLOOKUP('Données projet'!$B$12,Paramètres!$A$1:$I$89,3,0)*0.475*44/12</f>
        <v>2.7214175604302078</v>
      </c>
      <c r="CM131" s="21">
        <f>EXP(-LN(2)/2)*CM130+(1-EXP(-LN(2)/2))/(LN(2)/2)*CG131*CJ131*VLOOKUP('Données projet'!$B$12,Paramètres!$A$1:$I$89,3,0)*0.475*44/12</f>
        <v>9.0694740902435623E-17</v>
      </c>
      <c r="CN131" s="22">
        <f t="shared" si="66"/>
        <v>51.618126609637216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285.99999999999972</v>
      </c>
      <c r="CU131" s="17">
        <f>CT131*VLOOKUP('Données projet'!$B$13,Paramètres!$A$1:$I$89,3,0)*VLOOKUP('Données projet'!$B$13,Paramètres!$A$1:$I$89,5,0)</f>
        <v>223.07999999999979</v>
      </c>
      <c r="CV131" s="13">
        <f t="shared" si="95"/>
        <v>54.783765878062617</v>
      </c>
      <c r="CW131" s="20">
        <f t="shared" si="67"/>
        <v>483.94605890429199</v>
      </c>
      <c r="CX131" s="59">
        <f t="shared" si="68"/>
        <v>777.2793922376253</v>
      </c>
      <c r="CY131" s="59">
        <f ca="1">AVERAGE(OFFSET($CX$3,0,0,'Données projet'!$E$13+1,1))-AVERAGE(OFFSET($H$3,0,0,'Données projet'!$E$13+1,1))</f>
        <v>215.84581110302656</v>
      </c>
      <c r="CZ131" s="59">
        <f t="shared" si="96"/>
        <v>193.88588526156104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18.602312696189827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18.602312696189827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401</v>
      </c>
      <c r="O132" s="13">
        <f>N132*VLOOKUP('Données projet'!$B$9,Paramètres!$A$1:$I$89,3,0)*VLOOKUP('Données projet'!$B$9,Paramètres!$A$1:$I$89,5,0)</f>
        <v>250.22399999999999</v>
      </c>
      <c r="P132" s="13">
        <f t="shared" si="87"/>
        <v>60.633904580527918</v>
      </c>
      <c r="Q132" s="20">
        <f t="shared" si="108"/>
        <v>541.41085047775289</v>
      </c>
      <c r="R132" s="59">
        <f t="shared" si="109"/>
        <v>834.74418381108626</v>
      </c>
      <c r="S132" s="59">
        <f ca="1">AVERAGE(OFFSET($R$3,0,0,'Données projet'!$E$9+1,1))-AVERAGE(OFFSET($H$3,0,0,'Données projet'!$E$9+1,1))</f>
        <v>269.77739619445515</v>
      </c>
      <c r="T132" s="59">
        <f t="shared" si="88"/>
        <v>347.56964743629885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19.527510528207557</v>
      </c>
      <c r="AA132" s="21">
        <f>EXP(-LN(2)/25)*AA131+(1-EXP(-LN(2)/25))/(LN(2)/25)*Calculateur!V132*Calculateur!X132*VLOOKUP('Données projet'!$B$9,Paramètres!$A$1:$I$89,3,0)*0.475*44/12</f>
        <v>5.8950885026990614</v>
      </c>
      <c r="AB132" s="21">
        <f>EXP(-LN(2)/2)*AB131+(1-EXP(-LN(2)/2))/(LN(2)/2)*V132*Y132*VLOOKUP('Données projet'!$B$9,Paramètres!$A$1:$I$89,3,0)*0.475*44/12</f>
        <v>3.1198799826520132E-17</v>
      </c>
      <c r="AC132" s="22">
        <f t="shared" ref="AC132:AC153" si="111">SUM(Z132:AB132)</f>
        <v>25.422599030906618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735.00000000000011</v>
      </c>
      <c r="AJ132" s="13">
        <f>AI132*VLOOKUP('Données projet'!$B$10,Paramètres!$A$1:$I$89,3,0)*VLOOKUP('Données projet'!$B$10,Paramètres!$A$1:$I$89,5,0)</f>
        <v>343.98</v>
      </c>
      <c r="AK132" s="13">
        <f t="shared" si="89"/>
        <v>80.321681832084693</v>
      </c>
      <c r="AL132" s="20">
        <f t="shared" ref="AL132:AL153" si="112">(AJ132+AK132)*0.475*44/12</f>
        <v>738.9920958575475</v>
      </c>
      <c r="AM132" s="59">
        <f t="shared" ref="AM132:AM195" si="113">AL132+(AD132+AE132)*44/12</f>
        <v>1032.3254291908809</v>
      </c>
      <c r="AN132" s="59">
        <f ca="1">AVERAGE(OFFSET($AM$3,0,0,'Données projet'!$E$10+1,1))-AVERAGE(OFFSET($H$3,0,0,'Données projet'!$E$10+1,1))</f>
        <v>342.49944586217674</v>
      </c>
      <c r="AO132" s="59">
        <f t="shared" si="90"/>
        <v>282.29766600872563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44.692198265765484</v>
      </c>
      <c r="AV132" s="21">
        <f>EXP(-LN(2)/25)*AV131+(1-EXP(-LN(2)/25))/(LN(2)/25)*Calculateur!AQ132*Calculateur!AS132*VLOOKUP('Données projet'!$B$10,Paramètres!$A$1:$I$89,3,0)*0.475*44/12</f>
        <v>2.5754597067182674</v>
      </c>
      <c r="AW132" s="21">
        <f>EXP(-LN(2)/2)*AW131+(1-EXP(-LN(2)/2))/(LN(2)/2)*AQ132*AT132*VLOOKUP('Données projet'!$B$10,Paramètres!$A$1:$I$89,3,0)*0.475*44/12</f>
        <v>1.0399599942173386E-16</v>
      </c>
      <c r="AX132" s="21">
        <f t="shared" ref="AX132:AX153" si="114">SUM(AU132:AW132)</f>
        <v>47.267657972483754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319</v>
      </c>
      <c r="BE132" s="13">
        <f>BD132*VLOOKUP('Données projet'!$B$11,Paramètres!$A$1:$I$89,3,0)*VLOOKUP('Données projet'!$B$11,Paramètres!$A$1:$I$89,5,0)</f>
        <v>253.79640000000001</v>
      </c>
      <c r="BF132" s="13">
        <f t="shared" si="91"/>
        <v>61.39816832228076</v>
      </c>
      <c r="BG132" s="20">
        <f t="shared" ref="BG132:BG153" si="115">(BE132+BF132)*0.475*44/12</f>
        <v>548.96387316130563</v>
      </c>
      <c r="BH132" s="59">
        <f t="shared" ref="BH132:BH195" si="116">BG132+(AY132+AZ132)*44/12</f>
        <v>842.29720649463889</v>
      </c>
      <c r="BI132" s="59">
        <f ca="1">AVERAGE(OFFSET($BH$3,0,0,'Données projet'!$E$11+1,1))-AVERAGE(OFFSET($H$3,0,0,'Données projet'!$E$11+1,1))</f>
        <v>279.49721661620544</v>
      </c>
      <c r="BJ132" s="59">
        <f t="shared" si="92"/>
        <v>275.18739333988754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20.146994652602558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20.146994652602558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732.99999999999966</v>
      </c>
      <c r="BZ132" s="13">
        <f>BY132*VLOOKUP('Données projet'!$B$12,Paramètres!$A$1:$I$89,3,0)*VLOOKUP('Données projet'!$B$12,Paramètres!$A$1:$I$89,5,0)</f>
        <v>352.57299999999987</v>
      </c>
      <c r="CA132" s="13">
        <f t="shared" si="93"/>
        <v>82.092092597941644</v>
      </c>
      <c r="CB132" s="20">
        <f t="shared" ref="CB132:CB153" si="118">(BZ132+CA132)*0.475*44/12</f>
        <v>757.04170294141477</v>
      </c>
      <c r="CC132" s="59">
        <f t="shared" ref="CC132:CC195" si="119">CB132+(BT132+BU132)*44/12</f>
        <v>1050.375036274748</v>
      </c>
      <c r="CD132" s="59">
        <f ca="1">AVERAGE(OFFSET($CC$3,0,0,'Données projet'!$E$12+1,1))-AVERAGE(OFFSET($H$3,0,0,'Données projet'!$E$12+1,1))</f>
        <v>349.65790906807746</v>
      </c>
      <c r="CE132" s="59">
        <f t="shared" si="94"/>
        <v>291.88925884278888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47.937874408799701</v>
      </c>
      <c r="CL132" s="21">
        <f>EXP(-LN(2)/25)*CL131+(1-EXP(-LN(2)/25))/(LN(2)/25)*Calculateur!CG132*Calculateur!CI132*VLOOKUP('Données projet'!$B$12,Paramètres!$A$1:$I$89,3,0)*0.475*44/12</f>
        <v>2.6470002541271143</v>
      </c>
      <c r="CM132" s="21">
        <f>EXP(-LN(2)/2)*CM131+(1-EXP(-LN(2)/2))/(LN(2)/2)*CG132*CJ132*VLOOKUP('Données projet'!$B$12,Paramètres!$A$1:$I$89,3,0)*0.475*44/12</f>
        <v>6.4130866310069168E-17</v>
      </c>
      <c r="CN132" s="22">
        <f t="shared" ref="CN132:CN153" si="120">SUM(CK132:CM132)</f>
        <v>50.584874662926815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285.99999999999972</v>
      </c>
      <c r="CU132" s="17">
        <f>CT132*VLOOKUP('Données projet'!$B$13,Paramètres!$A$1:$I$89,3,0)*VLOOKUP('Données projet'!$B$13,Paramètres!$A$1:$I$89,5,0)</f>
        <v>223.07999999999979</v>
      </c>
      <c r="CV132" s="13">
        <f t="shared" si="95"/>
        <v>54.783765878062617</v>
      </c>
      <c r="CW132" s="20">
        <f t="shared" ref="CW132:CW153" si="121">(CU132+CV132)*0.475*44/12</f>
        <v>483.94605890429199</v>
      </c>
      <c r="CX132" s="59">
        <f t="shared" ref="CX132:CX195" si="122">CW132+(CO132+CP132)*44/12</f>
        <v>777.2793922376253</v>
      </c>
      <c r="CY132" s="59">
        <f ca="1">AVERAGE(OFFSET($CX$3,0,0,'Données projet'!$E$13+1,1))-AVERAGE(OFFSET($H$3,0,0,'Données projet'!$E$13+1,1))</f>
        <v>215.84581110302656</v>
      </c>
      <c r="CZ132" s="59">
        <f t="shared" si="96"/>
        <v>193.88588526156104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18.237532690507937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18.237532690507937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401</v>
      </c>
      <c r="O133" s="13">
        <f>N133*VLOOKUP('Données projet'!$B$9,Paramètres!$A$1:$I$89,3,0)*VLOOKUP('Données projet'!$B$9,Paramètres!$A$1:$I$89,5,0)</f>
        <v>250.22399999999999</v>
      </c>
      <c r="P133" s="13">
        <f t="shared" ref="P133:P196" si="141">EXP(-1.0587+0.8836*LN(O133)+0.284)</f>
        <v>60.633904580527918</v>
      </c>
      <c r="Q133" s="20">
        <f t="shared" si="108"/>
        <v>541.41085047775289</v>
      </c>
      <c r="R133" s="59">
        <f t="shared" si="109"/>
        <v>834.74418381108626</v>
      </c>
      <c r="S133" s="59">
        <f ca="1">AVERAGE(OFFSET($R$3,0,0,'Données projet'!$E$9+1,1))-AVERAGE(OFFSET($H$3,0,0,'Données projet'!$E$9+1,1))</f>
        <v>269.77739619445515</v>
      </c>
      <c r="T133" s="59">
        <f t="shared" ref="T133:T196" si="142">$T$3</f>
        <v>347.56964743629885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19.144587957354755</v>
      </c>
      <c r="AA133" s="21">
        <f>EXP(-LN(2)/25)*AA132+(1-EXP(-LN(2)/25))/(LN(2)/25)*Calculateur!V133*Calculateur!X133*VLOOKUP('Données projet'!$B$9,Paramètres!$A$1:$I$89,3,0)*0.475*44/12</f>
        <v>5.7338869975835243</v>
      </c>
      <c r="AB133" s="21">
        <f>EXP(-LN(2)/2)*AB132+(1-EXP(-LN(2)/2))/(LN(2)/2)*V133*Y133*VLOOKUP('Données projet'!$B$9,Paramètres!$A$1:$I$89,3,0)*0.475*44/12</f>
        <v>2.2060882922214069E-17</v>
      </c>
      <c r="AC133" s="22">
        <f t="shared" si="111"/>
        <v>24.87847495493828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735.00000000000011</v>
      </c>
      <c r="AJ133" s="13">
        <f>AI133*VLOOKUP('Données projet'!$B$10,Paramètres!$A$1:$I$89,3,0)*VLOOKUP('Données projet'!$B$10,Paramètres!$A$1:$I$89,5,0)</f>
        <v>343.98</v>
      </c>
      <c r="AK133" s="13">
        <f t="shared" ref="AK133:AK153" si="143">EXP(-1.0587+0.8836*LN(AJ133)+0.284)</f>
        <v>80.321681832084693</v>
      </c>
      <c r="AL133" s="20">
        <f t="shared" si="112"/>
        <v>738.9920958575475</v>
      </c>
      <c r="AM133" s="59">
        <f t="shared" si="113"/>
        <v>1032.3254291908809</v>
      </c>
      <c r="AN133" s="59">
        <f ca="1">AVERAGE(OFFSET($AM$3,0,0,'Données projet'!$E$10+1,1))-AVERAGE(OFFSET($H$3,0,0,'Données projet'!$E$10+1,1))</f>
        <v>342.49944586217674</v>
      </c>
      <c r="AO133" s="59">
        <f t="shared" ref="AO133:AO196" si="144">$AO$3</f>
        <v>282.29766600872563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43.815811517323105</v>
      </c>
      <c r="AV133" s="21">
        <f>EXP(-LN(2)/25)*AV132+(1-EXP(-LN(2)/25))/(LN(2)/25)*Calculateur!AQ133*Calculateur!AS133*VLOOKUP('Données projet'!$B$10,Paramètres!$A$1:$I$89,3,0)*0.475*44/12</f>
        <v>2.5050336256005168</v>
      </c>
      <c r="AW133" s="21">
        <f>EXP(-LN(2)/2)*AW132+(1-EXP(-LN(2)/2))/(LN(2)/2)*AQ133*AT133*VLOOKUP('Données projet'!$B$10,Paramètres!$A$1:$I$89,3,0)*0.475*44/12</f>
        <v>7.353627640738029E-17</v>
      </c>
      <c r="AX133" s="21">
        <f t="shared" si="114"/>
        <v>46.320845142923623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319</v>
      </c>
      <c r="BE133" s="13">
        <f>BD133*VLOOKUP('Données projet'!$B$11,Paramètres!$A$1:$I$89,3,0)*VLOOKUP('Données projet'!$B$11,Paramètres!$A$1:$I$89,5,0)</f>
        <v>253.79640000000001</v>
      </c>
      <c r="BF133" s="13">
        <f t="shared" ref="BF133:BF153" si="145">EXP(-1.0587+0.8836*LN(BE133)+0.284)</f>
        <v>61.39816832228076</v>
      </c>
      <c r="BG133" s="20">
        <f t="shared" si="115"/>
        <v>548.96387316130563</v>
      </c>
      <c r="BH133" s="59">
        <f t="shared" si="116"/>
        <v>842.29720649463889</v>
      </c>
      <c r="BI133" s="59">
        <f ca="1">AVERAGE(OFFSET($BH$3,0,0,'Données projet'!$E$11+1,1))-AVERAGE(OFFSET($H$3,0,0,'Données projet'!$E$11+1,1))</f>
        <v>279.49721661620544</v>
      </c>
      <c r="BJ133" s="59">
        <f t="shared" ref="BJ133:BJ196" si="146">$BJ$3</f>
        <v>275.18739333988754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19.751924375918374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19.751924375918374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732.99999999999966</v>
      </c>
      <c r="BZ133" s="13">
        <f>BY133*VLOOKUP('Données projet'!$B$12,Paramètres!$A$1:$I$89,3,0)*VLOOKUP('Données projet'!$B$12,Paramètres!$A$1:$I$89,5,0)</f>
        <v>352.57299999999987</v>
      </c>
      <c r="CA133" s="13">
        <f t="shared" ref="CA133:CA153" si="147">EXP(-1.0587+0.8836*LN(BZ133)+0.284)</f>
        <v>82.092092597941644</v>
      </c>
      <c r="CB133" s="20">
        <f t="shared" si="118"/>
        <v>757.04170294141477</v>
      </c>
      <c r="CC133" s="59">
        <f t="shared" si="119"/>
        <v>1050.375036274748</v>
      </c>
      <c r="CD133" s="59">
        <f ca="1">AVERAGE(OFFSET($CC$3,0,0,'Données projet'!$E$12+1,1))-AVERAGE(OFFSET($H$3,0,0,'Données projet'!$E$12+1,1))</f>
        <v>349.65790906807746</v>
      </c>
      <c r="CE133" s="59">
        <f t="shared" ref="CE133:CE196" si="148">$CE$3</f>
        <v>291.88925884278888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46.997841930859394</v>
      </c>
      <c r="CL133" s="21">
        <f>EXP(-LN(2)/25)*CL132+(1-EXP(-LN(2)/25))/(LN(2)/25)*Calculateur!CG133*Calculateur!CI133*VLOOKUP('Données projet'!$B$12,Paramètres!$A$1:$I$89,3,0)*0.475*44/12</f>
        <v>2.5746178929783148</v>
      </c>
      <c r="CM133" s="21">
        <f>EXP(-LN(2)/2)*CM132+(1-EXP(-LN(2)/2))/(LN(2)/2)*CG133*CJ133*VLOOKUP('Données projet'!$B$12,Paramètres!$A$1:$I$89,3,0)*0.475*44/12</f>
        <v>4.5347370451217812E-17</v>
      </c>
      <c r="CN133" s="22">
        <f t="shared" si="120"/>
        <v>49.572459823837711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285.99999999999972</v>
      </c>
      <c r="CU133" s="17">
        <f>CT133*VLOOKUP('Données projet'!$B$13,Paramètres!$A$1:$I$89,3,0)*VLOOKUP('Données projet'!$B$13,Paramètres!$A$1:$I$89,5,0)</f>
        <v>223.07999999999979</v>
      </c>
      <c r="CV133" s="13">
        <f t="shared" ref="CV133:CV153" si="149">EXP(-1.0587+0.8836*LN(CU133)+0.284)</f>
        <v>54.783765878062617</v>
      </c>
      <c r="CW133" s="20">
        <f t="shared" si="121"/>
        <v>483.94605890429199</v>
      </c>
      <c r="CX133" s="59">
        <f t="shared" si="122"/>
        <v>777.2793922376253</v>
      </c>
      <c r="CY133" s="59">
        <f ca="1">AVERAGE(OFFSET($CX$3,0,0,'Données projet'!$E$13+1,1))-AVERAGE(OFFSET($H$3,0,0,'Données projet'!$E$13+1,1))</f>
        <v>215.84581110302656</v>
      </c>
      <c r="CZ133" s="59">
        <f t="shared" ref="CZ133:CZ196" si="150">$CZ$3</f>
        <v>193.88588526156104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17.879905798243634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17.879905798243634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401</v>
      </c>
      <c r="O134" s="13">
        <f>N134*VLOOKUP('Données projet'!$B$9,Paramètres!$A$1:$I$89,3,0)*VLOOKUP('Données projet'!$B$9,Paramètres!$A$1:$I$89,5,0)</f>
        <v>250.22399999999999</v>
      </c>
      <c r="P134" s="13">
        <f t="shared" si="141"/>
        <v>60.633904580527918</v>
      </c>
      <c r="Q134" s="20">
        <f t="shared" si="108"/>
        <v>541.41085047775289</v>
      </c>
      <c r="R134" s="59">
        <f t="shared" si="109"/>
        <v>834.74418381108626</v>
      </c>
      <c r="S134" s="59">
        <f ca="1">AVERAGE(OFFSET($R$3,0,0,'Données projet'!$E$9+1,1))-AVERAGE(OFFSET($H$3,0,0,'Données projet'!$E$9+1,1))</f>
        <v>269.77739619445515</v>
      </c>
      <c r="T134" s="59">
        <f t="shared" si="142"/>
        <v>347.56964743629885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18.769174264556671</v>
      </c>
      <c r="AA134" s="21">
        <f>EXP(-LN(2)/25)*AA133+(1-EXP(-LN(2)/25))/(LN(2)/25)*Calculateur!V134*Calculateur!X134*VLOOKUP('Données projet'!$B$9,Paramètres!$A$1:$I$89,3,0)*0.475*44/12</f>
        <v>5.5770935561025903</v>
      </c>
      <c r="AB134" s="21">
        <f>EXP(-LN(2)/2)*AB133+(1-EXP(-LN(2)/2))/(LN(2)/2)*V134*Y134*VLOOKUP('Données projet'!$B$9,Paramètres!$A$1:$I$89,3,0)*0.475*44/12</f>
        <v>1.5599399913260066E-17</v>
      </c>
      <c r="AC134" s="22">
        <f t="shared" si="111"/>
        <v>24.346267820659261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735.00000000000011</v>
      </c>
      <c r="AJ134" s="13">
        <f>AI134*VLOOKUP('Données projet'!$B$10,Paramètres!$A$1:$I$89,3,0)*VLOOKUP('Données projet'!$B$10,Paramètres!$A$1:$I$89,5,0)</f>
        <v>343.98</v>
      </c>
      <c r="AK134" s="13">
        <f t="shared" si="143"/>
        <v>80.321681832084693</v>
      </c>
      <c r="AL134" s="20">
        <f t="shared" si="112"/>
        <v>738.9920958575475</v>
      </c>
      <c r="AM134" s="59">
        <f t="shared" si="113"/>
        <v>1032.3254291908809</v>
      </c>
      <c r="AN134" s="59">
        <f ca="1">AVERAGE(OFFSET($AM$3,0,0,'Données projet'!$E$10+1,1))-AVERAGE(OFFSET($H$3,0,0,'Données projet'!$E$10+1,1))</f>
        <v>342.49944586217674</v>
      </c>
      <c r="AO134" s="59">
        <f t="shared" si="144"/>
        <v>282.29766600872563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42.956610178474548</v>
      </c>
      <c r="AV134" s="21">
        <f>EXP(-LN(2)/25)*AV133+(1-EXP(-LN(2)/25))/(LN(2)/25)*Calculateur!AQ134*Calculateur!AS134*VLOOKUP('Données projet'!$B$10,Paramètres!$A$1:$I$89,3,0)*0.475*44/12</f>
        <v>2.4365333493744776</v>
      </c>
      <c r="AW134" s="21">
        <f>EXP(-LN(2)/2)*AW133+(1-EXP(-LN(2)/2))/(LN(2)/2)*AQ134*AT134*VLOOKUP('Données projet'!$B$10,Paramètres!$A$1:$I$89,3,0)*0.475*44/12</f>
        <v>5.1997999710866932E-17</v>
      </c>
      <c r="AX134" s="21">
        <f t="shared" si="114"/>
        <v>45.393143527849027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319</v>
      </c>
      <c r="BE134" s="13">
        <f>BD134*VLOOKUP('Données projet'!$B$11,Paramètres!$A$1:$I$89,3,0)*VLOOKUP('Données projet'!$B$11,Paramètres!$A$1:$I$89,5,0)</f>
        <v>253.79640000000001</v>
      </c>
      <c r="BF134" s="13">
        <f t="shared" si="145"/>
        <v>61.39816832228076</v>
      </c>
      <c r="BG134" s="20">
        <f t="shared" si="115"/>
        <v>548.96387316130563</v>
      </c>
      <c r="BH134" s="59">
        <f t="shared" si="116"/>
        <v>842.29720649463889</v>
      </c>
      <c r="BI134" s="59">
        <f ca="1">AVERAGE(OFFSET($BH$3,0,0,'Données projet'!$E$11+1,1))-AVERAGE(OFFSET($H$3,0,0,'Données projet'!$E$11+1,1))</f>
        <v>279.49721661620544</v>
      </c>
      <c r="BJ134" s="59">
        <f t="shared" si="146"/>
        <v>275.18739333988754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19.364601186390892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19.364601186390892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732.99999999999966</v>
      </c>
      <c r="BZ134" s="13">
        <f>BY134*VLOOKUP('Données projet'!$B$12,Paramètres!$A$1:$I$89,3,0)*VLOOKUP('Données projet'!$B$12,Paramètres!$A$1:$I$89,5,0)</f>
        <v>352.57299999999987</v>
      </c>
      <c r="CA134" s="13">
        <f t="shared" si="147"/>
        <v>82.092092597941644</v>
      </c>
      <c r="CB134" s="20">
        <f t="shared" si="118"/>
        <v>757.04170294141477</v>
      </c>
      <c r="CC134" s="59">
        <f t="shared" si="119"/>
        <v>1050.375036274748</v>
      </c>
      <c r="CD134" s="59">
        <f ca="1">AVERAGE(OFFSET($CC$3,0,0,'Données projet'!$E$12+1,1))-AVERAGE(OFFSET($H$3,0,0,'Données projet'!$E$12+1,1))</f>
        <v>349.65790906807746</v>
      </c>
      <c r="CE134" s="59">
        <f t="shared" si="148"/>
        <v>291.88925884278888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46.076242916448301</v>
      </c>
      <c r="CL134" s="21">
        <f>EXP(-LN(2)/25)*CL133+(1-EXP(-LN(2)/25))/(LN(2)/25)*Calculateur!CG134*Calculateur!CI134*VLOOKUP('Données projet'!$B$12,Paramètres!$A$1:$I$89,3,0)*0.475*44/12</f>
        <v>2.5042148313015522</v>
      </c>
      <c r="CM134" s="21">
        <f>EXP(-LN(2)/2)*CM133+(1-EXP(-LN(2)/2))/(LN(2)/2)*CG134*CJ134*VLOOKUP('Données projet'!$B$12,Paramètres!$A$1:$I$89,3,0)*0.475*44/12</f>
        <v>3.2065433155034584E-17</v>
      </c>
      <c r="CN134" s="22">
        <f t="shared" si="120"/>
        <v>48.580457747749854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285.99999999999972</v>
      </c>
      <c r="CU134" s="17">
        <f>CT134*VLOOKUP('Données projet'!$B$13,Paramètres!$A$1:$I$89,3,0)*VLOOKUP('Données projet'!$B$13,Paramètres!$A$1:$I$89,5,0)</f>
        <v>223.07999999999979</v>
      </c>
      <c r="CV134" s="13">
        <f t="shared" si="149"/>
        <v>54.783765878062617</v>
      </c>
      <c r="CW134" s="20">
        <f t="shared" si="121"/>
        <v>483.94605890429199</v>
      </c>
      <c r="CX134" s="59">
        <f t="shared" si="122"/>
        <v>777.2793922376253</v>
      </c>
      <c r="CY134" s="59">
        <f ca="1">AVERAGE(OFFSET($CX$3,0,0,'Données projet'!$E$13+1,1))-AVERAGE(OFFSET($H$3,0,0,'Données projet'!$E$13+1,1))</f>
        <v>215.84581110302656</v>
      </c>
      <c r="CZ134" s="59">
        <f t="shared" si="150"/>
        <v>193.88588526156104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17.529291751205768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17.529291751205768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401</v>
      </c>
      <c r="O135" s="13">
        <f>N135*VLOOKUP('Données projet'!$B$9,Paramètres!$A$1:$I$89,3,0)*VLOOKUP('Données projet'!$B$9,Paramètres!$A$1:$I$89,5,0)</f>
        <v>250.22399999999999</v>
      </c>
      <c r="P135" s="13">
        <f t="shared" si="141"/>
        <v>60.633904580527918</v>
      </c>
      <c r="Q135" s="20">
        <f t="shared" si="108"/>
        <v>541.41085047775289</v>
      </c>
      <c r="R135" s="59">
        <f t="shared" si="109"/>
        <v>834.74418381108626</v>
      </c>
      <c r="S135" s="59">
        <f ca="1">AVERAGE(OFFSET($R$3,0,0,'Données projet'!$E$9+1,1))-AVERAGE(OFFSET($H$3,0,0,'Données projet'!$E$9+1,1))</f>
        <v>269.77739619445515</v>
      </c>
      <c r="T135" s="59">
        <f t="shared" si="142"/>
        <v>347.56964743629885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18.401122205294612</v>
      </c>
      <c r="AA135" s="21">
        <f>EXP(-LN(2)/25)*AA134+(1-EXP(-LN(2)/25))/(LN(2)/25)*Calculateur!V135*Calculateur!X135*VLOOKUP('Données projet'!$B$9,Paramètres!$A$1:$I$89,3,0)*0.475*44/12</f>
        <v>5.4245876395243613</v>
      </c>
      <c r="AB135" s="21">
        <f>EXP(-LN(2)/2)*AB134+(1-EXP(-LN(2)/2))/(LN(2)/2)*V135*Y135*VLOOKUP('Données projet'!$B$9,Paramètres!$A$1:$I$89,3,0)*0.475*44/12</f>
        <v>1.1030441461107034E-17</v>
      </c>
      <c r="AC135" s="22">
        <f t="shared" si="111"/>
        <v>23.825709844818974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735.00000000000011</v>
      </c>
      <c r="AJ135" s="13">
        <f>AI135*VLOOKUP('Données projet'!$B$10,Paramètres!$A$1:$I$89,3,0)*VLOOKUP('Données projet'!$B$10,Paramètres!$A$1:$I$89,5,0)</f>
        <v>343.98</v>
      </c>
      <c r="AK135" s="13">
        <f t="shared" si="143"/>
        <v>80.321681832084693</v>
      </c>
      <c r="AL135" s="20">
        <f t="shared" si="112"/>
        <v>738.9920958575475</v>
      </c>
      <c r="AM135" s="59">
        <f t="shared" si="113"/>
        <v>1032.3254291908809</v>
      </c>
      <c r="AN135" s="59">
        <f ca="1">AVERAGE(OFFSET($AM$3,0,0,'Données projet'!$E$10+1,1))-AVERAGE(OFFSET($H$3,0,0,'Données projet'!$E$10+1,1))</f>
        <v>342.49944586217674</v>
      </c>
      <c r="AO135" s="59">
        <f t="shared" si="144"/>
        <v>282.29766600872563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42.114257253819744</v>
      </c>
      <c r="AV135" s="21">
        <f>EXP(-LN(2)/25)*AV134+(1-EXP(-LN(2)/25))/(LN(2)/25)*Calculateur!AQ135*Calculateur!AS135*VLOOKUP('Données projet'!$B$10,Paramètres!$A$1:$I$89,3,0)*0.475*44/12</f>
        <v>2.3699062168041123</v>
      </c>
      <c r="AW135" s="21">
        <f>EXP(-LN(2)/2)*AW134+(1-EXP(-LN(2)/2))/(LN(2)/2)*AQ135*AT135*VLOOKUP('Données projet'!$B$10,Paramètres!$A$1:$I$89,3,0)*0.475*44/12</f>
        <v>3.6768138203690145E-17</v>
      </c>
      <c r="AX135" s="21">
        <f t="shared" si="114"/>
        <v>44.484163470623855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319</v>
      </c>
      <c r="BE135" s="13">
        <f>BD135*VLOOKUP('Données projet'!$B$11,Paramètres!$A$1:$I$89,3,0)*VLOOKUP('Données projet'!$B$11,Paramètres!$A$1:$I$89,5,0)</f>
        <v>253.79640000000001</v>
      </c>
      <c r="BF135" s="13">
        <f t="shared" si="145"/>
        <v>61.39816832228076</v>
      </c>
      <c r="BG135" s="20">
        <f t="shared" si="115"/>
        <v>548.96387316130563</v>
      </c>
      <c r="BH135" s="59">
        <f t="shared" si="116"/>
        <v>842.29720649463889</v>
      </c>
      <c r="BI135" s="59">
        <f ca="1">AVERAGE(OFFSET($BH$3,0,0,'Données projet'!$E$11+1,1))-AVERAGE(OFFSET($H$3,0,0,'Données projet'!$E$11+1,1))</f>
        <v>279.49721661620544</v>
      </c>
      <c r="BJ135" s="59">
        <f t="shared" si="146"/>
        <v>275.18739333988754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18.984873168366228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18.984873168366228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732.99999999999966</v>
      </c>
      <c r="BZ135" s="13">
        <f>BY135*VLOOKUP('Données projet'!$B$12,Paramètres!$A$1:$I$89,3,0)*VLOOKUP('Données projet'!$B$12,Paramètres!$A$1:$I$89,5,0)</f>
        <v>352.57299999999987</v>
      </c>
      <c r="CA135" s="13">
        <f t="shared" si="147"/>
        <v>82.092092597941644</v>
      </c>
      <c r="CB135" s="20">
        <f t="shared" si="118"/>
        <v>757.04170294141477</v>
      </c>
      <c r="CC135" s="59">
        <f t="shared" si="119"/>
        <v>1050.375036274748</v>
      </c>
      <c r="CD135" s="59">
        <f ca="1">AVERAGE(OFFSET($CC$3,0,0,'Données projet'!$E$12+1,1))-AVERAGE(OFFSET($H$3,0,0,'Données projet'!$E$12+1,1))</f>
        <v>349.65790906807746</v>
      </c>
      <c r="CE135" s="59">
        <f t="shared" si="148"/>
        <v>291.88925884278888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45.172715896589914</v>
      </c>
      <c r="CL135" s="21">
        <f>EXP(-LN(2)/25)*CL134+(1-EXP(-LN(2)/25))/(LN(2)/25)*Calculateur!CG135*Calculateur!CI135*VLOOKUP('Données projet'!$B$12,Paramètres!$A$1:$I$89,3,0)*0.475*44/12</f>
        <v>2.4357369450486765</v>
      </c>
      <c r="CM135" s="21">
        <f>EXP(-LN(2)/2)*CM134+(1-EXP(-LN(2)/2))/(LN(2)/2)*CG135*CJ135*VLOOKUP('Données projet'!$B$12,Paramètres!$A$1:$I$89,3,0)*0.475*44/12</f>
        <v>2.2673685225608906E-17</v>
      </c>
      <c r="CN135" s="22">
        <f t="shared" si="120"/>
        <v>47.608452841638588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285.99999999999972</v>
      </c>
      <c r="CU135" s="17">
        <f>CT135*VLOOKUP('Données projet'!$B$13,Paramètres!$A$1:$I$89,3,0)*VLOOKUP('Données projet'!$B$13,Paramètres!$A$1:$I$89,5,0)</f>
        <v>223.07999999999979</v>
      </c>
      <c r="CV135" s="13">
        <f t="shared" si="149"/>
        <v>54.783765878062617</v>
      </c>
      <c r="CW135" s="20">
        <f t="shared" si="121"/>
        <v>483.94605890429199</v>
      </c>
      <c r="CX135" s="59">
        <f t="shared" si="122"/>
        <v>777.2793922376253</v>
      </c>
      <c r="CY135" s="59">
        <f ca="1">AVERAGE(OFFSET($CX$3,0,0,'Données projet'!$E$13+1,1))-AVERAGE(OFFSET($H$3,0,0,'Données projet'!$E$13+1,1))</f>
        <v>215.84581110302656</v>
      </c>
      <c r="CZ135" s="59">
        <f t="shared" si="150"/>
        <v>193.88588526156104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17.185553031776863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17.185553031776863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401</v>
      </c>
      <c r="O136" s="13">
        <f>N136*VLOOKUP('Données projet'!$B$9,Paramètres!$A$1:$I$89,3,0)*VLOOKUP('Données projet'!$B$9,Paramètres!$A$1:$I$89,5,0)</f>
        <v>250.22399999999999</v>
      </c>
      <c r="P136" s="13">
        <f t="shared" si="141"/>
        <v>60.633904580527918</v>
      </c>
      <c r="Q136" s="20">
        <f t="shared" si="108"/>
        <v>541.41085047775289</v>
      </c>
      <c r="R136" s="59">
        <f t="shared" si="109"/>
        <v>834.74418381108626</v>
      </c>
      <c r="S136" s="59">
        <f ca="1">AVERAGE(OFFSET($R$3,0,0,'Données projet'!$E$9+1,1))-AVERAGE(OFFSET($H$3,0,0,'Données projet'!$E$9+1,1))</f>
        <v>269.77739619445515</v>
      </c>
      <c r="T136" s="59">
        <f t="shared" si="142"/>
        <v>347.56964743629885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18.040287422425095</v>
      </c>
      <c r="AA136" s="21">
        <f>EXP(-LN(2)/25)*AA135+(1-EXP(-LN(2)/25))/(LN(2)/25)*Calculateur!V136*Calculateur!X136*VLOOKUP('Données projet'!$B$9,Paramètres!$A$1:$I$89,3,0)*0.475*44/12</f>
        <v>5.2762520052549018</v>
      </c>
      <c r="AB136" s="21">
        <f>EXP(-LN(2)/2)*AB135+(1-EXP(-LN(2)/2))/(LN(2)/2)*V136*Y136*VLOOKUP('Données projet'!$B$9,Paramètres!$A$1:$I$89,3,0)*0.475*44/12</f>
        <v>7.7996999566300331E-18</v>
      </c>
      <c r="AC136" s="22">
        <f t="shared" si="111"/>
        <v>23.316539427679999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735.00000000000011</v>
      </c>
      <c r="AJ136" s="13">
        <f>AI136*VLOOKUP('Données projet'!$B$10,Paramètres!$A$1:$I$89,3,0)*VLOOKUP('Données projet'!$B$10,Paramètres!$A$1:$I$89,5,0)</f>
        <v>343.98</v>
      </c>
      <c r="AK136" s="13">
        <f t="shared" si="143"/>
        <v>80.321681832084693</v>
      </c>
      <c r="AL136" s="20">
        <f t="shared" si="112"/>
        <v>738.9920958575475</v>
      </c>
      <c r="AM136" s="59">
        <f t="shared" si="113"/>
        <v>1032.3254291908809</v>
      </c>
      <c r="AN136" s="59">
        <f ca="1">AVERAGE(OFFSET($AM$3,0,0,'Données projet'!$E$10+1,1))-AVERAGE(OFFSET($H$3,0,0,'Données projet'!$E$10+1,1))</f>
        <v>342.49944586217674</v>
      </c>
      <c r="AO136" s="59">
        <f t="shared" si="144"/>
        <v>282.29766600872563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41.288422356232864</v>
      </c>
      <c r="AV136" s="21">
        <f>EXP(-LN(2)/25)*AV135+(1-EXP(-LN(2)/25))/(LN(2)/25)*Calculateur!AQ136*Calculateur!AS136*VLOOKUP('Données projet'!$B$10,Paramètres!$A$1:$I$89,3,0)*0.475*44/12</f>
        <v>2.3051010066776523</v>
      </c>
      <c r="AW136" s="21">
        <f>EXP(-LN(2)/2)*AW135+(1-EXP(-LN(2)/2))/(LN(2)/2)*AQ136*AT136*VLOOKUP('Données projet'!$B$10,Paramètres!$A$1:$I$89,3,0)*0.475*44/12</f>
        <v>2.5998999855433466E-17</v>
      </c>
      <c r="AX136" s="21">
        <f t="shared" si="114"/>
        <v>43.593523362910517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319</v>
      </c>
      <c r="BE136" s="13">
        <f>BD136*VLOOKUP('Données projet'!$B$11,Paramètres!$A$1:$I$89,3,0)*VLOOKUP('Données projet'!$B$11,Paramètres!$A$1:$I$89,5,0)</f>
        <v>253.79640000000001</v>
      </c>
      <c r="BF136" s="13">
        <f t="shared" si="145"/>
        <v>61.39816832228076</v>
      </c>
      <c r="BG136" s="20">
        <f t="shared" si="115"/>
        <v>548.96387316130563</v>
      </c>
      <c r="BH136" s="59">
        <f t="shared" si="116"/>
        <v>842.29720649463889</v>
      </c>
      <c r="BI136" s="59">
        <f ca="1">AVERAGE(OFFSET($BH$3,0,0,'Données projet'!$E$11+1,1))-AVERAGE(OFFSET($H$3,0,0,'Données projet'!$E$11+1,1))</f>
        <v>279.49721661620544</v>
      </c>
      <c r="BJ136" s="59">
        <f t="shared" si="146"/>
        <v>275.18739333988754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18.612591385163807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18.612591385163807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732.99999999999966</v>
      </c>
      <c r="BZ136" s="13">
        <f>BY136*VLOOKUP('Données projet'!$B$12,Paramètres!$A$1:$I$89,3,0)*VLOOKUP('Données projet'!$B$12,Paramètres!$A$1:$I$89,5,0)</f>
        <v>352.57299999999987</v>
      </c>
      <c r="CA136" s="13">
        <f t="shared" si="147"/>
        <v>82.092092597941644</v>
      </c>
      <c r="CB136" s="20">
        <f t="shared" si="118"/>
        <v>757.04170294141477</v>
      </c>
      <c r="CC136" s="59">
        <f t="shared" si="119"/>
        <v>1050.375036274748</v>
      </c>
      <c r="CD136" s="59">
        <f ca="1">AVERAGE(OFFSET($CC$3,0,0,'Données projet'!$E$12+1,1))-AVERAGE(OFFSET($H$3,0,0,'Données projet'!$E$12+1,1))</f>
        <v>349.65790906807746</v>
      </c>
      <c r="CE136" s="59">
        <f t="shared" si="148"/>
        <v>291.88925884278888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44.286906490493884</v>
      </c>
      <c r="CL136" s="21">
        <f>EXP(-LN(2)/25)*CL135+(1-EXP(-LN(2)/25))/(LN(2)/25)*Calculateur!CG136*Calculateur!CI136*VLOOKUP('Données projet'!$B$12,Paramètres!$A$1:$I$89,3,0)*0.475*44/12</f>
        <v>2.3691315901964813</v>
      </c>
      <c r="CM136" s="21">
        <f>EXP(-LN(2)/2)*CM135+(1-EXP(-LN(2)/2))/(LN(2)/2)*CG136*CJ136*VLOOKUP('Données projet'!$B$12,Paramètres!$A$1:$I$89,3,0)*0.475*44/12</f>
        <v>1.6032716577517292E-17</v>
      </c>
      <c r="CN136" s="22">
        <f t="shared" si="120"/>
        <v>46.656038080690365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285.99999999999972</v>
      </c>
      <c r="CU136" s="17">
        <f>CT136*VLOOKUP('Données projet'!$B$13,Paramètres!$A$1:$I$89,3,0)*VLOOKUP('Données projet'!$B$13,Paramètres!$A$1:$I$89,5,0)</f>
        <v>223.07999999999979</v>
      </c>
      <c r="CV136" s="13">
        <f t="shared" si="149"/>
        <v>54.783765878062617</v>
      </c>
      <c r="CW136" s="20">
        <f t="shared" si="121"/>
        <v>483.94605890429199</v>
      </c>
      <c r="CX136" s="59">
        <f t="shared" si="122"/>
        <v>777.2793922376253</v>
      </c>
      <c r="CY136" s="59">
        <f ca="1">AVERAGE(OFFSET($CX$3,0,0,'Données projet'!$E$13+1,1))-AVERAGE(OFFSET($H$3,0,0,'Données projet'!$E$13+1,1))</f>
        <v>215.84581110302656</v>
      </c>
      <c r="CZ136" s="59">
        <f t="shared" si="150"/>
        <v>193.88588526156104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16.848554818976041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16.848554818976041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401</v>
      </c>
      <c r="O137" s="13">
        <f>N137*VLOOKUP('Données projet'!$B$9,Paramètres!$A$1:$I$89,3,0)*VLOOKUP('Données projet'!$B$9,Paramètres!$A$1:$I$89,5,0)</f>
        <v>250.22399999999999</v>
      </c>
      <c r="P137" s="13">
        <f t="shared" si="141"/>
        <v>60.633904580527918</v>
      </c>
      <c r="Q137" s="20">
        <f t="shared" si="108"/>
        <v>541.41085047775289</v>
      </c>
      <c r="R137" s="59">
        <f t="shared" si="109"/>
        <v>834.74418381108626</v>
      </c>
      <c r="S137" s="59">
        <f ca="1">AVERAGE(OFFSET($R$3,0,0,'Données projet'!$E$9+1,1))-AVERAGE(OFFSET($H$3,0,0,'Données projet'!$E$9+1,1))</f>
        <v>269.77739619445515</v>
      </c>
      <c r="T137" s="59">
        <f t="shared" si="142"/>
        <v>347.56964743629885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17.686528389560163</v>
      </c>
      <c r="AA137" s="21">
        <f>EXP(-LN(2)/25)*AA136+(1-EXP(-LN(2)/25))/(LN(2)/25)*Calculateur!V137*Calculateur!X137*VLOOKUP('Données projet'!$B$9,Paramètres!$A$1:$I$89,3,0)*0.475*44/12</f>
        <v>5.1319726167051725</v>
      </c>
      <c r="AB137" s="21">
        <f>EXP(-LN(2)/2)*AB136+(1-EXP(-LN(2)/2))/(LN(2)/2)*V137*Y137*VLOOKUP('Données projet'!$B$9,Paramètres!$A$1:$I$89,3,0)*0.475*44/12</f>
        <v>5.5152207305535171E-18</v>
      </c>
      <c r="AC137" s="22">
        <f t="shared" si="111"/>
        <v>22.818501006265336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735.00000000000011</v>
      </c>
      <c r="AJ137" s="13">
        <f>AI137*VLOOKUP('Données projet'!$B$10,Paramètres!$A$1:$I$89,3,0)*VLOOKUP('Données projet'!$B$10,Paramètres!$A$1:$I$89,5,0)</f>
        <v>343.98</v>
      </c>
      <c r="AK137" s="13">
        <f t="shared" si="143"/>
        <v>80.321681832084693</v>
      </c>
      <c r="AL137" s="20">
        <f t="shared" si="112"/>
        <v>738.9920958575475</v>
      </c>
      <c r="AM137" s="59">
        <f t="shared" si="113"/>
        <v>1032.3254291908809</v>
      </c>
      <c r="AN137" s="59">
        <f ca="1">AVERAGE(OFFSET($AM$3,0,0,'Données projet'!$E$10+1,1))-AVERAGE(OFFSET($H$3,0,0,'Données projet'!$E$10+1,1))</f>
        <v>342.49944586217674</v>
      </c>
      <c r="AO137" s="59">
        <f t="shared" si="144"/>
        <v>282.29766600872563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40.478781577278113</v>
      </c>
      <c r="AV137" s="21">
        <f>EXP(-LN(2)/25)*AV136+(1-EXP(-LN(2)/25))/(LN(2)/25)*Calculateur!AQ137*Calculateur!AS137*VLOOKUP('Données projet'!$B$10,Paramètres!$A$1:$I$89,3,0)*0.475*44/12</f>
        <v>2.2420678984300584</v>
      </c>
      <c r="AW137" s="21">
        <f>EXP(-LN(2)/2)*AW136+(1-EXP(-LN(2)/2))/(LN(2)/2)*AQ137*AT137*VLOOKUP('Données projet'!$B$10,Paramètres!$A$1:$I$89,3,0)*0.475*44/12</f>
        <v>1.8384069101845072E-17</v>
      </c>
      <c r="AX137" s="21">
        <f t="shared" si="114"/>
        <v>42.720849475708171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319</v>
      </c>
      <c r="BE137" s="13">
        <f>BD137*VLOOKUP('Données projet'!$B$11,Paramètres!$A$1:$I$89,3,0)*VLOOKUP('Données projet'!$B$11,Paramètres!$A$1:$I$89,5,0)</f>
        <v>253.79640000000001</v>
      </c>
      <c r="BF137" s="13">
        <f t="shared" si="145"/>
        <v>61.39816832228076</v>
      </c>
      <c r="BG137" s="20">
        <f t="shared" si="115"/>
        <v>548.96387316130563</v>
      </c>
      <c r="BH137" s="59">
        <f t="shared" si="116"/>
        <v>842.29720649463889</v>
      </c>
      <c r="BI137" s="59">
        <f ca="1">AVERAGE(OFFSET($BH$3,0,0,'Données projet'!$E$11+1,1))-AVERAGE(OFFSET($H$3,0,0,'Données projet'!$E$11+1,1))</f>
        <v>279.49721661620544</v>
      </c>
      <c r="BJ137" s="59">
        <f t="shared" si="146"/>
        <v>275.18739333988754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18.247609820660518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18.247609820660518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732.99999999999966</v>
      </c>
      <c r="BZ137" s="13">
        <f>BY137*VLOOKUP('Données projet'!$B$12,Paramètres!$A$1:$I$89,3,0)*VLOOKUP('Données projet'!$B$12,Paramètres!$A$1:$I$89,5,0)</f>
        <v>352.57299999999987</v>
      </c>
      <c r="CA137" s="13">
        <f t="shared" si="147"/>
        <v>82.092092597941644</v>
      </c>
      <c r="CB137" s="20">
        <f t="shared" si="118"/>
        <v>757.04170294141477</v>
      </c>
      <c r="CC137" s="59">
        <f t="shared" si="119"/>
        <v>1050.375036274748</v>
      </c>
      <c r="CD137" s="59">
        <f ca="1">AVERAGE(OFFSET($CC$3,0,0,'Données projet'!$E$12+1,1))-AVERAGE(OFFSET($H$3,0,0,'Données projet'!$E$12+1,1))</f>
        <v>349.65790906807746</v>
      </c>
      <c r="CE137" s="59">
        <f t="shared" si="148"/>
        <v>291.88925884278888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43.418467266561009</v>
      </c>
      <c r="CL137" s="21">
        <f>EXP(-LN(2)/25)*CL136+(1-EXP(-LN(2)/25))/(LN(2)/25)*Calculateur!CG137*Calculateur!CI137*VLOOKUP('Données projet'!$B$12,Paramètres!$A$1:$I$89,3,0)*0.475*44/12</f>
        <v>2.3043475622753431</v>
      </c>
      <c r="CM137" s="21">
        <f>EXP(-LN(2)/2)*CM136+(1-EXP(-LN(2)/2))/(LN(2)/2)*CG137*CJ137*VLOOKUP('Données projet'!$B$12,Paramètres!$A$1:$I$89,3,0)*0.475*44/12</f>
        <v>1.1336842612804453E-17</v>
      </c>
      <c r="CN137" s="22">
        <f t="shared" si="120"/>
        <v>45.722814828836356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285.99999999999972</v>
      </c>
      <c r="CU137" s="17">
        <f>CT137*VLOOKUP('Données projet'!$B$13,Paramètres!$A$1:$I$89,3,0)*VLOOKUP('Données projet'!$B$13,Paramètres!$A$1:$I$89,5,0)</f>
        <v>223.07999999999979</v>
      </c>
      <c r="CV137" s="13">
        <f t="shared" si="149"/>
        <v>54.783765878062617</v>
      </c>
      <c r="CW137" s="20">
        <f t="shared" si="121"/>
        <v>483.94605890429199</v>
      </c>
      <c r="CX137" s="59">
        <f t="shared" si="122"/>
        <v>777.2793922376253</v>
      </c>
      <c r="CY137" s="59">
        <f ca="1">AVERAGE(OFFSET($CX$3,0,0,'Données projet'!$E$13+1,1))-AVERAGE(OFFSET($H$3,0,0,'Données projet'!$E$13+1,1))</f>
        <v>215.84581110302656</v>
      </c>
      <c r="CZ137" s="59">
        <f t="shared" si="150"/>
        <v>193.88588526156104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16.51816493557963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16.51816493557963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401</v>
      </c>
      <c r="O138" s="13">
        <f>N138*VLOOKUP('Données projet'!$B$9,Paramètres!$A$1:$I$89,3,0)*VLOOKUP('Données projet'!$B$9,Paramètres!$A$1:$I$89,5,0)</f>
        <v>250.22399999999999</v>
      </c>
      <c r="P138" s="13">
        <f t="shared" si="141"/>
        <v>60.633904580527918</v>
      </c>
      <c r="Q138" s="20">
        <f t="shared" si="108"/>
        <v>541.41085047775289</v>
      </c>
      <c r="R138" s="59">
        <f t="shared" si="109"/>
        <v>834.74418381108626</v>
      </c>
      <c r="S138" s="59">
        <f ca="1">AVERAGE(OFFSET($R$3,0,0,'Données projet'!$E$9+1,1))-AVERAGE(OFFSET($H$3,0,0,'Données projet'!$E$9+1,1))</f>
        <v>269.77739619445515</v>
      </c>
      <c r="T138" s="59">
        <f t="shared" si="142"/>
        <v>347.56964743629885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17.339706355558008</v>
      </c>
      <c r="AA138" s="21">
        <f>EXP(-LN(2)/25)*AA137+(1-EXP(-LN(2)/25))/(LN(2)/25)*Calculateur!V138*Calculateur!X138*VLOOKUP('Données projet'!$B$9,Paramètres!$A$1:$I$89,3,0)*0.475*44/12</f>
        <v>4.991638555622659</v>
      </c>
      <c r="AB138" s="21">
        <f>EXP(-LN(2)/2)*AB137+(1-EXP(-LN(2)/2))/(LN(2)/2)*V138*Y138*VLOOKUP('Données projet'!$B$9,Paramètres!$A$1:$I$89,3,0)*0.475*44/12</f>
        <v>3.8998499783150165E-18</v>
      </c>
      <c r="AC138" s="22">
        <f t="shared" si="111"/>
        <v>22.331344911180665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735.00000000000011</v>
      </c>
      <c r="AJ138" s="13">
        <f>AI138*VLOOKUP('Données projet'!$B$10,Paramètres!$A$1:$I$89,3,0)*VLOOKUP('Données projet'!$B$10,Paramètres!$A$1:$I$89,5,0)</f>
        <v>343.98</v>
      </c>
      <c r="AK138" s="13">
        <f t="shared" si="143"/>
        <v>80.321681832084693</v>
      </c>
      <c r="AL138" s="20">
        <f t="shared" si="112"/>
        <v>738.9920958575475</v>
      </c>
      <c r="AM138" s="59">
        <f t="shared" si="113"/>
        <v>1032.3254291908809</v>
      </c>
      <c r="AN138" s="59">
        <f ca="1">AVERAGE(OFFSET($AM$3,0,0,'Données projet'!$E$10+1,1))-AVERAGE(OFFSET($H$3,0,0,'Données projet'!$E$10+1,1))</f>
        <v>342.49944586217674</v>
      </c>
      <c r="AO138" s="59">
        <f t="shared" si="144"/>
        <v>282.29766600872563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39.685017360166555</v>
      </c>
      <c r="AV138" s="21">
        <f>EXP(-LN(2)/25)*AV137+(1-EXP(-LN(2)/25))/(LN(2)/25)*Calculateur!AQ138*Calculateur!AS138*VLOOKUP('Données projet'!$B$10,Paramètres!$A$1:$I$89,3,0)*0.475*44/12</f>
        <v>2.1807584338422621</v>
      </c>
      <c r="AW138" s="21">
        <f>EXP(-LN(2)/2)*AW137+(1-EXP(-LN(2)/2))/(LN(2)/2)*AQ138*AT138*VLOOKUP('Données projet'!$B$10,Paramètres!$A$1:$I$89,3,0)*0.475*44/12</f>
        <v>1.2999499927716733E-17</v>
      </c>
      <c r="AX138" s="21">
        <f t="shared" si="114"/>
        <v>41.865775794008819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319</v>
      </c>
      <c r="BE138" s="13">
        <f>BD138*VLOOKUP('Données projet'!$B$11,Paramètres!$A$1:$I$89,3,0)*VLOOKUP('Données projet'!$B$11,Paramètres!$A$1:$I$89,5,0)</f>
        <v>253.79640000000001</v>
      </c>
      <c r="BF138" s="13">
        <f t="shared" si="145"/>
        <v>61.39816832228076</v>
      </c>
      <c r="BG138" s="20">
        <f t="shared" si="115"/>
        <v>548.96387316130563</v>
      </c>
      <c r="BH138" s="59">
        <f t="shared" si="116"/>
        <v>842.29720649463889</v>
      </c>
      <c r="BI138" s="59">
        <f ca="1">AVERAGE(OFFSET($BH$3,0,0,'Données projet'!$E$11+1,1))-AVERAGE(OFFSET($H$3,0,0,'Données projet'!$E$11+1,1))</f>
        <v>279.49721661620544</v>
      </c>
      <c r="BJ138" s="59">
        <f t="shared" si="146"/>
        <v>275.18739333988754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17.889785322020366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17.889785322020366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732.99999999999966</v>
      </c>
      <c r="BZ138" s="13">
        <f>BY138*VLOOKUP('Données projet'!$B$12,Paramètres!$A$1:$I$89,3,0)*VLOOKUP('Données projet'!$B$12,Paramètres!$A$1:$I$89,5,0)</f>
        <v>352.57299999999987</v>
      </c>
      <c r="CA138" s="13">
        <f t="shared" si="147"/>
        <v>82.092092597941644</v>
      </c>
      <c r="CB138" s="20">
        <f t="shared" si="118"/>
        <v>757.04170294141477</v>
      </c>
      <c r="CC138" s="59">
        <f t="shared" si="119"/>
        <v>1050.375036274748</v>
      </c>
      <c r="CD138" s="59">
        <f ca="1">AVERAGE(OFFSET($CC$3,0,0,'Données projet'!$E$12+1,1))-AVERAGE(OFFSET($H$3,0,0,'Données projet'!$E$12+1,1))</f>
        <v>349.65790906807746</v>
      </c>
      <c r="CE138" s="59">
        <f t="shared" si="148"/>
        <v>291.88925884278888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42.567057606113835</v>
      </c>
      <c r="CL138" s="21">
        <f>EXP(-LN(2)/25)*CL137+(1-EXP(-LN(2)/25))/(LN(2)/25)*Calculateur!CG138*Calculateur!CI138*VLOOKUP('Données projet'!$B$12,Paramètres!$A$1:$I$89,3,0)*0.475*44/12</f>
        <v>2.241335057004552</v>
      </c>
      <c r="CM138" s="21">
        <f>EXP(-LN(2)/2)*CM137+(1-EXP(-LN(2)/2))/(LN(2)/2)*CG138*CJ138*VLOOKUP('Données projet'!$B$12,Paramètres!$A$1:$I$89,3,0)*0.475*44/12</f>
        <v>8.016358288758646E-18</v>
      </c>
      <c r="CN138" s="22">
        <f t="shared" si="120"/>
        <v>44.80839266311839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285.99999999999972</v>
      </c>
      <c r="CU138" s="17">
        <f>CT138*VLOOKUP('Données projet'!$B$13,Paramètres!$A$1:$I$89,3,0)*VLOOKUP('Données projet'!$B$13,Paramètres!$A$1:$I$89,5,0)</f>
        <v>223.07999999999979</v>
      </c>
      <c r="CV138" s="13">
        <f t="shared" si="149"/>
        <v>54.783765878062617</v>
      </c>
      <c r="CW138" s="20">
        <f t="shared" si="121"/>
        <v>483.94605890429199</v>
      </c>
      <c r="CX138" s="59">
        <f t="shared" si="122"/>
        <v>777.2793922376253</v>
      </c>
      <c r="CY138" s="59">
        <f ca="1">AVERAGE(OFFSET($CX$3,0,0,'Données projet'!$E$13+1,1))-AVERAGE(OFFSET($H$3,0,0,'Données projet'!$E$13+1,1))</f>
        <v>215.84581110302656</v>
      </c>
      <c r="CZ138" s="59">
        <f t="shared" si="150"/>
        <v>193.88588526156104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16.194253796278691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16.194253796278691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401</v>
      </c>
      <c r="O139" s="13">
        <f>N139*VLOOKUP('Données projet'!$B$9,Paramètres!$A$1:$I$89,3,0)*VLOOKUP('Données projet'!$B$9,Paramètres!$A$1:$I$89,5,0)</f>
        <v>250.22399999999999</v>
      </c>
      <c r="P139" s="13">
        <f t="shared" si="141"/>
        <v>60.633904580527918</v>
      </c>
      <c r="Q139" s="20">
        <f t="shared" si="108"/>
        <v>541.41085047775289</v>
      </c>
      <c r="R139" s="59">
        <f t="shared" si="109"/>
        <v>834.74418381108626</v>
      </c>
      <c r="S139" s="59">
        <f ca="1">AVERAGE(OFFSET($R$3,0,0,'Données projet'!$E$9+1,1))-AVERAGE(OFFSET($H$3,0,0,'Données projet'!$E$9+1,1))</f>
        <v>269.77739619445515</v>
      </c>
      <c r="T139" s="59">
        <f t="shared" si="142"/>
        <v>347.56964743629885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16.999685290102082</v>
      </c>
      <c r="AA139" s="21">
        <f>EXP(-LN(2)/25)*AA138+(1-EXP(-LN(2)/25))/(LN(2)/25)*Calculateur!V139*Calculateur!X139*VLOOKUP('Données projet'!$B$9,Paramètres!$A$1:$I$89,3,0)*0.475*44/12</f>
        <v>4.8551419368202939</v>
      </c>
      <c r="AB139" s="21">
        <f>EXP(-LN(2)/2)*AB138+(1-EXP(-LN(2)/2))/(LN(2)/2)*V139*Y139*VLOOKUP('Données projet'!$B$9,Paramètres!$A$1:$I$89,3,0)*0.475*44/12</f>
        <v>2.7576103652767586E-18</v>
      </c>
      <c r="AC139" s="22">
        <f t="shared" si="111"/>
        <v>21.854827226922374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735.00000000000011</v>
      </c>
      <c r="AJ139" s="13">
        <f>AI139*VLOOKUP('Données projet'!$B$10,Paramètres!$A$1:$I$89,3,0)*VLOOKUP('Données projet'!$B$10,Paramètres!$A$1:$I$89,5,0)</f>
        <v>343.98</v>
      </c>
      <c r="AK139" s="13">
        <f t="shared" si="143"/>
        <v>80.321681832084693</v>
      </c>
      <c r="AL139" s="20">
        <f t="shared" si="112"/>
        <v>738.9920958575475</v>
      </c>
      <c r="AM139" s="59">
        <f t="shared" si="113"/>
        <v>1032.3254291908809</v>
      </c>
      <c r="AN139" s="59">
        <f ca="1">AVERAGE(OFFSET($AM$3,0,0,'Données projet'!$E$10+1,1))-AVERAGE(OFFSET($H$3,0,0,'Données projet'!$E$10+1,1))</f>
        <v>342.49944586217674</v>
      </c>
      <c r="AO139" s="59">
        <f t="shared" si="144"/>
        <v>282.29766600872563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38.906818375204189</v>
      </c>
      <c r="AV139" s="21">
        <f>EXP(-LN(2)/25)*AV138+(1-EXP(-LN(2)/25))/(LN(2)/25)*Calculateur!AQ139*Calculateur!AS139*VLOOKUP('Données projet'!$B$10,Paramètres!$A$1:$I$89,3,0)*0.475*44/12</f>
        <v>2.1211254797877435</v>
      </c>
      <c r="AW139" s="21">
        <f>EXP(-LN(2)/2)*AW138+(1-EXP(-LN(2)/2))/(LN(2)/2)*AQ139*AT139*VLOOKUP('Données projet'!$B$10,Paramètres!$A$1:$I$89,3,0)*0.475*44/12</f>
        <v>9.1920345509225362E-18</v>
      </c>
      <c r="AX139" s="21">
        <f t="shared" si="114"/>
        <v>41.027943854991932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319</v>
      </c>
      <c r="BE139" s="13">
        <f>BD139*VLOOKUP('Données projet'!$B$11,Paramètres!$A$1:$I$89,3,0)*VLOOKUP('Données projet'!$B$11,Paramètres!$A$1:$I$89,5,0)</f>
        <v>253.79640000000001</v>
      </c>
      <c r="BF139" s="13">
        <f t="shared" si="145"/>
        <v>61.39816832228076</v>
      </c>
      <c r="BG139" s="20">
        <f t="shared" si="115"/>
        <v>548.96387316130563</v>
      </c>
      <c r="BH139" s="59">
        <f t="shared" si="116"/>
        <v>842.29720649463889</v>
      </c>
      <c r="BI139" s="59">
        <f ca="1">AVERAGE(OFFSET($BH$3,0,0,'Données projet'!$E$11+1,1))-AVERAGE(OFFSET($H$3,0,0,'Données projet'!$E$11+1,1))</f>
        <v>279.49721661620544</v>
      </c>
      <c r="BJ139" s="59">
        <f t="shared" si="146"/>
        <v>275.18739333988754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17.538977543547151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17.538977543547151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732.99999999999966</v>
      </c>
      <c r="BZ139" s="13">
        <f>BY139*VLOOKUP('Données projet'!$B$12,Paramètres!$A$1:$I$89,3,0)*VLOOKUP('Données projet'!$B$12,Paramètres!$A$1:$I$89,5,0)</f>
        <v>352.57299999999987</v>
      </c>
      <c r="CA139" s="13">
        <f t="shared" si="147"/>
        <v>82.092092597941644</v>
      </c>
      <c r="CB139" s="20">
        <f t="shared" si="118"/>
        <v>757.04170294141477</v>
      </c>
      <c r="CC139" s="59">
        <f t="shared" si="119"/>
        <v>1050.375036274748</v>
      </c>
      <c r="CD139" s="59">
        <f ca="1">AVERAGE(OFFSET($CC$3,0,0,'Données projet'!$E$12+1,1))-AVERAGE(OFFSET($H$3,0,0,'Données projet'!$E$12+1,1))</f>
        <v>349.65790906807746</v>
      </c>
      <c r="CE139" s="59">
        <f t="shared" si="148"/>
        <v>291.88925884278888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41.732343569799419</v>
      </c>
      <c r="CL139" s="21">
        <f>EXP(-LN(2)/25)*CL138+(1-EXP(-LN(2)/25))/(LN(2)/25)*Calculateur!CG139*Calculateur!CI139*VLOOKUP('Données projet'!$B$12,Paramètres!$A$1:$I$89,3,0)*0.475*44/12</f>
        <v>2.1800456320040746</v>
      </c>
      <c r="CM139" s="21">
        <f>EXP(-LN(2)/2)*CM138+(1-EXP(-LN(2)/2))/(LN(2)/2)*CG139*CJ139*VLOOKUP('Données projet'!$B$12,Paramètres!$A$1:$I$89,3,0)*0.475*44/12</f>
        <v>5.6684213064022264E-18</v>
      </c>
      <c r="CN139" s="22">
        <f t="shared" si="120"/>
        <v>43.912389201803492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285.99999999999972</v>
      </c>
      <c r="CU139" s="17">
        <f>CT139*VLOOKUP('Données projet'!$B$13,Paramètres!$A$1:$I$89,3,0)*VLOOKUP('Données projet'!$B$13,Paramètres!$A$1:$I$89,5,0)</f>
        <v>223.07999999999979</v>
      </c>
      <c r="CV139" s="13">
        <f t="shared" si="149"/>
        <v>54.783765878062617</v>
      </c>
      <c r="CW139" s="20">
        <f t="shared" si="121"/>
        <v>483.94605890429199</v>
      </c>
      <c r="CX139" s="59">
        <f t="shared" si="122"/>
        <v>777.2793922376253</v>
      </c>
      <c r="CY139" s="59">
        <f ca="1">AVERAGE(OFFSET($CX$3,0,0,'Données projet'!$E$13+1,1))-AVERAGE(OFFSET($H$3,0,0,'Données projet'!$E$13+1,1))</f>
        <v>215.84581110302656</v>
      </c>
      <c r="CZ139" s="59">
        <f t="shared" si="150"/>
        <v>193.88588526156104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15.876694356853157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15.876694356853157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401</v>
      </c>
      <c r="O140" s="13">
        <f>N140*VLOOKUP('Données projet'!$B$9,Paramètres!$A$1:$I$89,3,0)*VLOOKUP('Données projet'!$B$9,Paramètres!$A$1:$I$89,5,0)</f>
        <v>250.22399999999999</v>
      </c>
      <c r="P140" s="13">
        <f t="shared" si="141"/>
        <v>60.633904580527918</v>
      </c>
      <c r="Q140" s="20">
        <f t="shared" si="108"/>
        <v>541.41085047775289</v>
      </c>
      <c r="R140" s="59">
        <f t="shared" si="109"/>
        <v>834.74418381108626</v>
      </c>
      <c r="S140" s="59">
        <f ca="1">AVERAGE(OFFSET($R$3,0,0,'Données projet'!$E$9+1,1))-AVERAGE(OFFSET($H$3,0,0,'Données projet'!$E$9+1,1))</f>
        <v>269.77739619445515</v>
      </c>
      <c r="T140" s="59">
        <f t="shared" si="142"/>
        <v>347.56964743629885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16.666331830347374</v>
      </c>
      <c r="AA140" s="21">
        <f>EXP(-LN(2)/25)*AA139+(1-EXP(-LN(2)/25))/(LN(2)/25)*Calculateur!V140*Calculateur!X140*VLOOKUP('Données projet'!$B$9,Paramètres!$A$1:$I$89,3,0)*0.475*44/12</f>
        <v>4.7223778252371247</v>
      </c>
      <c r="AB140" s="21">
        <f>EXP(-LN(2)/2)*AB139+(1-EXP(-LN(2)/2))/(LN(2)/2)*V140*Y140*VLOOKUP('Données projet'!$B$9,Paramètres!$A$1:$I$89,3,0)*0.475*44/12</f>
        <v>1.9499249891575083E-18</v>
      </c>
      <c r="AC140" s="22">
        <f t="shared" si="111"/>
        <v>21.388709655584499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735.00000000000011</v>
      </c>
      <c r="AJ140" s="13">
        <f>AI140*VLOOKUP('Données projet'!$B$10,Paramètres!$A$1:$I$89,3,0)*VLOOKUP('Données projet'!$B$10,Paramètres!$A$1:$I$89,5,0)</f>
        <v>343.98</v>
      </c>
      <c r="AK140" s="13">
        <f t="shared" si="143"/>
        <v>80.321681832084693</v>
      </c>
      <c r="AL140" s="20">
        <f t="shared" si="112"/>
        <v>738.9920958575475</v>
      </c>
      <c r="AM140" s="59">
        <f t="shared" si="113"/>
        <v>1032.3254291908809</v>
      </c>
      <c r="AN140" s="59">
        <f ca="1">AVERAGE(OFFSET($AM$3,0,0,'Données projet'!$E$10+1,1))-AVERAGE(OFFSET($H$3,0,0,'Données projet'!$E$10+1,1))</f>
        <v>342.49944586217674</v>
      </c>
      <c r="AO140" s="59">
        <f t="shared" si="144"/>
        <v>282.29766600872563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38.143879397682419</v>
      </c>
      <c r="AV140" s="21">
        <f>EXP(-LN(2)/25)*AV139+(1-EXP(-LN(2)/25))/(LN(2)/25)*Calculateur!AQ140*Calculateur!AS140*VLOOKUP('Données projet'!$B$10,Paramètres!$A$1:$I$89,3,0)*0.475*44/12</f>
        <v>2.0631231919978066</v>
      </c>
      <c r="AW140" s="21">
        <f>EXP(-LN(2)/2)*AW139+(1-EXP(-LN(2)/2))/(LN(2)/2)*AQ140*AT140*VLOOKUP('Données projet'!$B$10,Paramètres!$A$1:$I$89,3,0)*0.475*44/12</f>
        <v>6.4997499638583665E-18</v>
      </c>
      <c r="AX140" s="21">
        <f t="shared" si="114"/>
        <v>40.207002589680222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319</v>
      </c>
      <c r="BE140" s="13">
        <f>BD140*VLOOKUP('Données projet'!$B$11,Paramètres!$A$1:$I$89,3,0)*VLOOKUP('Données projet'!$B$11,Paramètres!$A$1:$I$89,5,0)</f>
        <v>253.79640000000001</v>
      </c>
      <c r="BF140" s="13">
        <f t="shared" si="145"/>
        <v>61.39816832228076</v>
      </c>
      <c r="BG140" s="20">
        <f t="shared" si="115"/>
        <v>548.96387316130563</v>
      </c>
      <c r="BH140" s="59">
        <f t="shared" si="116"/>
        <v>842.29720649463889</v>
      </c>
      <c r="BI140" s="59">
        <f ca="1">AVERAGE(OFFSET($BH$3,0,0,'Données projet'!$E$11+1,1))-AVERAGE(OFFSET($H$3,0,0,'Données projet'!$E$11+1,1))</f>
        <v>279.49721661620544</v>
      </c>
      <c r="BJ140" s="59">
        <f t="shared" si="146"/>
        <v>275.18739333988754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17.19504889163818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17.19504889163818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732.99999999999966</v>
      </c>
      <c r="BZ140" s="13">
        <f>BY140*VLOOKUP('Données projet'!$B$12,Paramètres!$A$1:$I$89,3,0)*VLOOKUP('Données projet'!$B$12,Paramètres!$A$1:$I$89,5,0)</f>
        <v>352.57299999999987</v>
      </c>
      <c r="CA140" s="13">
        <f t="shared" si="147"/>
        <v>82.092092597941644</v>
      </c>
      <c r="CB140" s="20">
        <f t="shared" si="118"/>
        <v>757.04170294141477</v>
      </c>
      <c r="CC140" s="59">
        <f t="shared" si="119"/>
        <v>1050.375036274748</v>
      </c>
      <c r="CD140" s="59">
        <f ca="1">AVERAGE(OFFSET($CC$3,0,0,'Données projet'!$E$12+1,1))-AVERAGE(OFFSET($H$3,0,0,'Données projet'!$E$12+1,1))</f>
        <v>349.65790906807746</v>
      </c>
      <c r="CE140" s="59">
        <f t="shared" si="148"/>
        <v>291.88925884278888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40.913997766611836</v>
      </c>
      <c r="CL140" s="21">
        <f>EXP(-LN(2)/25)*CL139+(1-EXP(-LN(2)/25))/(LN(2)/25)*Calculateur!CG140*Calculateur!CI140*VLOOKUP('Données projet'!$B$12,Paramètres!$A$1:$I$89,3,0)*0.475*44/12</f>
        <v>2.1204321695533062</v>
      </c>
      <c r="CM140" s="21">
        <f>EXP(-LN(2)/2)*CM139+(1-EXP(-LN(2)/2))/(LN(2)/2)*CG140*CJ140*VLOOKUP('Données projet'!$B$12,Paramètres!$A$1:$I$89,3,0)*0.475*44/12</f>
        <v>4.008179144379323E-18</v>
      </c>
      <c r="CN140" s="22">
        <f t="shared" si="120"/>
        <v>43.034429936165139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285.99999999999972</v>
      </c>
      <c r="CU140" s="17">
        <f>CT140*VLOOKUP('Données projet'!$B$13,Paramètres!$A$1:$I$89,3,0)*VLOOKUP('Données projet'!$B$13,Paramètres!$A$1:$I$89,5,0)</f>
        <v>223.07999999999979</v>
      </c>
      <c r="CV140" s="13">
        <f t="shared" si="149"/>
        <v>54.783765878062617</v>
      </c>
      <c r="CW140" s="20">
        <f t="shared" si="121"/>
        <v>483.94605890429199</v>
      </c>
      <c r="CX140" s="59">
        <f t="shared" si="122"/>
        <v>777.2793922376253</v>
      </c>
      <c r="CY140" s="59">
        <f ca="1">AVERAGE(OFFSET($CX$3,0,0,'Données projet'!$E$13+1,1))-AVERAGE(OFFSET($H$3,0,0,'Données projet'!$E$13+1,1))</f>
        <v>215.84581110302656</v>
      </c>
      <c r="CZ140" s="59">
        <f t="shared" si="150"/>
        <v>193.88588526156104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15.565362064342626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15.565362064342626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401</v>
      </c>
      <c r="O141" s="13">
        <f>N141*VLOOKUP('Données projet'!$B$9,Paramètres!$A$1:$I$89,3,0)*VLOOKUP('Données projet'!$B$9,Paramètres!$A$1:$I$89,5,0)</f>
        <v>250.22399999999999</v>
      </c>
      <c r="P141" s="13">
        <f t="shared" si="141"/>
        <v>60.633904580527918</v>
      </c>
      <c r="Q141" s="20">
        <f t="shared" si="108"/>
        <v>541.41085047775289</v>
      </c>
      <c r="R141" s="59">
        <f t="shared" si="109"/>
        <v>834.74418381108626</v>
      </c>
      <c r="S141" s="59">
        <f ca="1">AVERAGE(OFFSET($R$3,0,0,'Données projet'!$E$9+1,1))-AVERAGE(OFFSET($H$3,0,0,'Données projet'!$E$9+1,1))</f>
        <v>269.77739619445515</v>
      </c>
      <c r="T141" s="59">
        <f t="shared" si="142"/>
        <v>347.56964743629885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16.339515228612925</v>
      </c>
      <c r="AA141" s="21">
        <f>EXP(-LN(2)/25)*AA140+(1-EXP(-LN(2)/25))/(LN(2)/25)*Calculateur!V141*Calculateur!X141*VLOOKUP('Données projet'!$B$9,Paramètres!$A$1:$I$89,3,0)*0.475*44/12</f>
        <v>4.5932441552669587</v>
      </c>
      <c r="AB141" s="21">
        <f>EXP(-LN(2)/2)*AB140+(1-EXP(-LN(2)/2))/(LN(2)/2)*V141*Y141*VLOOKUP('Données projet'!$B$9,Paramètres!$A$1:$I$89,3,0)*0.475*44/12</f>
        <v>1.3788051826383793E-18</v>
      </c>
      <c r="AC141" s="22">
        <f t="shared" si="111"/>
        <v>20.932759383879883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735.00000000000011</v>
      </c>
      <c r="AJ141" s="13">
        <f>AI141*VLOOKUP('Données projet'!$B$10,Paramètres!$A$1:$I$89,3,0)*VLOOKUP('Données projet'!$B$10,Paramètres!$A$1:$I$89,5,0)</f>
        <v>343.98</v>
      </c>
      <c r="AK141" s="13">
        <f t="shared" si="143"/>
        <v>80.321681832084693</v>
      </c>
      <c r="AL141" s="20">
        <f t="shared" si="112"/>
        <v>738.9920958575475</v>
      </c>
      <c r="AM141" s="59">
        <f t="shared" si="113"/>
        <v>1032.3254291908809</v>
      </c>
      <c r="AN141" s="59">
        <f ca="1">AVERAGE(OFFSET($AM$3,0,0,'Données projet'!$E$10+1,1))-AVERAGE(OFFSET($H$3,0,0,'Données projet'!$E$10+1,1))</f>
        <v>342.49944586217674</v>
      </c>
      <c r="AO141" s="59">
        <f t="shared" si="144"/>
        <v>282.29766600872563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37.395901188163023</v>
      </c>
      <c r="AV141" s="21">
        <f>EXP(-LN(2)/25)*AV140+(1-EXP(-LN(2)/25))/(LN(2)/25)*Calculateur!AQ141*Calculateur!AS141*VLOOKUP('Données projet'!$B$10,Paramètres!$A$1:$I$89,3,0)*0.475*44/12</f>
        <v>2.0067069798176931</v>
      </c>
      <c r="AW141" s="21">
        <f>EXP(-LN(2)/2)*AW140+(1-EXP(-LN(2)/2))/(LN(2)/2)*AQ141*AT141*VLOOKUP('Données projet'!$B$10,Paramètres!$A$1:$I$89,3,0)*0.475*44/12</f>
        <v>4.5960172754612681E-18</v>
      </c>
      <c r="AX141" s="21">
        <f t="shared" si="114"/>
        <v>39.402608167980716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319</v>
      </c>
      <c r="BE141" s="13">
        <f>BD141*VLOOKUP('Données projet'!$B$11,Paramètres!$A$1:$I$89,3,0)*VLOOKUP('Données projet'!$B$11,Paramètres!$A$1:$I$89,5,0)</f>
        <v>253.79640000000001</v>
      </c>
      <c r="BF141" s="13">
        <f t="shared" si="145"/>
        <v>61.39816832228076</v>
      </c>
      <c r="BG141" s="20">
        <f t="shared" si="115"/>
        <v>548.96387316130563</v>
      </c>
      <c r="BH141" s="59">
        <f t="shared" si="116"/>
        <v>842.29720649463889</v>
      </c>
      <c r="BI141" s="59">
        <f ca="1">AVERAGE(OFFSET($BH$3,0,0,'Données projet'!$E$11+1,1))-AVERAGE(OFFSET($H$3,0,0,'Données projet'!$E$11+1,1))</f>
        <v>279.49721661620544</v>
      </c>
      <c r="BJ141" s="59">
        <f t="shared" si="146"/>
        <v>275.18739333988754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16.857864470817379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16.857864470817379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732.99999999999966</v>
      </c>
      <c r="BZ141" s="13">
        <f>BY141*VLOOKUP('Données projet'!$B$12,Paramètres!$A$1:$I$89,3,0)*VLOOKUP('Données projet'!$B$12,Paramètres!$A$1:$I$89,5,0)</f>
        <v>352.57299999999987</v>
      </c>
      <c r="CA141" s="13">
        <f t="shared" si="147"/>
        <v>82.092092597941644</v>
      </c>
      <c r="CB141" s="20">
        <f t="shared" si="118"/>
        <v>757.04170294141477</v>
      </c>
      <c r="CC141" s="59">
        <f t="shared" si="119"/>
        <v>1050.375036274748</v>
      </c>
      <c r="CD141" s="59">
        <f ca="1">AVERAGE(OFFSET($CC$3,0,0,'Données projet'!$E$12+1,1))-AVERAGE(OFFSET($H$3,0,0,'Données projet'!$E$12+1,1))</f>
        <v>349.65790906807746</v>
      </c>
      <c r="CE141" s="59">
        <f t="shared" si="148"/>
        <v>291.88925884278888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40.111699225483108</v>
      </c>
      <c r="CL141" s="21">
        <f>EXP(-LN(2)/25)*CL140+(1-EXP(-LN(2)/25))/(LN(2)/25)*Calculateur!CG141*Calculateur!CI141*VLOOKUP('Données projet'!$B$12,Paramètres!$A$1:$I$89,3,0)*0.475*44/12</f>
        <v>2.0624488403681895</v>
      </c>
      <c r="CM141" s="21">
        <f>EXP(-LN(2)/2)*CM140+(1-EXP(-LN(2)/2))/(LN(2)/2)*CG141*CJ141*VLOOKUP('Données projet'!$B$12,Paramètres!$A$1:$I$89,3,0)*0.475*44/12</f>
        <v>2.8342106532011132E-18</v>
      </c>
      <c r="CN141" s="22">
        <f t="shared" si="120"/>
        <v>42.174148065851298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285.99999999999972</v>
      </c>
      <c r="CU141" s="17">
        <f>CT141*VLOOKUP('Données projet'!$B$13,Paramètres!$A$1:$I$89,3,0)*VLOOKUP('Données projet'!$B$13,Paramètres!$A$1:$I$89,5,0)</f>
        <v>223.07999999999979</v>
      </c>
      <c r="CV141" s="13">
        <f t="shared" si="149"/>
        <v>54.783765878062617</v>
      </c>
      <c r="CW141" s="20">
        <f t="shared" si="121"/>
        <v>483.94605890429199</v>
      </c>
      <c r="CX141" s="59">
        <f t="shared" si="122"/>
        <v>777.2793922376253</v>
      </c>
      <c r="CY141" s="59">
        <f ca="1">AVERAGE(OFFSET($CX$3,0,0,'Données projet'!$E$13+1,1))-AVERAGE(OFFSET($H$3,0,0,'Données projet'!$E$13+1,1))</f>
        <v>215.84581110302656</v>
      </c>
      <c r="CZ141" s="59">
        <f t="shared" si="150"/>
        <v>193.88588526156104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15.260134808194278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15.260134808194278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401</v>
      </c>
      <c r="O142" s="13">
        <f>N142*VLOOKUP('Données projet'!$B$9,Paramètres!$A$1:$I$89,3,0)*VLOOKUP('Données projet'!$B$9,Paramètres!$A$1:$I$89,5,0)</f>
        <v>250.22399999999999</v>
      </c>
      <c r="P142" s="13">
        <f t="shared" si="141"/>
        <v>60.633904580527918</v>
      </c>
      <c r="Q142" s="20">
        <f t="shared" si="108"/>
        <v>541.41085047775289</v>
      </c>
      <c r="R142" s="59">
        <f t="shared" si="109"/>
        <v>834.74418381108626</v>
      </c>
      <c r="S142" s="59">
        <f ca="1">AVERAGE(OFFSET($R$3,0,0,'Données projet'!$E$9+1,1))-AVERAGE(OFFSET($H$3,0,0,'Données projet'!$E$9+1,1))</f>
        <v>269.77739619445515</v>
      </c>
      <c r="T142" s="59">
        <f t="shared" si="142"/>
        <v>347.56964743629885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16.019107301100043</v>
      </c>
      <c r="AA142" s="21">
        <f>EXP(-LN(2)/25)*AA141+(1-EXP(-LN(2)/25))/(LN(2)/25)*Calculateur!V142*Calculateur!X142*VLOOKUP('Données projet'!$B$9,Paramètres!$A$1:$I$89,3,0)*0.475*44/12</f>
        <v>4.4676416522929721</v>
      </c>
      <c r="AB142" s="21">
        <f>EXP(-LN(2)/2)*AB141+(1-EXP(-LN(2)/2))/(LN(2)/2)*V142*Y142*VLOOKUP('Données projet'!$B$9,Paramètres!$A$1:$I$89,3,0)*0.475*44/12</f>
        <v>9.7496249457875413E-19</v>
      </c>
      <c r="AC142" s="22">
        <f t="shared" si="111"/>
        <v>20.486748953393015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735.00000000000011</v>
      </c>
      <c r="AJ142" s="13">
        <f>AI142*VLOOKUP('Données projet'!$B$10,Paramètres!$A$1:$I$89,3,0)*VLOOKUP('Données projet'!$B$10,Paramètres!$A$1:$I$89,5,0)</f>
        <v>343.98</v>
      </c>
      <c r="AK142" s="13">
        <f t="shared" si="143"/>
        <v>80.321681832084693</v>
      </c>
      <c r="AL142" s="20">
        <f t="shared" si="112"/>
        <v>738.9920958575475</v>
      </c>
      <c r="AM142" s="59">
        <f t="shared" si="113"/>
        <v>1032.3254291908809</v>
      </c>
      <c r="AN142" s="59">
        <f ca="1">AVERAGE(OFFSET($AM$3,0,0,'Données projet'!$E$10+1,1))-AVERAGE(OFFSET($H$3,0,0,'Données projet'!$E$10+1,1))</f>
        <v>342.49944586217674</v>
      </c>
      <c r="AO142" s="59">
        <f t="shared" si="144"/>
        <v>282.29766600872563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36.662590375110646</v>
      </c>
      <c r="AV142" s="21">
        <f>EXP(-LN(2)/25)*AV141+(1-EXP(-LN(2)/25))/(LN(2)/25)*Calculateur!AQ142*Calculateur!AS142*VLOOKUP('Données projet'!$B$10,Paramètres!$A$1:$I$89,3,0)*0.475*44/12</f>
        <v>1.9518334719264445</v>
      </c>
      <c r="AW142" s="21">
        <f>EXP(-LN(2)/2)*AW141+(1-EXP(-LN(2)/2))/(LN(2)/2)*AQ142*AT142*VLOOKUP('Données projet'!$B$10,Paramètres!$A$1:$I$89,3,0)*0.475*44/12</f>
        <v>3.2498749819291833E-18</v>
      </c>
      <c r="AX142" s="21">
        <f t="shared" si="114"/>
        <v>38.614423847037088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319</v>
      </c>
      <c r="BE142" s="13">
        <f>BD142*VLOOKUP('Données projet'!$B$11,Paramètres!$A$1:$I$89,3,0)*VLOOKUP('Données projet'!$B$11,Paramètres!$A$1:$I$89,5,0)</f>
        <v>253.79640000000001</v>
      </c>
      <c r="BF142" s="13">
        <f t="shared" si="145"/>
        <v>61.39816832228076</v>
      </c>
      <c r="BG142" s="20">
        <f t="shared" si="115"/>
        <v>548.96387316130563</v>
      </c>
      <c r="BH142" s="59">
        <f t="shared" si="116"/>
        <v>842.29720649463889</v>
      </c>
      <c r="BI142" s="59">
        <f ca="1">AVERAGE(OFFSET($BH$3,0,0,'Données projet'!$E$11+1,1))-AVERAGE(OFFSET($H$3,0,0,'Données projet'!$E$11+1,1))</f>
        <v>279.49721661620544</v>
      </c>
      <c r="BJ142" s="59">
        <f t="shared" si="146"/>
        <v>275.18739333988754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16.527292030826686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16.527292030826686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732.99999999999966</v>
      </c>
      <c r="BZ142" s="13">
        <f>BY142*VLOOKUP('Données projet'!$B$12,Paramètres!$A$1:$I$89,3,0)*VLOOKUP('Données projet'!$B$12,Paramètres!$A$1:$I$89,5,0)</f>
        <v>352.57299999999987</v>
      </c>
      <c r="CA142" s="13">
        <f t="shared" si="147"/>
        <v>82.092092597941644</v>
      </c>
      <c r="CB142" s="20">
        <f t="shared" si="118"/>
        <v>757.04170294141477</v>
      </c>
      <c r="CC142" s="59">
        <f t="shared" si="119"/>
        <v>1050.375036274748</v>
      </c>
      <c r="CD142" s="59">
        <f ca="1">AVERAGE(OFFSET($CC$3,0,0,'Données projet'!$E$12+1,1))-AVERAGE(OFFSET($H$3,0,0,'Données projet'!$E$12+1,1))</f>
        <v>349.65790906807746</v>
      </c>
      <c r="CE142" s="59">
        <f t="shared" si="148"/>
        <v>291.88925884278888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39.325133269392119</v>
      </c>
      <c r="CL142" s="21">
        <f>EXP(-LN(2)/25)*CL141+(1-EXP(-LN(2)/25))/(LN(2)/25)*Calculateur!CG142*Calculateur!CI142*VLOOKUP('Données projet'!$B$12,Paramètres!$A$1:$I$89,3,0)*0.475*44/12</f>
        <v>2.0060510683688508</v>
      </c>
      <c r="CM142" s="21">
        <f>EXP(-LN(2)/2)*CM141+(1-EXP(-LN(2)/2))/(LN(2)/2)*CG142*CJ142*VLOOKUP('Données projet'!$B$12,Paramètres!$A$1:$I$89,3,0)*0.475*44/12</f>
        <v>2.0040895721896615E-18</v>
      </c>
      <c r="CN142" s="22">
        <f t="shared" si="120"/>
        <v>41.331184337760966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285.99999999999972</v>
      </c>
      <c r="CU142" s="17">
        <f>CT142*VLOOKUP('Données projet'!$B$13,Paramètres!$A$1:$I$89,3,0)*VLOOKUP('Données projet'!$B$13,Paramètres!$A$1:$I$89,5,0)</f>
        <v>223.07999999999979</v>
      </c>
      <c r="CV142" s="13">
        <f t="shared" si="149"/>
        <v>54.783765878062617</v>
      </c>
      <c r="CW142" s="20">
        <f t="shared" si="121"/>
        <v>483.94605890429199</v>
      </c>
      <c r="CX142" s="59">
        <f t="shared" si="122"/>
        <v>777.2793922376253</v>
      </c>
      <c r="CY142" s="59">
        <f ca="1">AVERAGE(OFFSET($CX$3,0,0,'Données projet'!$E$13+1,1))-AVERAGE(OFFSET($H$3,0,0,'Données projet'!$E$13+1,1))</f>
        <v>215.84581110302656</v>
      </c>
      <c r="CZ142" s="59">
        <f t="shared" si="150"/>
        <v>193.88588526156104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14.960892872368756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14.960892872368756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401</v>
      </c>
      <c r="O143" s="13">
        <f>N143*VLOOKUP('Données projet'!$B$9,Paramètres!$A$1:$I$89,3,0)*VLOOKUP('Données projet'!$B$9,Paramètres!$A$1:$I$89,5,0)</f>
        <v>250.22399999999999</v>
      </c>
      <c r="P143" s="13">
        <f t="shared" si="141"/>
        <v>60.633904580527918</v>
      </c>
      <c r="Q143" s="20">
        <f t="shared" si="108"/>
        <v>541.41085047775289</v>
      </c>
      <c r="R143" s="59">
        <f t="shared" si="109"/>
        <v>834.74418381108626</v>
      </c>
      <c r="S143" s="59">
        <f ca="1">AVERAGE(OFFSET($R$3,0,0,'Données projet'!$E$9+1,1))-AVERAGE(OFFSET($H$3,0,0,'Données projet'!$E$9+1,1))</f>
        <v>269.77739619445515</v>
      </c>
      <c r="T143" s="59">
        <f t="shared" si="142"/>
        <v>347.56964743629885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15.704982377616149</v>
      </c>
      <c r="AA143" s="21">
        <f>EXP(-LN(2)/25)*AA142+(1-EXP(-LN(2)/25))/(LN(2)/25)*Calculateur!V143*Calculateur!X143*VLOOKUP('Données projet'!$B$9,Paramètres!$A$1:$I$89,3,0)*0.475*44/12</f>
        <v>4.3454737563679569</v>
      </c>
      <c r="AB143" s="21">
        <f>EXP(-LN(2)/2)*AB142+(1-EXP(-LN(2)/2))/(LN(2)/2)*V143*Y143*VLOOKUP('Données projet'!$B$9,Paramètres!$A$1:$I$89,3,0)*0.475*44/12</f>
        <v>6.8940259131918964E-19</v>
      </c>
      <c r="AC143" s="22">
        <f t="shared" si="111"/>
        <v>20.050456133984106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735.00000000000011</v>
      </c>
      <c r="AJ143" s="13">
        <f>AI143*VLOOKUP('Données projet'!$B$10,Paramètres!$A$1:$I$89,3,0)*VLOOKUP('Données projet'!$B$10,Paramètres!$A$1:$I$89,5,0)</f>
        <v>343.98</v>
      </c>
      <c r="AK143" s="13">
        <f t="shared" si="143"/>
        <v>80.321681832084693</v>
      </c>
      <c r="AL143" s="20">
        <f t="shared" si="112"/>
        <v>738.9920958575475</v>
      </c>
      <c r="AM143" s="59">
        <f t="shared" si="113"/>
        <v>1032.3254291908809</v>
      </c>
      <c r="AN143" s="59">
        <f ca="1">AVERAGE(OFFSET($AM$3,0,0,'Données projet'!$E$10+1,1))-AVERAGE(OFFSET($H$3,0,0,'Données projet'!$E$10+1,1))</f>
        <v>342.49944586217674</v>
      </c>
      <c r="AO143" s="59">
        <f t="shared" si="144"/>
        <v>282.29766600872563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35.943659339826795</v>
      </c>
      <c r="AV143" s="21">
        <f>EXP(-LN(2)/25)*AV142+(1-EXP(-LN(2)/25))/(LN(2)/25)*Calculateur!AQ143*Calculateur!AS143*VLOOKUP('Données projet'!$B$10,Paramètres!$A$1:$I$89,3,0)*0.475*44/12</f>
        <v>1.8984604829941545</v>
      </c>
      <c r="AW143" s="21">
        <f>EXP(-LN(2)/2)*AW142+(1-EXP(-LN(2)/2))/(LN(2)/2)*AQ143*AT143*VLOOKUP('Données projet'!$B$10,Paramètres!$A$1:$I$89,3,0)*0.475*44/12</f>
        <v>2.2980086377306341E-18</v>
      </c>
      <c r="AX143" s="21">
        <f t="shared" si="114"/>
        <v>37.842119822820948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319</v>
      </c>
      <c r="BE143" s="13">
        <f>BD143*VLOOKUP('Données projet'!$B$11,Paramètres!$A$1:$I$89,3,0)*VLOOKUP('Données projet'!$B$11,Paramètres!$A$1:$I$89,5,0)</f>
        <v>253.79640000000001</v>
      </c>
      <c r="BF143" s="13">
        <f t="shared" si="145"/>
        <v>61.39816832228076</v>
      </c>
      <c r="BG143" s="20">
        <f t="shared" si="115"/>
        <v>548.96387316130563</v>
      </c>
      <c r="BH143" s="59">
        <f t="shared" si="116"/>
        <v>842.29720649463889</v>
      </c>
      <c r="BI143" s="59">
        <f ca="1">AVERAGE(OFFSET($BH$3,0,0,'Données projet'!$E$11+1,1))-AVERAGE(OFFSET($H$3,0,0,'Données projet'!$E$11+1,1))</f>
        <v>279.49721661620544</v>
      </c>
      <c r="BJ143" s="59">
        <f t="shared" si="146"/>
        <v>275.18739333988754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16.203201914754931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16.203201914754931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732.99999999999966</v>
      </c>
      <c r="BZ143" s="13">
        <f>BY143*VLOOKUP('Données projet'!$B$12,Paramètres!$A$1:$I$89,3,0)*VLOOKUP('Données projet'!$B$12,Paramètres!$A$1:$I$89,5,0)</f>
        <v>352.57299999999987</v>
      </c>
      <c r="CA143" s="13">
        <f t="shared" si="147"/>
        <v>82.092092597941644</v>
      </c>
      <c r="CB143" s="20">
        <f t="shared" si="118"/>
        <v>757.04170294141477</v>
      </c>
      <c r="CC143" s="59">
        <f t="shared" si="119"/>
        <v>1050.375036274748</v>
      </c>
      <c r="CD143" s="59">
        <f ca="1">AVERAGE(OFFSET($CC$3,0,0,'Données projet'!$E$12+1,1))-AVERAGE(OFFSET($H$3,0,0,'Données projet'!$E$12+1,1))</f>
        <v>349.65790906807746</v>
      </c>
      <c r="CE143" s="59">
        <f t="shared" si="148"/>
        <v>291.88925884278888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38.553991391942219</v>
      </c>
      <c r="CL143" s="21">
        <f>EXP(-LN(2)/25)*CL142+(1-EXP(-LN(2)/25))/(LN(2)/25)*Calculateur!CG143*Calculateur!CI143*VLOOKUP('Données projet'!$B$12,Paramètres!$A$1:$I$89,3,0)*0.475*44/12</f>
        <v>1.9511954964106639</v>
      </c>
      <c r="CM143" s="21">
        <f>EXP(-LN(2)/2)*CM142+(1-EXP(-LN(2)/2))/(LN(2)/2)*CG143*CJ143*VLOOKUP('Données projet'!$B$12,Paramètres!$A$1:$I$89,3,0)*0.475*44/12</f>
        <v>1.4171053266005566E-18</v>
      </c>
      <c r="CN143" s="22">
        <f t="shared" si="120"/>
        <v>40.505186888352881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285.99999999999972</v>
      </c>
      <c r="CU143" s="17">
        <f>CT143*VLOOKUP('Données projet'!$B$13,Paramètres!$A$1:$I$89,3,0)*VLOOKUP('Données projet'!$B$13,Paramètres!$A$1:$I$89,5,0)</f>
        <v>223.07999999999979</v>
      </c>
      <c r="CV143" s="13">
        <f t="shared" si="149"/>
        <v>54.783765878062617</v>
      </c>
      <c r="CW143" s="20">
        <f t="shared" si="121"/>
        <v>483.94605890429199</v>
      </c>
      <c r="CX143" s="59">
        <f t="shared" si="122"/>
        <v>777.2793922376253</v>
      </c>
      <c r="CY143" s="59">
        <f ca="1">AVERAGE(OFFSET($CX$3,0,0,'Données projet'!$E$13+1,1))-AVERAGE(OFFSET($H$3,0,0,'Données projet'!$E$13+1,1))</f>
        <v>215.84581110302656</v>
      </c>
      <c r="CZ143" s="59">
        <f t="shared" si="150"/>
        <v>193.88588526156104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14.667518888385214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14.667518888385214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401</v>
      </c>
      <c r="O144" s="13">
        <f>N144*VLOOKUP('Données projet'!$B$9,Paramètres!$A$1:$I$89,3,0)*VLOOKUP('Données projet'!$B$9,Paramètres!$A$1:$I$89,5,0)</f>
        <v>250.22399999999999</v>
      </c>
      <c r="P144" s="13">
        <f t="shared" si="141"/>
        <v>60.633904580527918</v>
      </c>
      <c r="Q144" s="20">
        <f t="shared" si="108"/>
        <v>541.41085047775289</v>
      </c>
      <c r="R144" s="59">
        <f t="shared" si="109"/>
        <v>834.74418381108626</v>
      </c>
      <c r="S144" s="59">
        <f ca="1">AVERAGE(OFFSET($R$3,0,0,'Données projet'!$E$9+1,1))-AVERAGE(OFFSET($H$3,0,0,'Données projet'!$E$9+1,1))</f>
        <v>269.77739619445515</v>
      </c>
      <c r="T144" s="59">
        <f t="shared" si="142"/>
        <v>347.56964743629885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15.39701725228449</v>
      </c>
      <c r="AA144" s="21">
        <f>EXP(-LN(2)/25)*AA143+(1-EXP(-LN(2)/25))/(LN(2)/25)*Calculateur!V144*Calculateur!X144*VLOOKUP('Données projet'!$B$9,Paramètres!$A$1:$I$89,3,0)*0.475*44/12</f>
        <v>4.2266465479815416</v>
      </c>
      <c r="AB144" s="21">
        <f>EXP(-LN(2)/2)*AB143+(1-EXP(-LN(2)/2))/(LN(2)/2)*V144*Y144*VLOOKUP('Données projet'!$B$9,Paramètres!$A$1:$I$89,3,0)*0.475*44/12</f>
        <v>4.8748124728937707E-19</v>
      </c>
      <c r="AC144" s="22">
        <f t="shared" si="111"/>
        <v>19.62366380026603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735.00000000000011</v>
      </c>
      <c r="AJ144" s="13">
        <f>AI144*VLOOKUP('Données projet'!$B$10,Paramètres!$A$1:$I$89,3,0)*VLOOKUP('Données projet'!$B$10,Paramètres!$A$1:$I$89,5,0)</f>
        <v>343.98</v>
      </c>
      <c r="AK144" s="13">
        <f t="shared" si="143"/>
        <v>80.321681832084693</v>
      </c>
      <c r="AL144" s="20">
        <f t="shared" si="112"/>
        <v>738.9920958575475</v>
      </c>
      <c r="AM144" s="59">
        <f t="shared" si="113"/>
        <v>1032.3254291908809</v>
      </c>
      <c r="AN144" s="59">
        <f ca="1">AVERAGE(OFFSET($AM$3,0,0,'Données projet'!$E$10+1,1))-AVERAGE(OFFSET($H$3,0,0,'Données projet'!$E$10+1,1))</f>
        <v>342.49944586217674</v>
      </c>
      <c r="AO144" s="59">
        <f t="shared" si="144"/>
        <v>282.29766600872563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35.238826103640228</v>
      </c>
      <c r="AV144" s="21">
        <f>EXP(-LN(2)/25)*AV143+(1-EXP(-LN(2)/25))/(LN(2)/25)*Calculateur!AQ144*Calculateur!AS144*VLOOKUP('Données projet'!$B$10,Paramètres!$A$1:$I$89,3,0)*0.475*44/12</f>
        <v>1.8465469812509816</v>
      </c>
      <c r="AW144" s="21">
        <f>EXP(-LN(2)/2)*AW143+(1-EXP(-LN(2)/2))/(LN(2)/2)*AQ144*AT144*VLOOKUP('Données projet'!$B$10,Paramètres!$A$1:$I$89,3,0)*0.475*44/12</f>
        <v>1.6249374909645916E-18</v>
      </c>
      <c r="AX144" s="21">
        <f t="shared" si="114"/>
        <v>37.085373084891209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319</v>
      </c>
      <c r="BE144" s="13">
        <f>BD144*VLOOKUP('Données projet'!$B$11,Paramètres!$A$1:$I$89,3,0)*VLOOKUP('Données projet'!$B$11,Paramètres!$A$1:$I$89,5,0)</f>
        <v>253.79640000000001</v>
      </c>
      <c r="BF144" s="13">
        <f t="shared" si="145"/>
        <v>61.39816832228076</v>
      </c>
      <c r="BG144" s="20">
        <f t="shared" si="115"/>
        <v>548.96387316130563</v>
      </c>
      <c r="BH144" s="59">
        <f t="shared" si="116"/>
        <v>842.29720649463889</v>
      </c>
      <c r="BI144" s="59">
        <f ca="1">AVERAGE(OFFSET($BH$3,0,0,'Données projet'!$E$11+1,1))-AVERAGE(OFFSET($H$3,0,0,'Données projet'!$E$11+1,1))</f>
        <v>279.49721661620544</v>
      </c>
      <c r="BJ144" s="59">
        <f t="shared" si="146"/>
        <v>275.18739333988754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15.885467008183893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15.885467008183893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732.99999999999966</v>
      </c>
      <c r="BZ144" s="13">
        <f>BY144*VLOOKUP('Données projet'!$B$12,Paramètres!$A$1:$I$89,3,0)*VLOOKUP('Données projet'!$B$12,Paramètres!$A$1:$I$89,5,0)</f>
        <v>352.57299999999987</v>
      </c>
      <c r="CA144" s="13">
        <f t="shared" si="147"/>
        <v>82.092092597941644</v>
      </c>
      <c r="CB144" s="20">
        <f t="shared" si="118"/>
        <v>757.04170294141477</v>
      </c>
      <c r="CC144" s="59">
        <f t="shared" si="119"/>
        <v>1050.375036274748</v>
      </c>
      <c r="CD144" s="59">
        <f ca="1">AVERAGE(OFFSET($CC$3,0,0,'Données projet'!$E$12+1,1))-AVERAGE(OFFSET($H$3,0,0,'Données projet'!$E$12+1,1))</f>
        <v>349.65790906807746</v>
      </c>
      <c r="CE144" s="59">
        <f t="shared" si="148"/>
        <v>291.88925884278888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37.79797113635901</v>
      </c>
      <c r="CL144" s="21">
        <f>EXP(-LN(2)/25)*CL143+(1-EXP(-LN(2)/25))/(LN(2)/25)*Calculateur!CG144*Calculateur!CI144*VLOOKUP('Données projet'!$B$12,Paramètres!$A$1:$I$89,3,0)*0.475*44/12</f>
        <v>1.8978399529524026</v>
      </c>
      <c r="CM144" s="21">
        <f>EXP(-LN(2)/2)*CM143+(1-EXP(-LN(2)/2))/(LN(2)/2)*CG144*CJ144*VLOOKUP('Données projet'!$B$12,Paramètres!$A$1:$I$89,3,0)*0.475*44/12</f>
        <v>1.0020447860948307E-18</v>
      </c>
      <c r="CN144" s="22">
        <f t="shared" si="120"/>
        <v>39.695811089311412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285.99999999999972</v>
      </c>
      <c r="CU144" s="17">
        <f>CT144*VLOOKUP('Données projet'!$B$13,Paramètres!$A$1:$I$89,3,0)*VLOOKUP('Données projet'!$B$13,Paramètres!$A$1:$I$89,5,0)</f>
        <v>223.07999999999979</v>
      </c>
      <c r="CV144" s="13">
        <f t="shared" si="149"/>
        <v>54.783765878062617</v>
      </c>
      <c r="CW144" s="20">
        <f t="shared" si="121"/>
        <v>483.94605890429199</v>
      </c>
      <c r="CX144" s="59">
        <f t="shared" si="122"/>
        <v>777.2793922376253</v>
      </c>
      <c r="CY144" s="59">
        <f ca="1">AVERAGE(OFFSET($CX$3,0,0,'Données projet'!$E$13+1,1))-AVERAGE(OFFSET($H$3,0,0,'Données projet'!$E$13+1,1))</f>
        <v>215.84581110302656</v>
      </c>
      <c r="CZ144" s="59">
        <f t="shared" si="150"/>
        <v>193.88588526156104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14.379897789287128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14.379897789287128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401</v>
      </c>
      <c r="O145" s="13">
        <f>N145*VLOOKUP('Données projet'!$B$9,Paramètres!$A$1:$I$89,3,0)*VLOOKUP('Données projet'!$B$9,Paramètres!$A$1:$I$89,5,0)</f>
        <v>250.22399999999999</v>
      </c>
      <c r="P145" s="13">
        <f t="shared" si="141"/>
        <v>60.633904580527918</v>
      </c>
      <c r="Q145" s="20">
        <f t="shared" si="108"/>
        <v>541.41085047775289</v>
      </c>
      <c r="R145" s="59">
        <f t="shared" si="109"/>
        <v>834.74418381108626</v>
      </c>
      <c r="S145" s="59">
        <f ca="1">AVERAGE(OFFSET($R$3,0,0,'Données projet'!$E$9+1,1))-AVERAGE(OFFSET($H$3,0,0,'Données projet'!$E$9+1,1))</f>
        <v>269.77739619445515</v>
      </c>
      <c r="T145" s="59">
        <f t="shared" si="142"/>
        <v>347.56964743629885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15.095091135220406</v>
      </c>
      <c r="AA145" s="21">
        <f>EXP(-LN(2)/25)*AA144+(1-EXP(-LN(2)/25))/(LN(2)/25)*Calculateur!V145*Calculateur!X145*VLOOKUP('Données projet'!$B$9,Paramètres!$A$1:$I$89,3,0)*0.475*44/12</f>
        <v>4.1110686758573047</v>
      </c>
      <c r="AB145" s="21">
        <f>EXP(-LN(2)/2)*AB144+(1-EXP(-LN(2)/2))/(LN(2)/2)*V145*Y145*VLOOKUP('Données projet'!$B$9,Paramètres!$A$1:$I$89,3,0)*0.475*44/12</f>
        <v>3.4470129565959482E-19</v>
      </c>
      <c r="AC145" s="22">
        <f t="shared" si="111"/>
        <v>19.206159811077711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735.00000000000011</v>
      </c>
      <c r="AJ145" s="13">
        <f>AI145*VLOOKUP('Données projet'!$B$10,Paramètres!$A$1:$I$89,3,0)*VLOOKUP('Données projet'!$B$10,Paramètres!$A$1:$I$89,5,0)</f>
        <v>343.98</v>
      </c>
      <c r="AK145" s="13">
        <f t="shared" si="143"/>
        <v>80.321681832084693</v>
      </c>
      <c r="AL145" s="20">
        <f t="shared" si="112"/>
        <v>738.9920958575475</v>
      </c>
      <c r="AM145" s="59">
        <f t="shared" si="113"/>
        <v>1032.3254291908809</v>
      </c>
      <c r="AN145" s="59">
        <f ca="1">AVERAGE(OFFSET($AM$3,0,0,'Données projet'!$E$10+1,1))-AVERAGE(OFFSET($H$3,0,0,'Données projet'!$E$10+1,1))</f>
        <v>342.49944586217674</v>
      </c>
      <c r="AO145" s="59">
        <f t="shared" si="144"/>
        <v>282.29766600872563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34.547814217309451</v>
      </c>
      <c r="AV145" s="21">
        <f>EXP(-LN(2)/25)*AV144+(1-EXP(-LN(2)/25))/(LN(2)/25)*Calculateur!AQ145*Calculateur!AS145*VLOOKUP('Données projet'!$B$10,Paramètres!$A$1:$I$89,3,0)*0.475*44/12</f>
        <v>1.796053056942988</v>
      </c>
      <c r="AW145" s="21">
        <f>EXP(-LN(2)/2)*AW144+(1-EXP(-LN(2)/2))/(LN(2)/2)*AQ145*AT145*VLOOKUP('Données projet'!$B$10,Paramètres!$A$1:$I$89,3,0)*0.475*44/12</f>
        <v>1.149004318865317E-18</v>
      </c>
      <c r="AX145" s="21">
        <f t="shared" si="114"/>
        <v>36.343867274252439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319</v>
      </c>
      <c r="BE145" s="13">
        <f>BD145*VLOOKUP('Données projet'!$B$11,Paramètres!$A$1:$I$89,3,0)*VLOOKUP('Données projet'!$B$11,Paramètres!$A$1:$I$89,5,0)</f>
        <v>253.79640000000001</v>
      </c>
      <c r="BF145" s="13">
        <f t="shared" si="145"/>
        <v>61.39816832228076</v>
      </c>
      <c r="BG145" s="20">
        <f t="shared" si="115"/>
        <v>548.96387316130563</v>
      </c>
      <c r="BH145" s="59">
        <f t="shared" si="116"/>
        <v>842.29720649463889</v>
      </c>
      <c r="BI145" s="59">
        <f ca="1">AVERAGE(OFFSET($BH$3,0,0,'Données projet'!$E$11+1,1))-AVERAGE(OFFSET($H$3,0,0,'Données projet'!$E$11+1,1))</f>
        <v>279.49721661620544</v>
      </c>
      <c r="BJ145" s="59">
        <f t="shared" si="146"/>
        <v>275.18739333988754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15.573962689331555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15.573962689331555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732.99999999999966</v>
      </c>
      <c r="BZ145" s="13">
        <f>BY145*VLOOKUP('Données projet'!$B$12,Paramètres!$A$1:$I$89,3,0)*VLOOKUP('Données projet'!$B$12,Paramètres!$A$1:$I$89,5,0)</f>
        <v>352.57299999999987</v>
      </c>
      <c r="CA145" s="13">
        <f t="shared" si="147"/>
        <v>82.092092597941644</v>
      </c>
      <c r="CB145" s="20">
        <f t="shared" si="118"/>
        <v>757.04170294141477</v>
      </c>
      <c r="CC145" s="59">
        <f t="shared" si="119"/>
        <v>1050.375036274748</v>
      </c>
      <c r="CD145" s="59">
        <f ca="1">AVERAGE(OFFSET($CC$3,0,0,'Données projet'!$E$12+1,1))-AVERAGE(OFFSET($H$3,0,0,'Données projet'!$E$12+1,1))</f>
        <v>349.65790906807746</v>
      </c>
      <c r="CE145" s="59">
        <f t="shared" si="148"/>
        <v>291.88925884278888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37.056775976860962</v>
      </c>
      <c r="CL145" s="21">
        <f>EXP(-LN(2)/25)*CL144+(1-EXP(-LN(2)/25))/(LN(2)/25)*Calculateur!CG145*Calculateur!CI145*VLOOKUP('Données projet'!$B$12,Paramètres!$A$1:$I$89,3,0)*0.475*44/12</f>
        <v>1.8459434196358535</v>
      </c>
      <c r="CM145" s="21">
        <f>EXP(-LN(2)/2)*CM144+(1-EXP(-LN(2)/2))/(LN(2)/2)*CG145*CJ145*VLOOKUP('Données projet'!$B$12,Paramètres!$A$1:$I$89,3,0)*0.475*44/12</f>
        <v>7.0855266330027831E-19</v>
      </c>
      <c r="CN145" s="22">
        <f t="shared" si="120"/>
        <v>38.902719396496813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285.99999999999972</v>
      </c>
      <c r="CU145" s="17">
        <f>CT145*VLOOKUP('Données projet'!$B$13,Paramètres!$A$1:$I$89,3,0)*VLOOKUP('Données projet'!$B$13,Paramètres!$A$1:$I$89,5,0)</f>
        <v>223.07999999999979</v>
      </c>
      <c r="CV145" s="13">
        <f t="shared" si="149"/>
        <v>54.783765878062617</v>
      </c>
      <c r="CW145" s="20">
        <f t="shared" si="121"/>
        <v>483.94605890429199</v>
      </c>
      <c r="CX145" s="59">
        <f t="shared" si="122"/>
        <v>777.2793922376253</v>
      </c>
      <c r="CY145" s="59">
        <f ca="1">AVERAGE(OFFSET($CX$3,0,0,'Données projet'!$E$13+1,1))-AVERAGE(OFFSET($H$3,0,0,'Données projet'!$E$13+1,1))</f>
        <v>215.84581110302656</v>
      </c>
      <c r="CZ145" s="59">
        <f t="shared" si="150"/>
        <v>193.88588526156104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14.097916764510806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14.097916764510806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401</v>
      </c>
      <c r="O146" s="13">
        <f>N146*VLOOKUP('Données projet'!$B$9,Paramètres!$A$1:$I$89,3,0)*VLOOKUP('Données projet'!$B$9,Paramètres!$A$1:$I$89,5,0)</f>
        <v>250.22399999999999</v>
      </c>
      <c r="P146" s="13">
        <f t="shared" si="141"/>
        <v>60.633904580527918</v>
      </c>
      <c r="Q146" s="20">
        <f t="shared" si="108"/>
        <v>541.41085047775289</v>
      </c>
      <c r="R146" s="59">
        <f t="shared" si="109"/>
        <v>834.74418381108626</v>
      </c>
      <c r="S146" s="59">
        <f ca="1">AVERAGE(OFFSET($R$3,0,0,'Données projet'!$E$9+1,1))-AVERAGE(OFFSET($H$3,0,0,'Données projet'!$E$9+1,1))</f>
        <v>269.77739619445515</v>
      </c>
      <c r="T146" s="59">
        <f t="shared" si="142"/>
        <v>347.56964743629885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14.7990856051552</v>
      </c>
      <c r="AA146" s="21">
        <f>EXP(-LN(2)/25)*AA145+(1-EXP(-LN(2)/25))/(LN(2)/25)*Calculateur!V146*Calculateur!X146*VLOOKUP('Données projet'!$B$9,Paramètres!$A$1:$I$89,3,0)*0.475*44/12</f>
        <v>3.9986512867242809</v>
      </c>
      <c r="AB146" s="21">
        <f>EXP(-LN(2)/2)*AB145+(1-EXP(-LN(2)/2))/(LN(2)/2)*V146*Y146*VLOOKUP('Données projet'!$B$9,Paramètres!$A$1:$I$89,3,0)*0.475*44/12</f>
        <v>2.4374062364468853E-19</v>
      </c>
      <c r="AC146" s="22">
        <f t="shared" si="111"/>
        <v>18.797736891879481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735.00000000000011</v>
      </c>
      <c r="AJ146" s="13">
        <f>AI146*VLOOKUP('Données projet'!$B$10,Paramètres!$A$1:$I$89,3,0)*VLOOKUP('Données projet'!$B$10,Paramètres!$A$1:$I$89,5,0)</f>
        <v>343.98</v>
      </c>
      <c r="AK146" s="13">
        <f t="shared" si="143"/>
        <v>80.321681832084693</v>
      </c>
      <c r="AL146" s="20">
        <f t="shared" si="112"/>
        <v>738.9920958575475</v>
      </c>
      <c r="AM146" s="59">
        <f t="shared" si="113"/>
        <v>1032.3254291908809</v>
      </c>
      <c r="AN146" s="59">
        <f ca="1">AVERAGE(OFFSET($AM$3,0,0,'Données projet'!$E$10+1,1))-AVERAGE(OFFSET($H$3,0,0,'Données projet'!$E$10+1,1))</f>
        <v>342.49944586217674</v>
      </c>
      <c r="AO146" s="59">
        <f t="shared" si="144"/>
        <v>282.29766600872563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33.870352652593986</v>
      </c>
      <c r="AV146" s="21">
        <f>EXP(-LN(2)/25)*AV145+(1-EXP(-LN(2)/25))/(LN(2)/25)*Calculateur!AQ146*Calculateur!AS146*VLOOKUP('Données projet'!$B$10,Paramètres!$A$1:$I$89,3,0)*0.475*44/12</f>
        <v>1.7469398916505567</v>
      </c>
      <c r="AW146" s="21">
        <f>EXP(-LN(2)/2)*AW145+(1-EXP(-LN(2)/2))/(LN(2)/2)*AQ146*AT146*VLOOKUP('Données projet'!$B$10,Paramètres!$A$1:$I$89,3,0)*0.475*44/12</f>
        <v>8.1246874548229582E-19</v>
      </c>
      <c r="AX146" s="21">
        <f t="shared" si="114"/>
        <v>35.617292544244542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319</v>
      </c>
      <c r="BE146" s="13">
        <f>BD146*VLOOKUP('Données projet'!$B$11,Paramètres!$A$1:$I$89,3,0)*VLOOKUP('Données projet'!$B$11,Paramètres!$A$1:$I$89,5,0)</f>
        <v>253.79640000000001</v>
      </c>
      <c r="BF146" s="13">
        <f t="shared" si="145"/>
        <v>61.39816832228076</v>
      </c>
      <c r="BG146" s="20">
        <f t="shared" si="115"/>
        <v>548.96387316130563</v>
      </c>
      <c r="BH146" s="59">
        <f t="shared" si="116"/>
        <v>842.29720649463889</v>
      </c>
      <c r="BI146" s="59">
        <f ca="1">AVERAGE(OFFSET($BH$3,0,0,'Données projet'!$E$11+1,1))-AVERAGE(OFFSET($H$3,0,0,'Données projet'!$E$11+1,1))</f>
        <v>279.49721661620544</v>
      </c>
      <c r="BJ146" s="59">
        <f t="shared" si="146"/>
        <v>275.18739333988754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15.268566780173037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15.268566780173037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732.99999999999966</v>
      </c>
      <c r="BZ146" s="13">
        <f>BY146*VLOOKUP('Données projet'!$B$12,Paramètres!$A$1:$I$89,3,0)*VLOOKUP('Données projet'!$B$12,Paramètres!$A$1:$I$89,5,0)</f>
        <v>352.57299999999987</v>
      </c>
      <c r="CA146" s="13">
        <f t="shared" si="147"/>
        <v>82.092092597941644</v>
      </c>
      <c r="CB146" s="20">
        <f t="shared" si="118"/>
        <v>757.04170294141477</v>
      </c>
      <c r="CC146" s="59">
        <f t="shared" si="119"/>
        <v>1050.375036274748</v>
      </c>
      <c r="CD146" s="59">
        <f ca="1">AVERAGE(OFFSET($CC$3,0,0,'Données projet'!$E$12+1,1))-AVERAGE(OFFSET($H$3,0,0,'Données projet'!$E$12+1,1))</f>
        <v>349.65790906807746</v>
      </c>
      <c r="CE146" s="59">
        <f t="shared" si="148"/>
        <v>291.88925884278888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36.330115202356261</v>
      </c>
      <c r="CL146" s="21">
        <f>EXP(-LN(2)/25)*CL145+(1-EXP(-LN(2)/25))/(LN(2)/25)*Calculateur!CG146*Calculateur!CI146*VLOOKUP('Données projet'!$B$12,Paramètres!$A$1:$I$89,3,0)*0.475*44/12</f>
        <v>1.7954659997519655</v>
      </c>
      <c r="CM146" s="21">
        <f>EXP(-LN(2)/2)*CM145+(1-EXP(-LN(2)/2))/(LN(2)/2)*CG146*CJ146*VLOOKUP('Données projet'!$B$12,Paramètres!$A$1:$I$89,3,0)*0.475*44/12</f>
        <v>5.0102239304741537E-19</v>
      </c>
      <c r="CN146" s="22">
        <f t="shared" si="120"/>
        <v>38.125581202108229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285.99999999999972</v>
      </c>
      <c r="CU146" s="17">
        <f>CT146*VLOOKUP('Données projet'!$B$13,Paramètres!$A$1:$I$89,3,0)*VLOOKUP('Données projet'!$B$13,Paramètres!$A$1:$I$89,5,0)</f>
        <v>223.07999999999979</v>
      </c>
      <c r="CV146" s="13">
        <f t="shared" si="149"/>
        <v>54.783765878062617</v>
      </c>
      <c r="CW146" s="20">
        <f t="shared" si="121"/>
        <v>483.94605890429199</v>
      </c>
      <c r="CX146" s="59">
        <f t="shared" si="122"/>
        <v>777.2793922376253</v>
      </c>
      <c r="CY146" s="59">
        <f ca="1">AVERAGE(OFFSET($CX$3,0,0,'Données projet'!$E$13+1,1))-AVERAGE(OFFSET($H$3,0,0,'Données projet'!$E$13+1,1))</f>
        <v>215.84581110302656</v>
      </c>
      <c r="CZ146" s="59">
        <f t="shared" si="150"/>
        <v>193.88588526156104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13.821465215638908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13.821465215638908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401</v>
      </c>
      <c r="O147" s="13">
        <f>N147*VLOOKUP('Données projet'!$B$9,Paramètres!$A$1:$I$89,3,0)*VLOOKUP('Données projet'!$B$9,Paramètres!$A$1:$I$89,5,0)</f>
        <v>250.22399999999999</v>
      </c>
      <c r="P147" s="13">
        <f t="shared" si="141"/>
        <v>60.633904580527918</v>
      </c>
      <c r="Q147" s="20">
        <f t="shared" si="108"/>
        <v>541.41085047775289</v>
      </c>
      <c r="R147" s="59">
        <f t="shared" si="109"/>
        <v>834.74418381108626</v>
      </c>
      <c r="S147" s="59">
        <f ca="1">AVERAGE(OFFSET($R$3,0,0,'Données projet'!$E$9+1,1))-AVERAGE(OFFSET($H$3,0,0,'Données projet'!$E$9+1,1))</f>
        <v>269.77739619445515</v>
      </c>
      <c r="T147" s="59">
        <f t="shared" si="142"/>
        <v>347.56964743629885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14.508884562989028</v>
      </c>
      <c r="AA147" s="21">
        <f>EXP(-LN(2)/25)*AA146+(1-EXP(-LN(2)/25))/(LN(2)/25)*Calculateur!V147*Calculateur!X147*VLOOKUP('Données projet'!$B$9,Paramètres!$A$1:$I$89,3,0)*0.475*44/12</f>
        <v>3.8893079570088736</v>
      </c>
      <c r="AB147" s="21">
        <f>EXP(-LN(2)/2)*AB146+(1-EXP(-LN(2)/2))/(LN(2)/2)*V147*Y147*VLOOKUP('Données projet'!$B$9,Paramètres!$A$1:$I$89,3,0)*0.475*44/12</f>
        <v>1.7235064782979741E-19</v>
      </c>
      <c r="AC147" s="22">
        <f t="shared" si="111"/>
        <v>18.398192519997902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735.00000000000011</v>
      </c>
      <c r="AJ147" s="13">
        <f>AI147*VLOOKUP('Données projet'!$B$10,Paramètres!$A$1:$I$89,3,0)*VLOOKUP('Données projet'!$B$10,Paramètres!$A$1:$I$89,5,0)</f>
        <v>343.98</v>
      </c>
      <c r="AK147" s="13">
        <f t="shared" si="143"/>
        <v>80.321681832084693</v>
      </c>
      <c r="AL147" s="20">
        <f t="shared" si="112"/>
        <v>738.9920958575475</v>
      </c>
      <c r="AM147" s="59">
        <f t="shared" si="113"/>
        <v>1032.3254291908809</v>
      </c>
      <c r="AN147" s="59">
        <f ca="1">AVERAGE(OFFSET($AM$3,0,0,'Données projet'!$E$10+1,1))-AVERAGE(OFFSET($H$3,0,0,'Données projet'!$E$10+1,1))</f>
        <v>342.49944586217674</v>
      </c>
      <c r="AO147" s="59">
        <f t="shared" si="144"/>
        <v>282.29766600872563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33.206175695951842</v>
      </c>
      <c r="AV147" s="21">
        <f>EXP(-LN(2)/25)*AV146+(1-EXP(-LN(2)/25))/(LN(2)/25)*Calculateur!AQ147*Calculateur!AS147*VLOOKUP('Données projet'!$B$10,Paramètres!$A$1:$I$89,3,0)*0.475*44/12</f>
        <v>1.6991697284457961</v>
      </c>
      <c r="AW147" s="21">
        <f>EXP(-LN(2)/2)*AW146+(1-EXP(-LN(2)/2))/(LN(2)/2)*AQ147*AT147*VLOOKUP('Données projet'!$B$10,Paramètres!$A$1:$I$89,3,0)*0.475*44/12</f>
        <v>5.7450215943265852E-19</v>
      </c>
      <c r="AX147" s="21">
        <f t="shared" si="114"/>
        <v>34.905345424397638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319</v>
      </c>
      <c r="BE147" s="13">
        <f>BD147*VLOOKUP('Données projet'!$B$11,Paramètres!$A$1:$I$89,3,0)*VLOOKUP('Données projet'!$B$11,Paramètres!$A$1:$I$89,5,0)</f>
        <v>253.79640000000001</v>
      </c>
      <c r="BF147" s="13">
        <f t="shared" si="145"/>
        <v>61.39816832228076</v>
      </c>
      <c r="BG147" s="20">
        <f t="shared" si="115"/>
        <v>548.96387316130563</v>
      </c>
      <c r="BH147" s="59">
        <f t="shared" si="116"/>
        <v>842.29720649463889</v>
      </c>
      <c r="BI147" s="59">
        <f ca="1">AVERAGE(OFFSET($BH$3,0,0,'Données projet'!$E$11+1,1))-AVERAGE(OFFSET($H$3,0,0,'Données projet'!$E$11+1,1))</f>
        <v>279.49721661620544</v>
      </c>
      <c r="BJ147" s="59">
        <f t="shared" si="146"/>
        <v>275.18739333988754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14.969159498520007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14.969159498520007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732.99999999999966</v>
      </c>
      <c r="BZ147" s="13">
        <f>BY147*VLOOKUP('Données projet'!$B$12,Paramètres!$A$1:$I$89,3,0)*VLOOKUP('Données projet'!$B$12,Paramètres!$A$1:$I$89,5,0)</f>
        <v>352.57299999999987</v>
      </c>
      <c r="CA147" s="13">
        <f t="shared" si="147"/>
        <v>82.092092597941644</v>
      </c>
      <c r="CB147" s="20">
        <f t="shared" si="118"/>
        <v>757.04170294141477</v>
      </c>
      <c r="CC147" s="59">
        <f t="shared" si="119"/>
        <v>1050.375036274748</v>
      </c>
      <c r="CD147" s="59">
        <f ca="1">AVERAGE(OFFSET($CC$3,0,0,'Données projet'!$E$12+1,1))-AVERAGE(OFFSET($H$3,0,0,'Données projet'!$E$12+1,1))</f>
        <v>349.65790906807746</v>
      </c>
      <c r="CE147" s="59">
        <f t="shared" si="148"/>
        <v>291.88925884278888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35.617703802420287</v>
      </c>
      <c r="CL147" s="21">
        <f>EXP(-LN(2)/25)*CL146+(1-EXP(-LN(2)/25))/(LN(2)/25)*Calculateur!CG147*Calculateur!CI147*VLOOKUP('Données projet'!$B$12,Paramètres!$A$1:$I$89,3,0)*0.475*44/12</f>
        <v>1.7463688875692946</v>
      </c>
      <c r="CM147" s="21">
        <f>EXP(-LN(2)/2)*CM146+(1-EXP(-LN(2)/2))/(LN(2)/2)*CG147*CJ147*VLOOKUP('Données projet'!$B$12,Paramètres!$A$1:$I$89,3,0)*0.475*44/12</f>
        <v>3.5427633165013915E-19</v>
      </c>
      <c r="CN147" s="22">
        <f t="shared" si="120"/>
        <v>37.364072689989584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285.99999999999972</v>
      </c>
      <c r="CU147" s="17">
        <f>CT147*VLOOKUP('Données projet'!$B$13,Paramètres!$A$1:$I$89,3,0)*VLOOKUP('Données projet'!$B$13,Paramètres!$A$1:$I$89,5,0)</f>
        <v>223.07999999999979</v>
      </c>
      <c r="CV147" s="13">
        <f t="shared" si="149"/>
        <v>54.783765878062617</v>
      </c>
      <c r="CW147" s="20">
        <f t="shared" si="121"/>
        <v>483.94605890429199</v>
      </c>
      <c r="CX147" s="59">
        <f t="shared" si="122"/>
        <v>777.2793922376253</v>
      </c>
      <c r="CY147" s="59">
        <f ca="1">AVERAGE(OFFSET($CX$3,0,0,'Données projet'!$E$13+1,1))-AVERAGE(OFFSET($H$3,0,0,'Données projet'!$E$13+1,1))</f>
        <v>215.84581110302656</v>
      </c>
      <c r="CZ147" s="59">
        <f t="shared" si="150"/>
        <v>193.88588526156104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13.550434713021591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13.550434713021591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401</v>
      </c>
      <c r="O148" s="13">
        <f>N148*VLOOKUP('Données projet'!$B$9,Paramètres!$A$1:$I$89,3,0)*VLOOKUP('Données projet'!$B$9,Paramètres!$A$1:$I$89,5,0)</f>
        <v>250.22399999999999</v>
      </c>
      <c r="P148" s="13">
        <f t="shared" si="141"/>
        <v>60.633904580527918</v>
      </c>
      <c r="Q148" s="20">
        <f t="shared" si="108"/>
        <v>541.41085047775289</v>
      </c>
      <c r="R148" s="59">
        <f t="shared" si="109"/>
        <v>834.74418381108626</v>
      </c>
      <c r="S148" s="59">
        <f ca="1">AVERAGE(OFFSET($R$3,0,0,'Données projet'!$E$9+1,1))-AVERAGE(OFFSET($H$3,0,0,'Données projet'!$E$9+1,1))</f>
        <v>269.77739619445515</v>
      </c>
      <c r="T148" s="59">
        <f t="shared" si="142"/>
        <v>347.56964743629885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14.224374186254577</v>
      </c>
      <c r="AA148" s="21">
        <f>EXP(-LN(2)/25)*AA147+(1-EXP(-LN(2)/25))/(LN(2)/25)*Calculateur!V148*Calculateur!X148*VLOOKUP('Données projet'!$B$9,Paramètres!$A$1:$I$89,3,0)*0.475*44/12</f>
        <v>3.7829546263946496</v>
      </c>
      <c r="AB148" s="21">
        <f>EXP(-LN(2)/2)*AB147+(1-EXP(-LN(2)/2))/(LN(2)/2)*V148*Y148*VLOOKUP('Données projet'!$B$9,Paramètres!$A$1:$I$89,3,0)*0.475*44/12</f>
        <v>1.2187031182234427E-19</v>
      </c>
      <c r="AC148" s="22">
        <f t="shared" si="111"/>
        <v>18.007328812649227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735.00000000000011</v>
      </c>
      <c r="AJ148" s="13">
        <f>AI148*VLOOKUP('Données projet'!$B$10,Paramètres!$A$1:$I$89,3,0)*VLOOKUP('Données projet'!$B$10,Paramètres!$A$1:$I$89,5,0)</f>
        <v>343.98</v>
      </c>
      <c r="AK148" s="13">
        <f t="shared" si="143"/>
        <v>80.321681832084693</v>
      </c>
      <c r="AL148" s="20">
        <f t="shared" si="112"/>
        <v>738.9920958575475</v>
      </c>
      <c r="AM148" s="59">
        <f t="shared" si="113"/>
        <v>1032.3254291908809</v>
      </c>
      <c r="AN148" s="59">
        <f ca="1">AVERAGE(OFFSET($AM$3,0,0,'Données projet'!$E$10+1,1))-AVERAGE(OFFSET($H$3,0,0,'Données projet'!$E$10+1,1))</f>
        <v>342.49944586217674</v>
      </c>
      <c r="AO148" s="59">
        <f t="shared" si="144"/>
        <v>282.29766600872563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32.555022844321506</v>
      </c>
      <c r="AV148" s="21">
        <f>EXP(-LN(2)/25)*AV147+(1-EXP(-LN(2)/25))/(LN(2)/25)*Calculateur!AQ148*Calculateur!AS148*VLOOKUP('Données projet'!$B$10,Paramètres!$A$1:$I$89,3,0)*0.475*44/12</f>
        <v>1.6527058428659933</v>
      </c>
      <c r="AW148" s="21">
        <f>EXP(-LN(2)/2)*AW147+(1-EXP(-LN(2)/2))/(LN(2)/2)*AQ148*AT148*VLOOKUP('Données projet'!$B$10,Paramètres!$A$1:$I$89,3,0)*0.475*44/12</f>
        <v>4.0623437274114791E-19</v>
      </c>
      <c r="AX148" s="21">
        <f t="shared" si="114"/>
        <v>34.207728687187497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319</v>
      </c>
      <c r="BE148" s="13">
        <f>BD148*VLOOKUP('Données projet'!$B$11,Paramètres!$A$1:$I$89,3,0)*VLOOKUP('Données projet'!$B$11,Paramètres!$A$1:$I$89,5,0)</f>
        <v>253.79640000000001</v>
      </c>
      <c r="BF148" s="13">
        <f t="shared" si="145"/>
        <v>61.39816832228076</v>
      </c>
      <c r="BG148" s="20">
        <f t="shared" si="115"/>
        <v>548.96387316130563</v>
      </c>
      <c r="BH148" s="59">
        <f t="shared" si="116"/>
        <v>842.29720649463889</v>
      </c>
      <c r="BI148" s="59">
        <f ca="1">AVERAGE(OFFSET($BH$3,0,0,'Données projet'!$E$11+1,1))-AVERAGE(OFFSET($H$3,0,0,'Données projet'!$E$11+1,1))</f>
        <v>279.49721661620544</v>
      </c>
      <c r="BJ148" s="59">
        <f t="shared" si="146"/>
        <v>275.18739333988754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14.675623411039783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14.675623411039783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732.99999999999966</v>
      </c>
      <c r="BZ148" s="13">
        <f>BY148*VLOOKUP('Données projet'!$B$12,Paramètres!$A$1:$I$89,3,0)*VLOOKUP('Données projet'!$B$12,Paramètres!$A$1:$I$89,5,0)</f>
        <v>352.57299999999987</v>
      </c>
      <c r="CA148" s="13">
        <f t="shared" si="147"/>
        <v>82.092092597941644</v>
      </c>
      <c r="CB148" s="20">
        <f t="shared" si="118"/>
        <v>757.04170294141477</v>
      </c>
      <c r="CC148" s="59">
        <f t="shared" si="119"/>
        <v>1050.375036274748</v>
      </c>
      <c r="CD148" s="59">
        <f ca="1">AVERAGE(OFFSET($CC$3,0,0,'Données projet'!$E$12+1,1))-AVERAGE(OFFSET($H$3,0,0,'Données projet'!$E$12+1,1))</f>
        <v>349.65790906807746</v>
      </c>
      <c r="CE148" s="59">
        <f t="shared" si="148"/>
        <v>291.88925884278888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34.919262355509012</v>
      </c>
      <c r="CL148" s="21">
        <f>EXP(-LN(2)/25)*CL147+(1-EXP(-LN(2)/25))/(LN(2)/25)*Calculateur!CG148*Calculateur!CI148*VLOOKUP('Données projet'!$B$12,Paramètres!$A$1:$I$89,3,0)*0.475*44/12</f>
        <v>1.6986143385011638</v>
      </c>
      <c r="CM148" s="21">
        <f>EXP(-LN(2)/2)*CM147+(1-EXP(-LN(2)/2))/(LN(2)/2)*CG148*CJ148*VLOOKUP('Données projet'!$B$12,Paramètres!$A$1:$I$89,3,0)*0.475*44/12</f>
        <v>2.5051119652370769E-19</v>
      </c>
      <c r="CN148" s="22">
        <f t="shared" si="120"/>
        <v>36.617876694010178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285.99999999999972</v>
      </c>
      <c r="CU148" s="17">
        <f>CT148*VLOOKUP('Données projet'!$B$13,Paramètres!$A$1:$I$89,3,0)*VLOOKUP('Données projet'!$B$13,Paramètres!$A$1:$I$89,5,0)</f>
        <v>223.07999999999979</v>
      </c>
      <c r="CV148" s="13">
        <f t="shared" si="149"/>
        <v>54.783765878062617</v>
      </c>
      <c r="CW148" s="20">
        <f t="shared" si="121"/>
        <v>483.94605890429199</v>
      </c>
      <c r="CX148" s="59">
        <f t="shared" si="122"/>
        <v>777.2793922376253</v>
      </c>
      <c r="CY148" s="59">
        <f ca="1">AVERAGE(OFFSET($CX$3,0,0,'Données projet'!$E$13+1,1))-AVERAGE(OFFSET($H$3,0,0,'Données projet'!$E$13+1,1))</f>
        <v>215.84581110302656</v>
      </c>
      <c r="CZ148" s="59">
        <f t="shared" si="150"/>
        <v>193.88588526156104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13.284718953248317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13.284718953248317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401</v>
      </c>
      <c r="O149" s="13">
        <f>N149*VLOOKUP('Données projet'!$B$9,Paramètres!$A$1:$I$89,3,0)*VLOOKUP('Données projet'!$B$9,Paramètres!$A$1:$I$89,5,0)</f>
        <v>250.22399999999999</v>
      </c>
      <c r="P149" s="13">
        <f t="shared" si="141"/>
        <v>60.633904580527918</v>
      </c>
      <c r="Q149" s="20">
        <f t="shared" si="108"/>
        <v>541.41085047775289</v>
      </c>
      <c r="R149" s="59">
        <f t="shared" si="109"/>
        <v>834.74418381108626</v>
      </c>
      <c r="S149" s="59">
        <f ca="1">AVERAGE(OFFSET($R$3,0,0,'Données projet'!$E$9+1,1))-AVERAGE(OFFSET($H$3,0,0,'Données projet'!$E$9+1,1))</f>
        <v>269.77739619445515</v>
      </c>
      <c r="T149" s="59">
        <f t="shared" si="142"/>
        <v>347.56964743629885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13.945442884473694</v>
      </c>
      <c r="AA149" s="21">
        <f>EXP(-LN(2)/25)*AA148+(1-EXP(-LN(2)/25))/(LN(2)/25)*Calculateur!V149*Calculateur!X149*VLOOKUP('Données projet'!$B$9,Paramètres!$A$1:$I$89,3,0)*0.475*44/12</f>
        <v>3.6795095331989502</v>
      </c>
      <c r="AB149" s="21">
        <f>EXP(-LN(2)/2)*AB148+(1-EXP(-LN(2)/2))/(LN(2)/2)*V149*Y149*VLOOKUP('Données projet'!$B$9,Paramètres!$A$1:$I$89,3,0)*0.475*44/12</f>
        <v>8.6175323914898705E-20</v>
      </c>
      <c r="AC149" s="22">
        <f t="shared" si="111"/>
        <v>17.624952417672645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735.00000000000011</v>
      </c>
      <c r="AJ149" s="13">
        <f>AI149*VLOOKUP('Données projet'!$B$10,Paramètres!$A$1:$I$89,3,0)*VLOOKUP('Données projet'!$B$10,Paramètres!$A$1:$I$89,5,0)</f>
        <v>343.98</v>
      </c>
      <c r="AK149" s="13">
        <f t="shared" si="143"/>
        <v>80.321681832084693</v>
      </c>
      <c r="AL149" s="20">
        <f t="shared" si="112"/>
        <v>738.9920958575475</v>
      </c>
      <c r="AM149" s="59">
        <f t="shared" si="113"/>
        <v>1032.3254291908809</v>
      </c>
      <c r="AN149" s="59">
        <f ca="1">AVERAGE(OFFSET($AM$3,0,0,'Données projet'!$E$10+1,1))-AVERAGE(OFFSET($H$3,0,0,'Données projet'!$E$10+1,1))</f>
        <v>342.49944586217674</v>
      </c>
      <c r="AO149" s="59">
        <f t="shared" si="144"/>
        <v>282.29766600872563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31.916638702947619</v>
      </c>
      <c r="AV149" s="21">
        <f>EXP(-LN(2)/25)*AV148+(1-EXP(-LN(2)/25))/(LN(2)/25)*Calculateur!AQ149*Calculateur!AS149*VLOOKUP('Données projet'!$B$10,Paramètres!$A$1:$I$89,3,0)*0.475*44/12</f>
        <v>1.6075125146807998</v>
      </c>
      <c r="AW149" s="21">
        <f>EXP(-LN(2)/2)*AW148+(1-EXP(-LN(2)/2))/(LN(2)/2)*AQ149*AT149*VLOOKUP('Données projet'!$B$10,Paramètres!$A$1:$I$89,3,0)*0.475*44/12</f>
        <v>2.8725107971632926E-19</v>
      </c>
      <c r="AX149" s="21">
        <f t="shared" si="114"/>
        <v>33.524151217628422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319</v>
      </c>
      <c r="BE149" s="13">
        <f>BD149*VLOOKUP('Données projet'!$B$11,Paramètres!$A$1:$I$89,3,0)*VLOOKUP('Données projet'!$B$11,Paramètres!$A$1:$I$89,5,0)</f>
        <v>253.79640000000001</v>
      </c>
      <c r="BF149" s="13">
        <f t="shared" si="145"/>
        <v>61.39816832228076</v>
      </c>
      <c r="BG149" s="20">
        <f t="shared" si="115"/>
        <v>548.96387316130563</v>
      </c>
      <c r="BH149" s="59">
        <f t="shared" si="116"/>
        <v>842.29720649463889</v>
      </c>
      <c r="BI149" s="59">
        <f ca="1">AVERAGE(OFFSET($BH$3,0,0,'Données projet'!$E$11+1,1))-AVERAGE(OFFSET($H$3,0,0,'Données projet'!$E$11+1,1))</f>
        <v>279.49721661620544</v>
      </c>
      <c r="BJ149" s="59">
        <f t="shared" si="146"/>
        <v>275.18739333988754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14.387843387195712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14.387843387195712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732.99999999999966</v>
      </c>
      <c r="BZ149" s="13">
        <f>BY149*VLOOKUP('Données projet'!$B$12,Paramètres!$A$1:$I$89,3,0)*VLOOKUP('Données projet'!$B$12,Paramètres!$A$1:$I$89,5,0)</f>
        <v>352.57299999999987</v>
      </c>
      <c r="CA149" s="13">
        <f t="shared" si="147"/>
        <v>82.092092597941644</v>
      </c>
      <c r="CB149" s="20">
        <f t="shared" si="118"/>
        <v>757.04170294141477</v>
      </c>
      <c r="CC149" s="59">
        <f t="shared" si="119"/>
        <v>1050.375036274748</v>
      </c>
      <c r="CD149" s="59">
        <f ca="1">AVERAGE(OFFSET($CC$3,0,0,'Données projet'!$E$12+1,1))-AVERAGE(OFFSET($H$3,0,0,'Données projet'!$E$12+1,1))</f>
        <v>349.65790906807746</v>
      </c>
      <c r="CE149" s="59">
        <f t="shared" si="148"/>
        <v>291.88925884278888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34.234516919364452</v>
      </c>
      <c r="CL149" s="21">
        <f>EXP(-LN(2)/25)*CL148+(1-EXP(-LN(2)/25))/(LN(2)/25)*Calculateur!CG149*Calculateur!CI149*VLOOKUP('Données projet'!$B$12,Paramètres!$A$1:$I$89,3,0)*0.475*44/12</f>
        <v>1.6521656400886038</v>
      </c>
      <c r="CM149" s="21">
        <f>EXP(-LN(2)/2)*CM148+(1-EXP(-LN(2)/2))/(LN(2)/2)*CG149*CJ149*VLOOKUP('Données projet'!$B$12,Paramètres!$A$1:$I$89,3,0)*0.475*44/12</f>
        <v>1.7713816582506958E-19</v>
      </c>
      <c r="CN149" s="22">
        <f t="shared" si="120"/>
        <v>35.886682559453057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285.99999999999972</v>
      </c>
      <c r="CU149" s="17">
        <f>CT149*VLOOKUP('Données projet'!$B$13,Paramètres!$A$1:$I$89,3,0)*VLOOKUP('Données projet'!$B$13,Paramètres!$A$1:$I$89,5,0)</f>
        <v>223.07999999999979</v>
      </c>
      <c r="CV149" s="13">
        <f t="shared" si="149"/>
        <v>54.783765878062617</v>
      </c>
      <c r="CW149" s="20">
        <f t="shared" si="121"/>
        <v>483.94605890429199</v>
      </c>
      <c r="CX149" s="59">
        <f t="shared" si="122"/>
        <v>777.2793922376253</v>
      </c>
      <c r="CY149" s="59">
        <f ca="1">AVERAGE(OFFSET($CX$3,0,0,'Données projet'!$E$13+1,1))-AVERAGE(OFFSET($H$3,0,0,'Données projet'!$E$13+1,1))</f>
        <v>215.84581110302656</v>
      </c>
      <c r="CZ149" s="59">
        <f t="shared" si="150"/>
        <v>193.88588526156104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13.024213717453586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13.024213717453586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401</v>
      </c>
      <c r="O150" s="13">
        <f>N150*VLOOKUP('Données projet'!$B$9,Paramètres!$A$1:$I$89,3,0)*VLOOKUP('Données projet'!$B$9,Paramètres!$A$1:$I$89,5,0)</f>
        <v>250.22399999999999</v>
      </c>
      <c r="P150" s="13">
        <f t="shared" si="141"/>
        <v>60.633904580527918</v>
      </c>
      <c r="Q150" s="20">
        <f t="shared" si="108"/>
        <v>541.41085047775289</v>
      </c>
      <c r="R150" s="59">
        <f t="shared" si="109"/>
        <v>834.74418381108626</v>
      </c>
      <c r="S150" s="59">
        <f ca="1">AVERAGE(OFFSET($R$3,0,0,'Données projet'!$E$9+1,1))-AVERAGE(OFFSET($H$3,0,0,'Données projet'!$E$9+1,1))</f>
        <v>269.77739619445515</v>
      </c>
      <c r="T150" s="59">
        <f t="shared" si="142"/>
        <v>347.56964743629885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13.671981255389438</v>
      </c>
      <c r="AA150" s="21">
        <f>EXP(-LN(2)/25)*AA149+(1-EXP(-LN(2)/25))/(LN(2)/25)*Calculateur!V150*Calculateur!X150*VLOOKUP('Données projet'!$B$9,Paramètres!$A$1:$I$89,3,0)*0.475*44/12</f>
        <v>3.578893151516628</v>
      </c>
      <c r="AB150" s="21">
        <f>EXP(-LN(2)/2)*AB149+(1-EXP(-LN(2)/2))/(LN(2)/2)*V150*Y150*VLOOKUP('Données projet'!$B$9,Paramètres!$A$1:$I$89,3,0)*0.475*44/12</f>
        <v>6.0935155911172133E-20</v>
      </c>
      <c r="AC150" s="22">
        <f t="shared" si="111"/>
        <v>17.250874406906068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735.00000000000011</v>
      </c>
      <c r="AJ150" s="13">
        <f>AI150*VLOOKUP('Données projet'!$B$10,Paramètres!$A$1:$I$89,3,0)*VLOOKUP('Données projet'!$B$10,Paramètres!$A$1:$I$89,5,0)</f>
        <v>343.98</v>
      </c>
      <c r="AK150" s="13">
        <f t="shared" si="143"/>
        <v>80.321681832084693</v>
      </c>
      <c r="AL150" s="20">
        <f t="shared" si="112"/>
        <v>738.9920958575475</v>
      </c>
      <c r="AM150" s="59">
        <f t="shared" si="113"/>
        <v>1032.3254291908809</v>
      </c>
      <c r="AN150" s="59">
        <f ca="1">AVERAGE(OFFSET($AM$3,0,0,'Données projet'!$E$10+1,1))-AVERAGE(OFFSET($H$3,0,0,'Données projet'!$E$10+1,1))</f>
        <v>342.49944586217674</v>
      </c>
      <c r="AO150" s="59">
        <f t="shared" si="144"/>
        <v>282.29766600872563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31.290772885210195</v>
      </c>
      <c r="AV150" s="21">
        <f>EXP(-LN(2)/25)*AV149+(1-EXP(-LN(2)/25))/(LN(2)/25)*Calculateur!AQ150*Calculateur!AS150*VLOOKUP('Données projet'!$B$10,Paramètres!$A$1:$I$89,3,0)*0.475*44/12</f>
        <v>1.5635550004314442</v>
      </c>
      <c r="AW150" s="21">
        <f>EXP(-LN(2)/2)*AW149+(1-EXP(-LN(2)/2))/(LN(2)/2)*AQ150*AT150*VLOOKUP('Données projet'!$B$10,Paramètres!$A$1:$I$89,3,0)*0.475*44/12</f>
        <v>2.0311718637057395E-19</v>
      </c>
      <c r="AX150" s="21">
        <f t="shared" si="114"/>
        <v>32.854327885641638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319</v>
      </c>
      <c r="BE150" s="13">
        <f>BD150*VLOOKUP('Données projet'!$B$11,Paramètres!$A$1:$I$89,3,0)*VLOOKUP('Données projet'!$B$11,Paramètres!$A$1:$I$89,5,0)</f>
        <v>253.79640000000001</v>
      </c>
      <c r="BF150" s="13">
        <f t="shared" si="145"/>
        <v>61.39816832228076</v>
      </c>
      <c r="BG150" s="20">
        <f t="shared" si="115"/>
        <v>548.96387316130563</v>
      </c>
      <c r="BH150" s="59">
        <f t="shared" si="116"/>
        <v>842.29720649463889</v>
      </c>
      <c r="BI150" s="59">
        <f ca="1">AVERAGE(OFFSET($BH$3,0,0,'Données projet'!$E$11+1,1))-AVERAGE(OFFSET($H$3,0,0,'Données projet'!$E$11+1,1))</f>
        <v>279.49721661620544</v>
      </c>
      <c r="BJ150" s="59">
        <f t="shared" si="146"/>
        <v>275.18739333988754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14.105706554090741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14.105706554090741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732.99999999999966</v>
      </c>
      <c r="BZ150" s="13">
        <f>BY150*VLOOKUP('Données projet'!$B$12,Paramètres!$A$1:$I$89,3,0)*VLOOKUP('Données projet'!$B$12,Paramètres!$A$1:$I$89,5,0)</f>
        <v>352.57299999999987</v>
      </c>
      <c r="CA150" s="13">
        <f t="shared" si="147"/>
        <v>82.092092597941644</v>
      </c>
      <c r="CB150" s="20">
        <f t="shared" si="118"/>
        <v>757.04170294141477</v>
      </c>
      <c r="CC150" s="59">
        <f t="shared" si="119"/>
        <v>1050.375036274748</v>
      </c>
      <c r="CD150" s="59">
        <f ca="1">AVERAGE(OFFSET($CC$3,0,0,'Données projet'!$E$12+1,1))-AVERAGE(OFFSET($H$3,0,0,'Données projet'!$E$12+1,1))</f>
        <v>349.65790906807746</v>
      </c>
      <c r="CE150" s="59">
        <f t="shared" si="148"/>
        <v>291.88925884278888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33.56319892356921</v>
      </c>
      <c r="CL150" s="21">
        <f>EXP(-LN(2)/25)*CL149+(1-EXP(-LN(2)/25))/(LN(2)/25)*Calculateur!CG150*Calculateur!CI150*VLOOKUP('Données projet'!$B$12,Paramètres!$A$1:$I$89,3,0)*0.475*44/12</f>
        <v>1.6069870837767659</v>
      </c>
      <c r="CM150" s="21">
        <f>EXP(-LN(2)/2)*CM149+(1-EXP(-LN(2)/2))/(LN(2)/2)*CG150*CJ150*VLOOKUP('Données projet'!$B$12,Paramètres!$A$1:$I$89,3,0)*0.475*44/12</f>
        <v>1.2525559826185384E-19</v>
      </c>
      <c r="CN150" s="22">
        <f t="shared" si="120"/>
        <v>35.170186007345976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285.99999999999972</v>
      </c>
      <c r="CU150" s="17">
        <f>CT150*VLOOKUP('Données projet'!$B$13,Paramètres!$A$1:$I$89,3,0)*VLOOKUP('Données projet'!$B$13,Paramètres!$A$1:$I$89,5,0)</f>
        <v>223.07999999999979</v>
      </c>
      <c r="CV150" s="13">
        <f t="shared" si="149"/>
        <v>54.783765878062617</v>
      </c>
      <c r="CW150" s="20">
        <f t="shared" si="121"/>
        <v>483.94605890429199</v>
      </c>
      <c r="CX150" s="59">
        <f t="shared" si="122"/>
        <v>777.2793922376253</v>
      </c>
      <c r="CY150" s="59">
        <f ca="1">AVERAGE(OFFSET($CX$3,0,0,'Données projet'!$E$13+1,1))-AVERAGE(OFFSET($H$3,0,0,'Données projet'!$E$13+1,1))</f>
        <v>215.84581110302656</v>
      </c>
      <c r="CZ150" s="59">
        <f t="shared" si="150"/>
        <v>193.88588526156104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12.768816830440285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12.768816830440285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401</v>
      </c>
      <c r="O151" s="13">
        <f>N151*VLOOKUP('Données projet'!$B$9,Paramètres!$A$1:$I$89,3,0)*VLOOKUP('Données projet'!$B$9,Paramètres!$A$1:$I$89,5,0)</f>
        <v>250.22399999999999</v>
      </c>
      <c r="P151" s="13">
        <f t="shared" si="141"/>
        <v>60.633904580527918</v>
      </c>
      <c r="Q151" s="20">
        <f t="shared" si="108"/>
        <v>541.41085047775289</v>
      </c>
      <c r="R151" s="59">
        <f t="shared" si="109"/>
        <v>834.74418381108626</v>
      </c>
      <c r="S151" s="59">
        <f ca="1">AVERAGE(OFFSET($R$3,0,0,'Données projet'!$E$9+1,1))-AVERAGE(OFFSET($H$3,0,0,'Données projet'!$E$9+1,1))</f>
        <v>269.77739619445515</v>
      </c>
      <c r="T151" s="59">
        <f t="shared" si="142"/>
        <v>347.56964743629885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13.4038820420564</v>
      </c>
      <c r="AA151" s="21">
        <f>EXP(-LN(2)/25)*AA150+(1-EXP(-LN(2)/25))/(LN(2)/25)*Calculateur!V151*Calculateur!X151*VLOOKUP('Données projet'!$B$9,Paramètres!$A$1:$I$89,3,0)*0.475*44/12</f>
        <v>3.4810281300825947</v>
      </c>
      <c r="AB151" s="21">
        <f>EXP(-LN(2)/2)*AB150+(1-EXP(-LN(2)/2))/(LN(2)/2)*V151*Y151*VLOOKUP('Données projet'!$B$9,Paramètres!$A$1:$I$89,3,0)*0.475*44/12</f>
        <v>4.3087661957449353E-20</v>
      </c>
      <c r="AC151" s="22">
        <f t="shared" si="111"/>
        <v>16.884910172138994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735.00000000000011</v>
      </c>
      <c r="AJ151" s="13">
        <f>AI151*VLOOKUP('Données projet'!$B$10,Paramètres!$A$1:$I$89,3,0)*VLOOKUP('Données projet'!$B$10,Paramètres!$A$1:$I$89,5,0)</f>
        <v>343.98</v>
      </c>
      <c r="AK151" s="13">
        <f t="shared" si="143"/>
        <v>80.321681832084693</v>
      </c>
      <c r="AL151" s="20">
        <f t="shared" si="112"/>
        <v>738.9920958575475</v>
      </c>
      <c r="AM151" s="59">
        <f t="shared" si="113"/>
        <v>1032.3254291908809</v>
      </c>
      <c r="AN151" s="59">
        <f ca="1">AVERAGE(OFFSET($AM$3,0,0,'Données projet'!$E$10+1,1))-AVERAGE(OFFSET($H$3,0,0,'Données projet'!$E$10+1,1))</f>
        <v>342.49944586217674</v>
      </c>
      <c r="AO151" s="59">
        <f t="shared" si="144"/>
        <v>282.29766600872563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30.677179914418147</v>
      </c>
      <c r="AV151" s="21">
        <f>EXP(-LN(2)/25)*AV150+(1-EXP(-LN(2)/25))/(LN(2)/25)*Calculateur!AQ151*Calculateur!AS151*VLOOKUP('Données projet'!$B$10,Paramètres!$A$1:$I$89,3,0)*0.475*44/12</f>
        <v>1.5207995067208624</v>
      </c>
      <c r="AW151" s="21">
        <f>EXP(-LN(2)/2)*AW150+(1-EXP(-LN(2)/2))/(LN(2)/2)*AQ151*AT151*VLOOKUP('Données projet'!$B$10,Paramètres!$A$1:$I$89,3,0)*0.475*44/12</f>
        <v>1.4362553985816463E-19</v>
      </c>
      <c r="AX151" s="21">
        <f t="shared" si="114"/>
        <v>32.19797942113901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319</v>
      </c>
      <c r="BE151" s="13">
        <f>BD151*VLOOKUP('Données projet'!$B$11,Paramètres!$A$1:$I$89,3,0)*VLOOKUP('Données projet'!$B$11,Paramètres!$A$1:$I$89,5,0)</f>
        <v>253.79640000000001</v>
      </c>
      <c r="BF151" s="13">
        <f t="shared" si="145"/>
        <v>61.39816832228076</v>
      </c>
      <c r="BG151" s="20">
        <f t="shared" si="115"/>
        <v>548.96387316130563</v>
      </c>
      <c r="BH151" s="59">
        <f t="shared" si="116"/>
        <v>842.29720649463889</v>
      </c>
      <c r="BI151" s="59">
        <f ca="1">AVERAGE(OFFSET($BH$3,0,0,'Données projet'!$E$11+1,1))-AVERAGE(OFFSET($H$3,0,0,'Données projet'!$E$11+1,1))</f>
        <v>279.49721661620544</v>
      </c>
      <c r="BJ151" s="59">
        <f t="shared" si="146"/>
        <v>275.18739333988754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13.829102252196481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13.829102252196481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732.99999999999966</v>
      </c>
      <c r="BZ151" s="13">
        <f>BY151*VLOOKUP('Données projet'!$B$12,Paramètres!$A$1:$I$89,3,0)*VLOOKUP('Données projet'!$B$12,Paramètres!$A$1:$I$89,5,0)</f>
        <v>352.57299999999987</v>
      </c>
      <c r="CA151" s="13">
        <f t="shared" si="147"/>
        <v>82.092092597941644</v>
      </c>
      <c r="CB151" s="20">
        <f t="shared" si="118"/>
        <v>757.04170294141477</v>
      </c>
      <c r="CC151" s="59">
        <f t="shared" si="119"/>
        <v>1050.375036274748</v>
      </c>
      <c r="CD151" s="59">
        <f ca="1">AVERAGE(OFFSET($CC$3,0,0,'Données projet'!$E$12+1,1))-AVERAGE(OFFSET($H$3,0,0,'Données projet'!$E$12+1,1))</f>
        <v>349.65790906807746</v>
      </c>
      <c r="CE151" s="59">
        <f t="shared" si="148"/>
        <v>291.88925884278888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32.905045064207968</v>
      </c>
      <c r="CL151" s="21">
        <f>EXP(-LN(2)/25)*CL150+(1-EXP(-LN(2)/25))/(LN(2)/25)*Calculateur!CG151*Calculateur!CI151*VLOOKUP('Données projet'!$B$12,Paramètres!$A$1:$I$89,3,0)*0.475*44/12</f>
        <v>1.5630439374631124</v>
      </c>
      <c r="CM151" s="21">
        <f>EXP(-LN(2)/2)*CM150+(1-EXP(-LN(2)/2))/(LN(2)/2)*CG151*CJ151*VLOOKUP('Données projet'!$B$12,Paramètres!$A$1:$I$89,3,0)*0.475*44/12</f>
        <v>8.8569082912534788E-20</v>
      </c>
      <c r="CN151" s="22">
        <f t="shared" si="120"/>
        <v>34.468089001671082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285.99999999999972</v>
      </c>
      <c r="CU151" s="17">
        <f>CT151*VLOOKUP('Données projet'!$B$13,Paramètres!$A$1:$I$89,3,0)*VLOOKUP('Données projet'!$B$13,Paramètres!$A$1:$I$89,5,0)</f>
        <v>223.07999999999979</v>
      </c>
      <c r="CV151" s="13">
        <f t="shared" si="149"/>
        <v>54.783765878062617</v>
      </c>
      <c r="CW151" s="20">
        <f t="shared" si="121"/>
        <v>483.94605890429199</v>
      </c>
      <c r="CX151" s="59">
        <f t="shared" si="122"/>
        <v>777.2793922376253</v>
      </c>
      <c r="CY151" s="59">
        <f ca="1">AVERAGE(OFFSET($CX$3,0,0,'Données projet'!$E$13+1,1))-AVERAGE(OFFSET($H$3,0,0,'Données projet'!$E$13+1,1))</f>
        <v>215.84581110302656</v>
      </c>
      <c r="CZ151" s="59">
        <f t="shared" si="150"/>
        <v>193.88588526156104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12.518428120604595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12.518428120604595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401</v>
      </c>
      <c r="O152" s="13">
        <f>N152*VLOOKUP('Données projet'!$B$9,Paramètres!$A$1:$I$89,3,0)*VLOOKUP('Données projet'!$B$9,Paramètres!$A$1:$I$89,5,0)</f>
        <v>250.22399999999999</v>
      </c>
      <c r="P152" s="13">
        <f t="shared" si="141"/>
        <v>60.633904580527918</v>
      </c>
      <c r="Q152" s="20">
        <f t="shared" si="108"/>
        <v>541.41085047775289</v>
      </c>
      <c r="R152" s="59">
        <f t="shared" si="109"/>
        <v>834.74418381108626</v>
      </c>
      <c r="S152" s="59">
        <f ca="1">AVERAGE(OFFSET($R$3,0,0,'Données projet'!$E$9+1,1))-AVERAGE(OFFSET($H$3,0,0,'Données projet'!$E$9+1,1))</f>
        <v>269.77739619445515</v>
      </c>
      <c r="T152" s="59">
        <f t="shared" si="142"/>
        <v>347.56964743629885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13.141040090772451</v>
      </c>
      <c r="AA152" s="21">
        <f>EXP(-LN(2)/25)*AA151+(1-EXP(-LN(2)/25))/(LN(2)/25)*Calculateur!V152*Calculateur!X152*VLOOKUP('Données projet'!$B$9,Paramètres!$A$1:$I$89,3,0)*0.475*44/12</f>
        <v>3.3858392328061728</v>
      </c>
      <c r="AB152" s="21">
        <f>EXP(-LN(2)/2)*AB151+(1-EXP(-LN(2)/2))/(LN(2)/2)*V152*Y152*VLOOKUP('Données projet'!$B$9,Paramètres!$A$1:$I$89,3,0)*0.475*44/12</f>
        <v>3.0467577955586067E-20</v>
      </c>
      <c r="AC152" s="22">
        <f t="shared" si="111"/>
        <v>16.526879323578623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735.00000000000011</v>
      </c>
      <c r="AJ152" s="13">
        <f>AI152*VLOOKUP('Données projet'!$B$10,Paramètres!$A$1:$I$89,3,0)*VLOOKUP('Données projet'!$B$10,Paramètres!$A$1:$I$89,5,0)</f>
        <v>343.98</v>
      </c>
      <c r="AK152" s="13">
        <f t="shared" si="143"/>
        <v>80.321681832084693</v>
      </c>
      <c r="AL152" s="20">
        <f t="shared" si="112"/>
        <v>738.9920958575475</v>
      </c>
      <c r="AM152" s="59">
        <f t="shared" si="113"/>
        <v>1032.3254291908809</v>
      </c>
      <c r="AN152" s="59">
        <f ca="1">AVERAGE(OFFSET($AM$3,0,0,'Données projet'!$E$10+1,1))-AVERAGE(OFFSET($H$3,0,0,'Données projet'!$E$10+1,1))</f>
        <v>342.49944586217674</v>
      </c>
      <c r="AO152" s="59">
        <f t="shared" si="144"/>
        <v>282.29766600872563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30.075619127528576</v>
      </c>
      <c r="AV152" s="21">
        <f>EXP(-LN(2)/25)*AV151+(1-EXP(-LN(2)/25))/(LN(2)/25)*Calculateur!AQ152*Calculateur!AS152*VLOOKUP('Données projet'!$B$10,Paramètres!$A$1:$I$89,3,0)*0.475*44/12</f>
        <v>1.4792131642342101</v>
      </c>
      <c r="AW152" s="21">
        <f>EXP(-LN(2)/2)*AW151+(1-EXP(-LN(2)/2))/(LN(2)/2)*AQ152*AT152*VLOOKUP('Données projet'!$B$10,Paramètres!$A$1:$I$89,3,0)*0.475*44/12</f>
        <v>1.0155859318528698E-19</v>
      </c>
      <c r="AX152" s="21">
        <f t="shared" si="114"/>
        <v>31.554832291762786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319</v>
      </c>
      <c r="BE152" s="13">
        <f>BD152*VLOOKUP('Données projet'!$B$11,Paramètres!$A$1:$I$89,3,0)*VLOOKUP('Données projet'!$B$11,Paramètres!$A$1:$I$89,5,0)</f>
        <v>253.79640000000001</v>
      </c>
      <c r="BF152" s="13">
        <f t="shared" si="145"/>
        <v>61.39816832228076</v>
      </c>
      <c r="BG152" s="20">
        <f t="shared" si="115"/>
        <v>548.96387316130563</v>
      </c>
      <c r="BH152" s="59">
        <f t="shared" si="116"/>
        <v>842.29720649463889</v>
      </c>
      <c r="BI152" s="59">
        <f ca="1">AVERAGE(OFFSET($BH$3,0,0,'Données projet'!$E$11+1,1))-AVERAGE(OFFSET($H$3,0,0,'Données projet'!$E$11+1,1))</f>
        <v>279.49721661620544</v>
      </c>
      <c r="BJ152" s="59">
        <f t="shared" si="146"/>
        <v>275.18739333988754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13.557921991950403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13.557921991950403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732.99999999999966</v>
      </c>
      <c r="BZ152" s="13">
        <f>BY152*VLOOKUP('Données projet'!$B$12,Paramètres!$A$1:$I$89,3,0)*VLOOKUP('Données projet'!$B$12,Paramètres!$A$1:$I$89,5,0)</f>
        <v>352.57299999999987</v>
      </c>
      <c r="CA152" s="13">
        <f t="shared" si="147"/>
        <v>82.092092597941644</v>
      </c>
      <c r="CB152" s="20">
        <f t="shared" si="118"/>
        <v>757.04170294141477</v>
      </c>
      <c r="CC152" s="59">
        <f t="shared" si="119"/>
        <v>1050.375036274748</v>
      </c>
      <c r="CD152" s="59">
        <f ca="1">AVERAGE(OFFSET($CC$3,0,0,'Données projet'!$E$12+1,1))-AVERAGE(OFFSET($H$3,0,0,'Données projet'!$E$12+1,1))</f>
        <v>349.65790906807746</v>
      </c>
      <c r="CE152" s="59">
        <f t="shared" si="148"/>
        <v>291.88925884278888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32.259797200594583</v>
      </c>
      <c r="CL152" s="21">
        <f>EXP(-LN(2)/25)*CL151+(1-EXP(-LN(2)/25))/(LN(2)/25)*Calculateur!CG152*Calculateur!CI152*VLOOKUP('Données projet'!$B$12,Paramètres!$A$1:$I$89,3,0)*0.475*44/12</f>
        <v>1.5203024187962753</v>
      </c>
      <c r="CM152" s="21">
        <f>EXP(-LN(2)/2)*CM151+(1-EXP(-LN(2)/2))/(LN(2)/2)*CG152*CJ152*VLOOKUP('Données projet'!$B$12,Paramètres!$A$1:$I$89,3,0)*0.475*44/12</f>
        <v>6.2627799130926922E-20</v>
      </c>
      <c r="CN152" s="22">
        <f t="shared" si="120"/>
        <v>33.78009961939086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285.99999999999972</v>
      </c>
      <c r="CU152" s="17">
        <f>CT152*VLOOKUP('Données projet'!$B$13,Paramètres!$A$1:$I$89,3,0)*VLOOKUP('Données projet'!$B$13,Paramètres!$A$1:$I$89,5,0)</f>
        <v>223.07999999999979</v>
      </c>
      <c r="CV152" s="13">
        <f t="shared" si="149"/>
        <v>54.783765878062617</v>
      </c>
      <c r="CW152" s="20">
        <f t="shared" si="121"/>
        <v>483.94605890429199</v>
      </c>
      <c r="CX152" s="59">
        <f t="shared" si="122"/>
        <v>777.2793922376253</v>
      </c>
      <c r="CY152" s="59">
        <f ca="1">AVERAGE(OFFSET($CX$3,0,0,'Données projet'!$E$13+1,1))-AVERAGE(OFFSET($H$3,0,0,'Données projet'!$E$13+1,1))</f>
        <v>215.84581110302656</v>
      </c>
      <c r="CZ152" s="59">
        <f t="shared" si="150"/>
        <v>193.88588526156104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12.27294938064675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12.27294938064675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401</v>
      </c>
      <c r="O153" s="13">
        <f>N153*VLOOKUP('Données projet'!$B$9,Paramètres!$A$1:$I$89,3,0)*VLOOKUP('Données projet'!$B$9,Paramètres!$A$1:$I$89,5,0)</f>
        <v>250.22399999999999</v>
      </c>
      <c r="P153" s="13">
        <f t="shared" si="141"/>
        <v>60.633904580527918</v>
      </c>
      <c r="Q153" s="20">
        <f t="shared" si="108"/>
        <v>541.41085047775289</v>
      </c>
      <c r="R153" s="59">
        <f t="shared" si="109"/>
        <v>834.74418381108626</v>
      </c>
      <c r="S153" s="59">
        <f ca="1">AVERAGE(OFFSET($R$3,0,0,'Données projet'!$E$9+1,1))-AVERAGE(OFFSET($H$3,0,0,'Données projet'!$E$9+1,1))</f>
        <v>269.77739619445515</v>
      </c>
      <c r="T153" s="59">
        <f t="shared" si="142"/>
        <v>347.56964743629885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12.88335230983542</v>
      </c>
      <c r="AA153" s="21">
        <f>EXP(-LN(2)/25)*AA152+(1-EXP(-LN(2)/25))/(LN(2)/25)*Calculateur!V153*Calculateur!X153*VLOOKUP('Données projet'!$B$9,Paramètres!$A$1:$I$89,3,0)*0.475*44/12</f>
        <v>3.2932532809315411</v>
      </c>
      <c r="AB153" s="21">
        <f>EXP(-LN(2)/2)*AB152+(1-EXP(-LN(2)/2))/(LN(2)/2)*V153*Y153*VLOOKUP('Données projet'!$B$9,Paramètres!$A$1:$I$89,3,0)*0.475*44/12</f>
        <v>2.1543830978724676E-20</v>
      </c>
      <c r="AC153" s="22">
        <f t="shared" si="111"/>
        <v>16.176605590766961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735.00000000000011</v>
      </c>
      <c r="AJ153" s="13">
        <f>AI153*VLOOKUP('Données projet'!$B$10,Paramètres!$A$1:$I$89,3,0)*VLOOKUP('Données projet'!$B$10,Paramètres!$A$1:$I$89,5,0)</f>
        <v>343.98</v>
      </c>
      <c r="AK153" s="13">
        <f t="shared" si="143"/>
        <v>80.321681832084693</v>
      </c>
      <c r="AL153" s="20">
        <f t="shared" si="112"/>
        <v>738.9920958575475</v>
      </c>
      <c r="AM153" s="59">
        <f t="shared" si="113"/>
        <v>1032.3254291908809</v>
      </c>
      <c r="AN153" s="59">
        <f ca="1">AVERAGE(OFFSET($AM$3,0,0,'Données projet'!$E$10+1,1))-AVERAGE(OFFSET($H$3,0,0,'Données projet'!$E$10+1,1))</f>
        <v>342.49944586217674</v>
      </c>
      <c r="AO153" s="59">
        <f t="shared" si="144"/>
        <v>282.29766600872563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29.485854580754058</v>
      </c>
      <c r="AV153" s="21">
        <f>EXP(-LN(2)/25)*AV152+(1-EXP(-LN(2)/25))/(LN(2)/25)*Calculateur!AQ153*Calculateur!AS153*VLOOKUP('Données projet'!$B$10,Paramètres!$A$1:$I$89,3,0)*0.475*44/12</f>
        <v>1.4387640024697861</v>
      </c>
      <c r="AW153" s="21">
        <f>EXP(-LN(2)/2)*AW152+(1-EXP(-LN(2)/2))/(LN(2)/2)*AQ153*AT153*VLOOKUP('Données projet'!$B$10,Paramètres!$A$1:$I$89,3,0)*0.475*44/12</f>
        <v>7.1812769929082314E-20</v>
      </c>
      <c r="AX153" s="21">
        <f t="shared" si="114"/>
        <v>30.924618583223843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319</v>
      </c>
      <c r="BE153" s="13">
        <f>BD153*VLOOKUP('Données projet'!$B$11,Paramètres!$A$1:$I$89,3,0)*VLOOKUP('Données projet'!$B$11,Paramètres!$A$1:$I$89,5,0)</f>
        <v>253.79640000000001</v>
      </c>
      <c r="BF153" s="13">
        <f t="shared" si="145"/>
        <v>61.39816832228076</v>
      </c>
      <c r="BG153" s="20">
        <f t="shared" si="115"/>
        <v>548.96387316130563</v>
      </c>
      <c r="BH153" s="59">
        <f t="shared" si="116"/>
        <v>842.29720649463889</v>
      </c>
      <c r="BI153" s="59">
        <f ca="1">AVERAGE(OFFSET($BH$3,0,0,'Données projet'!$E$11+1,1))-AVERAGE(OFFSET($H$3,0,0,'Données projet'!$E$11+1,1))</f>
        <v>279.49721661620544</v>
      </c>
      <c r="BJ153" s="59">
        <f t="shared" si="146"/>
        <v>275.18739333988754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13.292059411204123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13.292059411204123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732.99999999999966</v>
      </c>
      <c r="BZ153" s="13">
        <f>BY153*VLOOKUP('Données projet'!$B$12,Paramètres!$A$1:$I$89,3,0)*VLOOKUP('Données projet'!$B$12,Paramètres!$A$1:$I$89,5,0)</f>
        <v>352.57299999999987</v>
      </c>
      <c r="CA153" s="13">
        <f t="shared" si="147"/>
        <v>82.092092597941644</v>
      </c>
      <c r="CB153" s="20">
        <f t="shared" si="118"/>
        <v>757.04170294141477</v>
      </c>
      <c r="CC153" s="59">
        <f t="shared" si="119"/>
        <v>1050.375036274748</v>
      </c>
      <c r="CD153" s="59">
        <f ca="1">AVERAGE(OFFSET($CC$3,0,0,'Données projet'!$E$12+1,1))-AVERAGE(OFFSET($H$3,0,0,'Données projet'!$E$12+1,1))</f>
        <v>349.65790906807746</v>
      </c>
      <c r="CE153" s="59">
        <f t="shared" si="148"/>
        <v>291.88925884278888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31.627202254024319</v>
      </c>
      <c r="CL153" s="21">
        <f>EXP(-LN(2)/25)*CL152+(1-EXP(-LN(2)/25))/(LN(2)/25)*Calculateur!CG153*Calculateur!CI153*VLOOKUP('Données projet'!$B$12,Paramètres!$A$1:$I$89,3,0)*0.475*44/12</f>
        <v>1.4787296692050615</v>
      </c>
      <c r="CM153" s="21">
        <f>EXP(-LN(2)/2)*CM152+(1-EXP(-LN(2)/2))/(LN(2)/2)*CG153*CJ153*VLOOKUP('Données projet'!$B$12,Paramètres!$A$1:$I$89,3,0)*0.475*44/12</f>
        <v>4.4284541456267394E-20</v>
      </c>
      <c r="CN153" s="22">
        <f t="shared" si="120"/>
        <v>33.105931923229377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285.99999999999972</v>
      </c>
      <c r="CU153" s="17">
        <f>CT153*VLOOKUP('Données projet'!$B$13,Paramètres!$A$1:$I$89,3,0)*VLOOKUP('Données projet'!$B$13,Paramètres!$A$1:$I$89,5,0)</f>
        <v>223.07999999999979</v>
      </c>
      <c r="CV153" s="13">
        <f t="shared" si="149"/>
        <v>54.783765878062617</v>
      </c>
      <c r="CW153" s="20">
        <f t="shared" si="121"/>
        <v>483.94605890429199</v>
      </c>
      <c r="CX153" s="59">
        <f t="shared" si="122"/>
        <v>777.2793922376253</v>
      </c>
      <c r="CY153" s="59">
        <f ca="1">AVERAGE(OFFSET($CX$3,0,0,'Données projet'!$E$13+1,1))-AVERAGE(OFFSET($H$3,0,0,'Données projet'!$E$13+1,1))</f>
        <v>215.84581110302656</v>
      </c>
      <c r="CZ153" s="59">
        <f t="shared" si="150"/>
        <v>193.88588526156104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12.032284329052231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12.032284329052231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401</v>
      </c>
      <c r="O154" s="13">
        <f>N154*VLOOKUP('Données projet'!$B$9,Paramètres!$A$1:$I$89,3,0)*VLOOKUP('Données projet'!$B$9,Paramètres!$A$1:$I$89,5,0)</f>
        <v>250.22399999999999</v>
      </c>
      <c r="P154" s="13">
        <f t="shared" si="141"/>
        <v>60.633904580527918</v>
      </c>
      <c r="Q154" s="20">
        <f t="shared" ref="Q154:Q203" si="162">(O154+P154)*0.475*44/12</f>
        <v>541.41085047775289</v>
      </c>
      <c r="R154" s="59">
        <f t="shared" si="109"/>
        <v>834.74418381108626</v>
      </c>
      <c r="S154" s="59">
        <f ca="1">AVERAGE(OFFSET($R$3,0,0,'Données projet'!$E$9+1,1))-AVERAGE(OFFSET($H$3,0,0,'Données projet'!$E$9+1,1))</f>
        <v>269.77739619445515</v>
      </c>
      <c r="T154" s="59">
        <f t="shared" si="142"/>
        <v>347.56964743629885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12.630717629108537</v>
      </c>
      <c r="AA154" s="21">
        <f>EXP(-LN(2)/25)*AA153+(1-EXP(-LN(2)/25))/(LN(2)/25)*Calculateur!V154*Calculateur!X154*VLOOKUP('Données projet'!$B$9,Paramètres!$A$1:$I$89,3,0)*0.475*44/12</f>
        <v>3.2031990967798047</v>
      </c>
      <c r="AB154" s="21">
        <f>EXP(-LN(2)/2)*AB153+(1-EXP(-LN(2)/2))/(LN(2)/2)*V154*Y154*VLOOKUP('Données projet'!$B$9,Paramètres!$A$1:$I$89,3,0)*0.475*44/12</f>
        <v>1.5233788977793033E-20</v>
      </c>
      <c r="AC154" s="22">
        <f t="shared" ref="AC154:AC203" si="163">SUM(Z154:AB154)</f>
        <v>15.833916725888342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735.00000000000011</v>
      </c>
      <c r="AJ154" s="13">
        <f>AI154*VLOOKUP('Données projet'!$B$10,Paramètres!$A$1:$I$89,3,0)*VLOOKUP('Données projet'!$B$10,Paramètres!$A$1:$I$89,5,0)</f>
        <v>343.98</v>
      </c>
      <c r="AK154" s="13">
        <f t="shared" ref="AK154:AK203" si="164">EXP(-1.0587+0.8836*LN(AJ154)+0.284)</f>
        <v>80.321681832084693</v>
      </c>
      <c r="AL154" s="20">
        <f t="shared" ref="AL154:AL203" si="165">(AJ154+AK154)*0.475*44/12</f>
        <v>738.9920958575475</v>
      </c>
      <c r="AM154" s="59">
        <f t="shared" si="113"/>
        <v>1032.3254291908809</v>
      </c>
      <c r="AN154" s="59">
        <f ca="1">AVERAGE(OFFSET($AM$3,0,0,'Données projet'!$E$10+1,1))-AVERAGE(OFFSET($H$3,0,0,'Données projet'!$E$10+1,1))</f>
        <v>342.49944586217674</v>
      </c>
      <c r="AO154" s="59">
        <f t="shared" si="144"/>
        <v>282.29766600872563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28.907654957020934</v>
      </c>
      <c r="AV154" s="21">
        <f>EXP(-LN(2)/25)*AV153+(1-EXP(-LN(2)/25))/(LN(2)/25)*Calculateur!AQ154*Calculateur!AS154*VLOOKUP('Données projet'!$B$10,Paramètres!$A$1:$I$89,3,0)*0.475*44/12</f>
        <v>1.3994209251609393</v>
      </c>
      <c r="AW154" s="21">
        <f>EXP(-LN(2)/2)*AW153+(1-EXP(-LN(2)/2))/(LN(2)/2)*AQ154*AT154*VLOOKUP('Données projet'!$B$10,Paramètres!$A$1:$I$89,3,0)*0.475*44/12</f>
        <v>5.0779296592643489E-20</v>
      </c>
      <c r="AX154" s="21">
        <f t="shared" ref="AX154:AX203" si="166">SUM(AU154:AW154)</f>
        <v>30.307075882181874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319</v>
      </c>
      <c r="BE154" s="13">
        <f>BD154*VLOOKUP('Données projet'!$B$11,Paramètres!$A$1:$I$89,3,0)*VLOOKUP('Données projet'!$B$11,Paramètres!$A$1:$I$89,5,0)</f>
        <v>253.79640000000001</v>
      </c>
      <c r="BF154" s="13">
        <f t="shared" ref="BF154:BF203" si="167">EXP(-1.0587+0.8836*LN(BE154)+0.284)</f>
        <v>61.39816832228076</v>
      </c>
      <c r="BG154" s="20">
        <f t="shared" ref="BG154:BG203" si="168">(BE154+BF154)*0.475*44/12</f>
        <v>548.96387316130563</v>
      </c>
      <c r="BH154" s="59">
        <f t="shared" si="116"/>
        <v>842.29720649463889</v>
      </c>
      <c r="BI154" s="59">
        <f ca="1">AVERAGE(OFFSET($BH$3,0,0,'Données projet'!$E$11+1,1))-AVERAGE(OFFSET($H$3,0,0,'Données projet'!$E$11+1,1))</f>
        <v>279.49721661620544</v>
      </c>
      <c r="BJ154" s="59">
        <f t="shared" si="146"/>
        <v>275.18739333988754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13.031410233506117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13.031410233506117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732.99999999999966</v>
      </c>
      <c r="BZ154" s="13">
        <f>BY154*VLOOKUP('Données projet'!$B$12,Paramètres!$A$1:$I$89,3,0)*VLOOKUP('Données projet'!$B$12,Paramètres!$A$1:$I$89,5,0)</f>
        <v>352.57299999999987</v>
      </c>
      <c r="CA154" s="13">
        <f t="shared" ref="CA154:CA203" si="170">EXP(-1.0587+0.8836*LN(BZ154)+0.284)</f>
        <v>82.092092597941644</v>
      </c>
      <c r="CB154" s="20">
        <f t="shared" ref="CB154:CB203" si="171">(BZ154+CA154)*0.475*44/12</f>
        <v>757.04170294141477</v>
      </c>
      <c r="CC154" s="59">
        <f t="shared" si="119"/>
        <v>1050.375036274748</v>
      </c>
      <c r="CD154" s="59">
        <f ca="1">AVERAGE(OFFSET($CC$3,0,0,'Données projet'!$E$12+1,1))-AVERAGE(OFFSET($H$3,0,0,'Données projet'!$E$12+1,1))</f>
        <v>349.65790906807746</v>
      </c>
      <c r="CE154" s="59">
        <f t="shared" si="148"/>
        <v>291.88925884278888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31.007012108511478</v>
      </c>
      <c r="CL154" s="21">
        <f>EXP(-LN(2)/25)*CL153+(1-EXP(-LN(2)/25))/(LN(2)/25)*Calculateur!CG154*Calculateur!CI154*VLOOKUP('Données projet'!$B$12,Paramètres!$A$1:$I$89,3,0)*0.475*44/12</f>
        <v>1.4382937286376356</v>
      </c>
      <c r="CM154" s="21">
        <f>EXP(-LN(2)/2)*CM153+(1-EXP(-LN(2)/2))/(LN(2)/2)*CG154*CJ154*VLOOKUP('Données projet'!$B$12,Paramètres!$A$1:$I$89,3,0)*0.475*44/12</f>
        <v>3.1313899565463461E-20</v>
      </c>
      <c r="CN154" s="22">
        <f t="shared" ref="CN154:CN203" si="172">SUM(CK154:CM154)</f>
        <v>32.445305837149114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285.99999999999972</v>
      </c>
      <c r="CU154" s="17">
        <f>CT154*VLOOKUP('Données projet'!$B$13,Paramètres!$A$1:$I$89,3,0)*VLOOKUP('Données projet'!$B$13,Paramètres!$A$1:$I$89,5,0)</f>
        <v>223.07999999999979</v>
      </c>
      <c r="CV154" s="13">
        <f t="shared" ref="CV154:CV203" si="173">EXP(-1.0587+0.8836*LN(CU154)+0.284)</f>
        <v>54.783765878062617</v>
      </c>
      <c r="CW154" s="20">
        <f t="shared" ref="CW154:CW203" si="174">(CU154+CV154)*0.475*44/12</f>
        <v>483.94605890429199</v>
      </c>
      <c r="CX154" s="59">
        <f t="shared" si="122"/>
        <v>777.2793922376253</v>
      </c>
      <c r="CY154" s="59">
        <f ca="1">AVERAGE(OFFSET($CX$3,0,0,'Données projet'!$E$13+1,1))-AVERAGE(OFFSET($H$3,0,0,'Données projet'!$E$13+1,1))</f>
        <v>215.84581110302656</v>
      </c>
      <c r="CZ154" s="59">
        <f t="shared" si="150"/>
        <v>193.88588526156104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11.796338572328295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11.796338572328295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401</v>
      </c>
      <c r="O155" s="13">
        <f>N155*VLOOKUP('Données projet'!$B$9,Paramètres!$A$1:$I$89,3,0)*VLOOKUP('Données projet'!$B$9,Paramètres!$A$1:$I$89,5,0)</f>
        <v>250.22399999999999</v>
      </c>
      <c r="P155" s="13">
        <f t="shared" si="141"/>
        <v>60.633904580527918</v>
      </c>
      <c r="Q155" s="20">
        <f t="shared" si="162"/>
        <v>541.41085047775289</v>
      </c>
      <c r="R155" s="59">
        <f t="shared" si="109"/>
        <v>834.74418381108626</v>
      </c>
      <c r="S155" s="59">
        <f ca="1">AVERAGE(OFFSET($R$3,0,0,'Données projet'!$E$9+1,1))-AVERAGE(OFFSET($H$3,0,0,'Données projet'!$E$9+1,1))</f>
        <v>269.77739619445515</v>
      </c>
      <c r="T155" s="59">
        <f t="shared" si="142"/>
        <v>347.56964743629885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12.383036960378767</v>
      </c>
      <c r="AA155" s="21">
        <f>EXP(-LN(2)/25)*AA154+(1-EXP(-LN(2)/25))/(LN(2)/25)*Calculateur!V155*Calculateur!X155*VLOOKUP('Données projet'!$B$9,Paramètres!$A$1:$I$89,3,0)*0.475*44/12</f>
        <v>3.1156074490294414</v>
      </c>
      <c r="AB155" s="21">
        <f>EXP(-LN(2)/2)*AB154+(1-EXP(-LN(2)/2))/(LN(2)/2)*V155*Y155*VLOOKUP('Données projet'!$B$9,Paramètres!$A$1:$I$89,3,0)*0.475*44/12</f>
        <v>1.0771915489362338E-20</v>
      </c>
      <c r="AC155" s="22">
        <f t="shared" si="163"/>
        <v>15.498644409408209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735.00000000000011</v>
      </c>
      <c r="AJ155" s="13">
        <f>AI155*VLOOKUP('Données projet'!$B$10,Paramètres!$A$1:$I$89,3,0)*VLOOKUP('Données projet'!$B$10,Paramètres!$A$1:$I$89,5,0)</f>
        <v>343.98</v>
      </c>
      <c r="AK155" s="13">
        <f t="shared" si="164"/>
        <v>80.321681832084693</v>
      </c>
      <c r="AL155" s="20">
        <f t="shared" si="165"/>
        <v>738.9920958575475</v>
      </c>
      <c r="AM155" s="59">
        <f t="shared" si="113"/>
        <v>1032.3254291908809</v>
      </c>
      <c r="AN155" s="59">
        <f ca="1">AVERAGE(OFFSET($AM$3,0,0,'Données projet'!$E$10+1,1))-AVERAGE(OFFSET($H$3,0,0,'Données projet'!$E$10+1,1))</f>
        <v>342.49944586217674</v>
      </c>
      <c r="AO155" s="59">
        <f t="shared" si="144"/>
        <v>282.29766600872563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28.340793475242268</v>
      </c>
      <c r="AV155" s="21">
        <f>EXP(-LN(2)/25)*AV154+(1-EXP(-LN(2)/25))/(LN(2)/25)*Calculateur!AQ155*Calculateur!AS155*VLOOKUP('Données projet'!$B$10,Paramètres!$A$1:$I$89,3,0)*0.475*44/12</f>
        <v>1.3611536863700653</v>
      </c>
      <c r="AW155" s="21">
        <f>EXP(-LN(2)/2)*AW154+(1-EXP(-LN(2)/2))/(LN(2)/2)*AQ155*AT155*VLOOKUP('Données projet'!$B$10,Paramètres!$A$1:$I$89,3,0)*0.475*44/12</f>
        <v>3.5906384964541157E-20</v>
      </c>
      <c r="AX155" s="21">
        <f t="shared" si="166"/>
        <v>29.701947161612335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319</v>
      </c>
      <c r="BE155" s="13">
        <f>BD155*VLOOKUP('Données projet'!$B$11,Paramètres!$A$1:$I$89,3,0)*VLOOKUP('Données projet'!$B$11,Paramètres!$A$1:$I$89,5,0)</f>
        <v>253.79640000000001</v>
      </c>
      <c r="BF155" s="13">
        <f t="shared" si="167"/>
        <v>61.39816832228076</v>
      </c>
      <c r="BG155" s="20">
        <f t="shared" si="168"/>
        <v>548.96387316130563</v>
      </c>
      <c r="BH155" s="59">
        <f t="shared" si="116"/>
        <v>842.29720649463889</v>
      </c>
      <c r="BI155" s="59">
        <f ca="1">AVERAGE(OFFSET($BH$3,0,0,'Données projet'!$E$11+1,1))-AVERAGE(OFFSET($H$3,0,0,'Données projet'!$E$11+1,1))</f>
        <v>279.49721661620544</v>
      </c>
      <c r="BJ155" s="59">
        <f t="shared" si="146"/>
        <v>275.18739333988754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12.775872227202468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12.775872227202468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732.99999999999966</v>
      </c>
      <c r="BZ155" s="13">
        <f>BY155*VLOOKUP('Données projet'!$B$12,Paramètres!$A$1:$I$89,3,0)*VLOOKUP('Données projet'!$B$12,Paramètres!$A$1:$I$89,5,0)</f>
        <v>352.57299999999987</v>
      </c>
      <c r="CA155" s="13">
        <f t="shared" si="170"/>
        <v>82.092092597941644</v>
      </c>
      <c r="CB155" s="20">
        <f t="shared" si="171"/>
        <v>757.04170294141477</v>
      </c>
      <c r="CC155" s="59">
        <f t="shared" si="119"/>
        <v>1050.375036274748</v>
      </c>
      <c r="CD155" s="59">
        <f ca="1">AVERAGE(OFFSET($CC$3,0,0,'Données projet'!$E$12+1,1))-AVERAGE(OFFSET($H$3,0,0,'Données projet'!$E$12+1,1))</f>
        <v>349.65790906807746</v>
      </c>
      <c r="CE155" s="59">
        <f t="shared" si="148"/>
        <v>291.88925884278888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30.39898351347351</v>
      </c>
      <c r="CL155" s="21">
        <f>EXP(-LN(2)/25)*CL154+(1-EXP(-LN(2)/25))/(LN(2)/25)*Calculateur!CG155*Calculateur!CI155*VLOOKUP('Données projet'!$B$12,Paramètres!$A$1:$I$89,3,0)*0.475*44/12</f>
        <v>1.3989635109914595</v>
      </c>
      <c r="CM155" s="21">
        <f>EXP(-LN(2)/2)*CM154+(1-EXP(-LN(2)/2))/(LN(2)/2)*CG155*CJ155*VLOOKUP('Données projet'!$B$12,Paramètres!$A$1:$I$89,3,0)*0.475*44/12</f>
        <v>2.2142270728133697E-20</v>
      </c>
      <c r="CN155" s="22">
        <f t="shared" si="172"/>
        <v>31.797947024464971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285.99999999999972</v>
      </c>
      <c r="CU155" s="17">
        <f>CT155*VLOOKUP('Données projet'!$B$13,Paramètres!$A$1:$I$89,3,0)*VLOOKUP('Données projet'!$B$13,Paramètres!$A$1:$I$89,5,0)</f>
        <v>223.07999999999979</v>
      </c>
      <c r="CV155" s="13">
        <f t="shared" si="173"/>
        <v>54.783765878062617</v>
      </c>
      <c r="CW155" s="20">
        <f t="shared" si="174"/>
        <v>483.94605890429199</v>
      </c>
      <c r="CX155" s="59">
        <f t="shared" si="122"/>
        <v>777.2793922376253</v>
      </c>
      <c r="CY155" s="59">
        <f ca="1">AVERAGE(OFFSET($CX$3,0,0,'Données projet'!$E$13+1,1))-AVERAGE(OFFSET($H$3,0,0,'Données projet'!$E$13+1,1))</f>
        <v>215.84581110302656</v>
      </c>
      <c r="CZ155" s="59">
        <f t="shared" si="150"/>
        <v>193.88588526156104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11.565019567981015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11.565019567981015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401</v>
      </c>
      <c r="O156" s="13">
        <f>N156*VLOOKUP('Données projet'!$B$9,Paramètres!$A$1:$I$89,3,0)*VLOOKUP('Données projet'!$B$9,Paramètres!$A$1:$I$89,5,0)</f>
        <v>250.22399999999999</v>
      </c>
      <c r="P156" s="13">
        <f t="shared" si="141"/>
        <v>60.633904580527918</v>
      </c>
      <c r="Q156" s="20">
        <f t="shared" si="162"/>
        <v>541.41085047775289</v>
      </c>
      <c r="R156" s="59">
        <f t="shared" si="109"/>
        <v>834.74418381108626</v>
      </c>
      <c r="S156" s="59">
        <f ca="1">AVERAGE(OFFSET($R$3,0,0,'Données projet'!$E$9+1,1))-AVERAGE(OFFSET($H$3,0,0,'Données projet'!$E$9+1,1))</f>
        <v>269.77739619445515</v>
      </c>
      <c r="T156" s="59">
        <f t="shared" si="142"/>
        <v>347.56964743629885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12.140213158492498</v>
      </c>
      <c r="AA156" s="21">
        <f>EXP(-LN(2)/25)*AA155+(1-EXP(-LN(2)/25))/(LN(2)/25)*Calculateur!V156*Calculateur!X156*VLOOKUP('Données projet'!$B$9,Paramètres!$A$1:$I$89,3,0)*0.475*44/12</f>
        <v>3.0304109994930566</v>
      </c>
      <c r="AB156" s="21">
        <f>EXP(-LN(2)/2)*AB155+(1-EXP(-LN(2)/2))/(LN(2)/2)*V156*Y156*VLOOKUP('Données projet'!$B$9,Paramètres!$A$1:$I$89,3,0)*0.475*44/12</f>
        <v>7.6168944888965167E-21</v>
      </c>
      <c r="AC156" s="22">
        <f t="shared" si="163"/>
        <v>15.170624157985555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735.00000000000011</v>
      </c>
      <c r="AJ156" s="13">
        <f>AI156*VLOOKUP('Données projet'!$B$10,Paramètres!$A$1:$I$89,3,0)*VLOOKUP('Données projet'!$B$10,Paramètres!$A$1:$I$89,5,0)</f>
        <v>343.98</v>
      </c>
      <c r="AK156" s="13">
        <f t="shared" si="164"/>
        <v>80.321681832084693</v>
      </c>
      <c r="AL156" s="20">
        <f t="shared" si="165"/>
        <v>738.9920958575475</v>
      </c>
      <c r="AM156" s="59">
        <f t="shared" si="113"/>
        <v>1032.3254291908809</v>
      </c>
      <c r="AN156" s="59">
        <f ca="1">AVERAGE(OFFSET($AM$3,0,0,'Données projet'!$E$10+1,1))-AVERAGE(OFFSET($H$3,0,0,'Données projet'!$E$10+1,1))</f>
        <v>342.49944586217674</v>
      </c>
      <c r="AO156" s="59">
        <f t="shared" si="144"/>
        <v>282.29766600872563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27.78504780136992</v>
      </c>
      <c r="AV156" s="21">
        <f>EXP(-LN(2)/25)*AV155+(1-EXP(-LN(2)/25))/(LN(2)/25)*Calculateur!AQ156*Calculateur!AS156*VLOOKUP('Données projet'!$B$10,Paramètres!$A$1:$I$89,3,0)*0.475*44/12</f>
        <v>1.3239328672363144</v>
      </c>
      <c r="AW156" s="21">
        <f>EXP(-LN(2)/2)*AW155+(1-EXP(-LN(2)/2))/(LN(2)/2)*AQ156*AT156*VLOOKUP('Données projet'!$B$10,Paramètres!$A$1:$I$89,3,0)*0.475*44/12</f>
        <v>2.5389648296321744E-20</v>
      </c>
      <c r="AX156" s="21">
        <f t="shared" si="166"/>
        <v>29.108980668606236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319</v>
      </c>
      <c r="BE156" s="13">
        <f>BD156*VLOOKUP('Données projet'!$B$11,Paramètres!$A$1:$I$89,3,0)*VLOOKUP('Données projet'!$B$11,Paramètres!$A$1:$I$89,5,0)</f>
        <v>253.79640000000001</v>
      </c>
      <c r="BF156" s="13">
        <f t="shared" si="167"/>
        <v>61.39816832228076</v>
      </c>
      <c r="BG156" s="20">
        <f t="shared" si="168"/>
        <v>548.96387316130563</v>
      </c>
      <c r="BH156" s="59">
        <f t="shared" si="116"/>
        <v>842.29720649463889</v>
      </c>
      <c r="BI156" s="59">
        <f ca="1">AVERAGE(OFFSET($BH$3,0,0,'Données projet'!$E$11+1,1))-AVERAGE(OFFSET($H$3,0,0,'Données projet'!$E$11+1,1))</f>
        <v>279.49721661620544</v>
      </c>
      <c r="BJ156" s="59">
        <f t="shared" si="146"/>
        <v>275.18739333988754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12.52534516533964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12.52534516533964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732.99999999999966</v>
      </c>
      <c r="BZ156" s="13">
        <f>BY156*VLOOKUP('Données projet'!$B$12,Paramètres!$A$1:$I$89,3,0)*VLOOKUP('Données projet'!$B$12,Paramètres!$A$1:$I$89,5,0)</f>
        <v>352.57299999999987</v>
      </c>
      <c r="CA156" s="13">
        <f t="shared" si="170"/>
        <v>82.092092597941644</v>
      </c>
      <c r="CB156" s="20">
        <f t="shared" si="171"/>
        <v>757.04170294141477</v>
      </c>
      <c r="CC156" s="59">
        <f t="shared" si="119"/>
        <v>1050.375036274748</v>
      </c>
      <c r="CD156" s="59">
        <f ca="1">AVERAGE(OFFSET($CC$3,0,0,'Données projet'!$E$12+1,1))-AVERAGE(OFFSET($H$3,0,0,'Données projet'!$E$12+1,1))</f>
        <v>349.65790906807746</v>
      </c>
      <c r="CE156" s="59">
        <f t="shared" si="148"/>
        <v>291.88925884278888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29.802877988323413</v>
      </c>
      <c r="CL156" s="21">
        <f>EXP(-LN(2)/25)*CL155+(1-EXP(-LN(2)/25))/(LN(2)/25)*Calculateur!CG156*Calculateur!CI156*VLOOKUP('Données projet'!$B$12,Paramètres!$A$1:$I$89,3,0)*0.475*44/12</f>
        <v>1.3607087802151043</v>
      </c>
      <c r="CM156" s="21">
        <f>EXP(-LN(2)/2)*CM155+(1-EXP(-LN(2)/2))/(LN(2)/2)*CG156*CJ156*VLOOKUP('Données projet'!$B$12,Paramètres!$A$1:$I$89,3,0)*0.475*44/12</f>
        <v>1.565694978273173E-20</v>
      </c>
      <c r="CN156" s="22">
        <f t="shared" si="172"/>
        <v>31.163586768538519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285.99999999999972</v>
      </c>
      <c r="CU156" s="17">
        <f>CT156*VLOOKUP('Données projet'!$B$13,Paramètres!$A$1:$I$89,3,0)*VLOOKUP('Données projet'!$B$13,Paramètres!$A$1:$I$89,5,0)</f>
        <v>223.07999999999979</v>
      </c>
      <c r="CV156" s="13">
        <f t="shared" si="173"/>
        <v>54.783765878062617</v>
      </c>
      <c r="CW156" s="20">
        <f t="shared" si="174"/>
        <v>483.94605890429199</v>
      </c>
      <c r="CX156" s="59">
        <f t="shared" si="122"/>
        <v>777.2793922376253</v>
      </c>
      <c r="CY156" s="59">
        <f ca="1">AVERAGE(OFFSET($CX$3,0,0,'Données projet'!$E$13+1,1))-AVERAGE(OFFSET($H$3,0,0,'Données projet'!$E$13+1,1))</f>
        <v>215.84581110302656</v>
      </c>
      <c r="CZ156" s="59">
        <f t="shared" si="150"/>
        <v>193.88588526156104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11.338236588218322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11.338236588218322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401</v>
      </c>
      <c r="O157" s="13">
        <f>N157*VLOOKUP('Données projet'!$B$9,Paramètres!$A$1:$I$89,3,0)*VLOOKUP('Données projet'!$B$9,Paramètres!$A$1:$I$89,5,0)</f>
        <v>250.22399999999999</v>
      </c>
      <c r="P157" s="13">
        <f t="shared" si="141"/>
        <v>60.633904580527918</v>
      </c>
      <c r="Q157" s="20">
        <f t="shared" si="162"/>
        <v>541.41085047775289</v>
      </c>
      <c r="R157" s="59">
        <f t="shared" si="109"/>
        <v>834.74418381108626</v>
      </c>
      <c r="S157" s="59">
        <f ca="1">AVERAGE(OFFSET($R$3,0,0,'Données projet'!$E$9+1,1))-AVERAGE(OFFSET($H$3,0,0,'Données projet'!$E$9+1,1))</f>
        <v>269.77739619445515</v>
      </c>
      <c r="T157" s="59">
        <f t="shared" si="142"/>
        <v>347.56964743629885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11.902150983253325</v>
      </c>
      <c r="AA157" s="21">
        <f>EXP(-LN(2)/25)*AA156+(1-EXP(-LN(2)/25))/(LN(2)/25)*Calculateur!V157*Calculateur!X157*VLOOKUP('Données projet'!$B$9,Paramètres!$A$1:$I$89,3,0)*0.475*44/12</f>
        <v>2.9475442513495307</v>
      </c>
      <c r="AB157" s="21">
        <f>EXP(-LN(2)/2)*AB156+(1-EXP(-LN(2)/2))/(LN(2)/2)*V157*Y157*VLOOKUP('Données projet'!$B$9,Paramètres!$A$1:$I$89,3,0)*0.475*44/12</f>
        <v>5.3859577446811691E-21</v>
      </c>
      <c r="AC157" s="22">
        <f t="shared" si="163"/>
        <v>14.849695234602855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735.00000000000011</v>
      </c>
      <c r="AJ157" s="13">
        <f>AI157*VLOOKUP('Données projet'!$B$10,Paramètres!$A$1:$I$89,3,0)*VLOOKUP('Données projet'!$B$10,Paramètres!$A$1:$I$89,5,0)</f>
        <v>343.98</v>
      </c>
      <c r="AK157" s="13">
        <f t="shared" si="164"/>
        <v>80.321681832084693</v>
      </c>
      <c r="AL157" s="20">
        <f t="shared" si="165"/>
        <v>738.9920958575475</v>
      </c>
      <c r="AM157" s="59">
        <f t="shared" si="113"/>
        <v>1032.3254291908809</v>
      </c>
      <c r="AN157" s="59">
        <f ca="1">AVERAGE(OFFSET($AM$3,0,0,'Données projet'!$E$10+1,1))-AVERAGE(OFFSET($H$3,0,0,'Données projet'!$E$10+1,1))</f>
        <v>342.49944586217674</v>
      </c>
      <c r="AO157" s="59">
        <f t="shared" si="144"/>
        <v>282.29766600872563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27.240199961190818</v>
      </c>
      <c r="AV157" s="21">
        <f>EXP(-LN(2)/25)*AV156+(1-EXP(-LN(2)/25))/(LN(2)/25)*Calculateur!AQ157*Calculateur!AS157*VLOOKUP('Données projet'!$B$10,Paramètres!$A$1:$I$89,3,0)*0.475*44/12</f>
        <v>1.2877298533591337</v>
      </c>
      <c r="AW157" s="21">
        <f>EXP(-LN(2)/2)*AW156+(1-EXP(-LN(2)/2))/(LN(2)/2)*AQ157*AT157*VLOOKUP('Données projet'!$B$10,Paramètres!$A$1:$I$89,3,0)*0.475*44/12</f>
        <v>1.7953192482270579E-20</v>
      </c>
      <c r="AX157" s="21">
        <f t="shared" si="166"/>
        <v>28.527929814549953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319</v>
      </c>
      <c r="BE157" s="13">
        <f>BD157*VLOOKUP('Données projet'!$B$11,Paramètres!$A$1:$I$89,3,0)*VLOOKUP('Données projet'!$B$11,Paramètres!$A$1:$I$89,5,0)</f>
        <v>253.79640000000001</v>
      </c>
      <c r="BF157" s="13">
        <f t="shared" si="167"/>
        <v>61.39816832228076</v>
      </c>
      <c r="BG157" s="20">
        <f t="shared" si="168"/>
        <v>548.96387316130563</v>
      </c>
      <c r="BH157" s="59">
        <f t="shared" si="116"/>
        <v>842.29720649463889</v>
      </c>
      <c r="BI157" s="59">
        <f ca="1">AVERAGE(OFFSET($BH$3,0,0,'Données projet'!$E$11+1,1))-AVERAGE(OFFSET($H$3,0,0,'Données projet'!$E$11+1,1))</f>
        <v>279.49721661620544</v>
      </c>
      <c r="BJ157" s="59">
        <f t="shared" si="146"/>
        <v>275.18739333988754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12.279730786353522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12.279730786353522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732.99999999999966</v>
      </c>
      <c r="BZ157" s="13">
        <f>BY157*VLOOKUP('Données projet'!$B$12,Paramètres!$A$1:$I$89,3,0)*VLOOKUP('Données projet'!$B$12,Paramètres!$A$1:$I$89,5,0)</f>
        <v>352.57299999999987</v>
      </c>
      <c r="CA157" s="13">
        <f t="shared" si="170"/>
        <v>82.092092597941644</v>
      </c>
      <c r="CB157" s="20">
        <f t="shared" si="171"/>
        <v>757.04170294141477</v>
      </c>
      <c r="CC157" s="59">
        <f t="shared" si="119"/>
        <v>1050.375036274748</v>
      </c>
      <c r="CD157" s="59">
        <f ca="1">AVERAGE(OFFSET($CC$3,0,0,'Données projet'!$E$12+1,1))-AVERAGE(OFFSET($H$3,0,0,'Données projet'!$E$12+1,1))</f>
        <v>349.65790906807746</v>
      </c>
      <c r="CE157" s="59">
        <f t="shared" si="148"/>
        <v>291.88925884278888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29.21846172893304</v>
      </c>
      <c r="CL157" s="21">
        <f>EXP(-LN(2)/25)*CL156+(1-EXP(-LN(2)/25))/(LN(2)/25)*Calculateur!CG157*Calculateur!CI157*VLOOKUP('Données projet'!$B$12,Paramètres!$A$1:$I$89,3,0)*0.475*44/12</f>
        <v>1.3235001270635576</v>
      </c>
      <c r="CM157" s="21">
        <f>EXP(-LN(2)/2)*CM156+(1-EXP(-LN(2)/2))/(LN(2)/2)*CG157*CJ157*VLOOKUP('Données projet'!$B$12,Paramètres!$A$1:$I$89,3,0)*0.475*44/12</f>
        <v>1.1071135364066849E-20</v>
      </c>
      <c r="CN157" s="22">
        <f t="shared" si="172"/>
        <v>30.541961855996597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285.99999999999972</v>
      </c>
      <c r="CU157" s="17">
        <f>CT157*VLOOKUP('Données projet'!$B$13,Paramètres!$A$1:$I$89,3,0)*VLOOKUP('Données projet'!$B$13,Paramètres!$A$1:$I$89,5,0)</f>
        <v>223.07999999999979</v>
      </c>
      <c r="CV157" s="13">
        <f t="shared" si="173"/>
        <v>54.783765878062617</v>
      </c>
      <c r="CW157" s="20">
        <f t="shared" si="174"/>
        <v>483.94605890429199</v>
      </c>
      <c r="CX157" s="59">
        <f t="shared" si="122"/>
        <v>777.2793922376253</v>
      </c>
      <c r="CY157" s="59">
        <f ca="1">AVERAGE(OFFSET($CX$3,0,0,'Données projet'!$E$13+1,1))-AVERAGE(OFFSET($H$3,0,0,'Données projet'!$E$13+1,1))</f>
        <v>215.84581110302656</v>
      </c>
      <c r="CZ157" s="59">
        <f t="shared" si="150"/>
        <v>193.88588526156104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11.115900684364817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11.115900684364817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401</v>
      </c>
      <c r="O158" s="13">
        <f>N158*VLOOKUP('Données projet'!$B$9,Paramètres!$A$1:$I$89,3,0)*VLOOKUP('Données projet'!$B$9,Paramètres!$A$1:$I$89,5,0)</f>
        <v>250.22399999999999</v>
      </c>
      <c r="P158" s="13">
        <f t="shared" si="141"/>
        <v>60.633904580527918</v>
      </c>
      <c r="Q158" s="20">
        <f t="shared" si="162"/>
        <v>541.41085047775289</v>
      </c>
      <c r="R158" s="59">
        <f t="shared" si="109"/>
        <v>834.74418381108626</v>
      </c>
      <c r="S158" s="59">
        <f ca="1">AVERAGE(OFFSET($R$3,0,0,'Données projet'!$E$9+1,1))-AVERAGE(OFFSET($H$3,0,0,'Données projet'!$E$9+1,1))</f>
        <v>269.77739619445515</v>
      </c>
      <c r="T158" s="59">
        <f t="shared" si="142"/>
        <v>347.56964743629885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11.668757062067002</v>
      </c>
      <c r="AA158" s="21">
        <f>EXP(-LN(2)/25)*AA157+(1-EXP(-LN(2)/25))/(LN(2)/25)*Calculateur!V158*Calculateur!X158*VLOOKUP('Données projet'!$B$9,Paramètres!$A$1:$I$89,3,0)*0.475*44/12</f>
        <v>2.8669434987917621</v>
      </c>
      <c r="AB158" s="21">
        <f>EXP(-LN(2)/2)*AB157+(1-EXP(-LN(2)/2))/(LN(2)/2)*V158*Y158*VLOOKUP('Données projet'!$B$9,Paramètres!$A$1:$I$89,3,0)*0.475*44/12</f>
        <v>3.8084472444482583E-21</v>
      </c>
      <c r="AC158" s="22">
        <f t="shared" si="163"/>
        <v>14.535700560858764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735.00000000000011</v>
      </c>
      <c r="AJ158" s="13">
        <f>AI158*VLOOKUP('Données projet'!$B$10,Paramètres!$A$1:$I$89,3,0)*VLOOKUP('Données projet'!$B$10,Paramètres!$A$1:$I$89,5,0)</f>
        <v>343.98</v>
      </c>
      <c r="AK158" s="13">
        <f t="shared" si="164"/>
        <v>80.321681832084693</v>
      </c>
      <c r="AL158" s="20">
        <f t="shared" si="165"/>
        <v>738.9920958575475</v>
      </c>
      <c r="AM158" s="59">
        <f t="shared" si="113"/>
        <v>1032.3254291908809</v>
      </c>
      <c r="AN158" s="59">
        <f ca="1">AVERAGE(OFFSET($AM$3,0,0,'Données projet'!$E$10+1,1))-AVERAGE(OFFSET($H$3,0,0,'Données projet'!$E$10+1,1))</f>
        <v>342.49944586217674</v>
      </c>
      <c r="AO158" s="59">
        <f t="shared" si="144"/>
        <v>282.29766600872563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26.706036254833258</v>
      </c>
      <c r="AV158" s="21">
        <f>EXP(-LN(2)/25)*AV157+(1-EXP(-LN(2)/25))/(LN(2)/25)*Calculateur!AQ158*Calculateur!AS158*VLOOKUP('Données projet'!$B$10,Paramètres!$A$1:$I$89,3,0)*0.475*44/12</f>
        <v>1.2525168128002584</v>
      </c>
      <c r="AW158" s="21">
        <f>EXP(-LN(2)/2)*AW157+(1-EXP(-LN(2)/2))/(LN(2)/2)*AQ158*AT158*VLOOKUP('Données projet'!$B$10,Paramètres!$A$1:$I$89,3,0)*0.475*44/12</f>
        <v>1.2694824148160872E-20</v>
      </c>
      <c r="AX158" s="21">
        <f t="shared" si="166"/>
        <v>27.958553067633517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319</v>
      </c>
      <c r="BE158" s="13">
        <f>BD158*VLOOKUP('Données projet'!$B$11,Paramètres!$A$1:$I$89,3,0)*VLOOKUP('Données projet'!$B$11,Paramètres!$A$1:$I$89,5,0)</f>
        <v>253.79640000000001</v>
      </c>
      <c r="BF158" s="13">
        <f t="shared" si="167"/>
        <v>61.39816832228076</v>
      </c>
      <c r="BG158" s="20">
        <f t="shared" si="168"/>
        <v>548.96387316130563</v>
      </c>
      <c r="BH158" s="59">
        <f t="shared" si="116"/>
        <v>842.29720649463889</v>
      </c>
      <c r="BI158" s="59">
        <f ca="1">AVERAGE(OFFSET($BH$3,0,0,'Données projet'!$E$11+1,1))-AVERAGE(OFFSET($H$3,0,0,'Données projet'!$E$11+1,1))</f>
        <v>279.49721661620544</v>
      </c>
      <c r="BJ158" s="59">
        <f t="shared" si="146"/>
        <v>275.18739333988754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12.038932755529343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12.038932755529343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732.99999999999966</v>
      </c>
      <c r="BZ158" s="13">
        <f>BY158*VLOOKUP('Données projet'!$B$12,Paramètres!$A$1:$I$89,3,0)*VLOOKUP('Données projet'!$B$12,Paramètres!$A$1:$I$89,5,0)</f>
        <v>352.57299999999987</v>
      </c>
      <c r="CA158" s="13">
        <f t="shared" si="170"/>
        <v>82.092092597941644</v>
      </c>
      <c r="CB158" s="20">
        <f t="shared" si="171"/>
        <v>757.04170294141477</v>
      </c>
      <c r="CC158" s="59">
        <f t="shared" si="119"/>
        <v>1050.375036274748</v>
      </c>
      <c r="CD158" s="59">
        <f ca="1">AVERAGE(OFFSET($CC$3,0,0,'Données projet'!$E$12+1,1))-AVERAGE(OFFSET($H$3,0,0,'Données projet'!$E$12+1,1))</f>
        <v>349.65790906807746</v>
      </c>
      <c r="CE158" s="59">
        <f t="shared" si="148"/>
        <v>291.88925884278888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28.645505515930591</v>
      </c>
      <c r="CL158" s="21">
        <f>EXP(-LN(2)/25)*CL157+(1-EXP(-LN(2)/25))/(LN(2)/25)*Calculateur!CG158*Calculateur!CI158*VLOOKUP('Données projet'!$B$12,Paramètres!$A$1:$I$89,3,0)*0.475*44/12</f>
        <v>1.2873089464891578</v>
      </c>
      <c r="CM158" s="21">
        <f>EXP(-LN(2)/2)*CM157+(1-EXP(-LN(2)/2))/(LN(2)/2)*CG158*CJ158*VLOOKUP('Données projet'!$B$12,Paramètres!$A$1:$I$89,3,0)*0.475*44/12</f>
        <v>7.8284748913658652E-21</v>
      </c>
      <c r="CN158" s="22">
        <f t="shared" si="172"/>
        <v>29.932814462419749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285.99999999999972</v>
      </c>
      <c r="CU158" s="17">
        <f>CT158*VLOOKUP('Données projet'!$B$13,Paramètres!$A$1:$I$89,3,0)*VLOOKUP('Données projet'!$B$13,Paramètres!$A$1:$I$89,5,0)</f>
        <v>223.07999999999979</v>
      </c>
      <c r="CV158" s="13">
        <f t="shared" si="173"/>
        <v>54.783765878062617</v>
      </c>
      <c r="CW158" s="20">
        <f t="shared" si="174"/>
        <v>483.94605890429199</v>
      </c>
      <c r="CX158" s="59">
        <f t="shared" si="122"/>
        <v>777.2793922376253</v>
      </c>
      <c r="CY158" s="59">
        <f ca="1">AVERAGE(OFFSET($CX$3,0,0,'Données projet'!$E$13+1,1))-AVERAGE(OFFSET($H$3,0,0,'Données projet'!$E$13+1,1))</f>
        <v>215.84581110302656</v>
      </c>
      <c r="CZ158" s="59">
        <f t="shared" si="150"/>
        <v>193.88588526156104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10.897924651974368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10.897924651974368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401</v>
      </c>
      <c r="O159" s="13">
        <f>N159*VLOOKUP('Données projet'!$B$9,Paramètres!$A$1:$I$89,3,0)*VLOOKUP('Données projet'!$B$9,Paramètres!$A$1:$I$89,5,0)</f>
        <v>250.22399999999999</v>
      </c>
      <c r="P159" s="13">
        <f t="shared" si="141"/>
        <v>60.633904580527918</v>
      </c>
      <c r="Q159" s="20">
        <f t="shared" si="162"/>
        <v>541.41085047775289</v>
      </c>
      <c r="R159" s="59">
        <f t="shared" si="109"/>
        <v>834.74418381108626</v>
      </c>
      <c r="S159" s="59">
        <f ca="1">AVERAGE(OFFSET($R$3,0,0,'Données projet'!$E$9+1,1))-AVERAGE(OFFSET($H$3,0,0,'Données projet'!$E$9+1,1))</f>
        <v>269.77739619445515</v>
      </c>
      <c r="T159" s="59">
        <f t="shared" si="142"/>
        <v>347.56964743629885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11.439939853318906</v>
      </c>
      <c r="AA159" s="21">
        <f>EXP(-LN(2)/25)*AA158+(1-EXP(-LN(2)/25))/(LN(2)/25)*Calculateur!V159*Calculateur!X159*VLOOKUP('Données projet'!$B$9,Paramètres!$A$1:$I$89,3,0)*0.475*44/12</f>
        <v>2.7885467780512951</v>
      </c>
      <c r="AB159" s="21">
        <f>EXP(-LN(2)/2)*AB158+(1-EXP(-LN(2)/2))/(LN(2)/2)*V159*Y159*VLOOKUP('Données projet'!$B$9,Paramètres!$A$1:$I$89,3,0)*0.475*44/12</f>
        <v>2.6929788723405845E-21</v>
      </c>
      <c r="AC159" s="22">
        <f t="shared" si="163"/>
        <v>14.228486631370201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735.00000000000011</v>
      </c>
      <c r="AJ159" s="13">
        <f>AI159*VLOOKUP('Données projet'!$B$10,Paramètres!$A$1:$I$89,3,0)*VLOOKUP('Données projet'!$B$10,Paramètres!$A$1:$I$89,5,0)</f>
        <v>343.98</v>
      </c>
      <c r="AK159" s="13">
        <f t="shared" si="164"/>
        <v>80.321681832084693</v>
      </c>
      <c r="AL159" s="20">
        <f t="shared" si="165"/>
        <v>738.9920958575475</v>
      </c>
      <c r="AM159" s="59">
        <f t="shared" si="113"/>
        <v>1032.3254291908809</v>
      </c>
      <c r="AN159" s="59">
        <f ca="1">AVERAGE(OFFSET($AM$3,0,0,'Données projet'!$E$10+1,1))-AVERAGE(OFFSET($H$3,0,0,'Données projet'!$E$10+1,1))</f>
        <v>342.49944586217674</v>
      </c>
      <c r="AO159" s="59">
        <f t="shared" si="144"/>
        <v>282.29766600872563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26.18234717294968</v>
      </c>
      <c r="AV159" s="21">
        <f>EXP(-LN(2)/25)*AV158+(1-EXP(-LN(2)/25))/(LN(2)/25)*Calculateur!AQ159*Calculateur!AS159*VLOOKUP('Données projet'!$B$10,Paramètres!$A$1:$I$89,3,0)*0.475*44/12</f>
        <v>1.2182666746872388</v>
      </c>
      <c r="AW159" s="21">
        <f>EXP(-LN(2)/2)*AW158+(1-EXP(-LN(2)/2))/(LN(2)/2)*AQ159*AT159*VLOOKUP('Données projet'!$B$10,Paramètres!$A$1:$I$89,3,0)*0.475*44/12</f>
        <v>8.9765962411352893E-21</v>
      </c>
      <c r="AX159" s="21">
        <f t="shared" si="166"/>
        <v>27.400613847636919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319</v>
      </c>
      <c r="BE159" s="13">
        <f>BD159*VLOOKUP('Données projet'!$B$11,Paramètres!$A$1:$I$89,3,0)*VLOOKUP('Données projet'!$B$11,Paramètres!$A$1:$I$89,5,0)</f>
        <v>253.79640000000001</v>
      </c>
      <c r="BF159" s="13">
        <f t="shared" si="167"/>
        <v>61.39816832228076</v>
      </c>
      <c r="BG159" s="20">
        <f t="shared" si="168"/>
        <v>548.96387316130563</v>
      </c>
      <c r="BH159" s="59">
        <f t="shared" si="116"/>
        <v>842.29720649463889</v>
      </c>
      <c r="BI159" s="59">
        <f ca="1">AVERAGE(OFFSET($BH$3,0,0,'Données projet'!$E$11+1,1))-AVERAGE(OFFSET($H$3,0,0,'Données projet'!$E$11+1,1))</f>
        <v>279.49721661620544</v>
      </c>
      <c r="BJ159" s="59">
        <f t="shared" si="146"/>
        <v>275.18739333988754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11.802856627217331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11.802856627217331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732.99999999999966</v>
      </c>
      <c r="BZ159" s="13">
        <f>BY159*VLOOKUP('Données projet'!$B$12,Paramètres!$A$1:$I$89,3,0)*VLOOKUP('Données projet'!$B$12,Paramètres!$A$1:$I$89,5,0)</f>
        <v>352.57299999999987</v>
      </c>
      <c r="CA159" s="13">
        <f t="shared" si="170"/>
        <v>82.092092597941644</v>
      </c>
      <c r="CB159" s="20">
        <f t="shared" si="171"/>
        <v>757.04170294141477</v>
      </c>
      <c r="CC159" s="59">
        <f t="shared" si="119"/>
        <v>1050.375036274748</v>
      </c>
      <c r="CD159" s="59">
        <f ca="1">AVERAGE(OFFSET($CC$3,0,0,'Données projet'!$E$12+1,1))-AVERAGE(OFFSET($H$3,0,0,'Données projet'!$E$12+1,1))</f>
        <v>349.65790906807746</v>
      </c>
      <c r="CE159" s="59">
        <f t="shared" si="148"/>
        <v>291.88925884278888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28.083784624796337</v>
      </c>
      <c r="CL159" s="21">
        <f>EXP(-LN(2)/25)*CL158+(1-EXP(-LN(2)/25))/(LN(2)/25)*Calculateur!CG159*Calculateur!CI159*VLOOKUP('Données projet'!$B$12,Paramètres!$A$1:$I$89,3,0)*0.475*44/12</f>
        <v>1.2521074156507765</v>
      </c>
      <c r="CM159" s="21">
        <f>EXP(-LN(2)/2)*CM158+(1-EXP(-LN(2)/2))/(LN(2)/2)*CG159*CJ159*VLOOKUP('Données projet'!$B$12,Paramètres!$A$1:$I$89,3,0)*0.475*44/12</f>
        <v>5.5355676820334243E-21</v>
      </c>
      <c r="CN159" s="22">
        <f t="shared" si="172"/>
        <v>29.335892040447114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285.99999999999972</v>
      </c>
      <c r="CU159" s="17">
        <f>CT159*VLOOKUP('Données projet'!$B$13,Paramètres!$A$1:$I$89,3,0)*VLOOKUP('Données projet'!$B$13,Paramètres!$A$1:$I$89,5,0)</f>
        <v>223.07999999999979</v>
      </c>
      <c r="CV159" s="13">
        <f t="shared" si="173"/>
        <v>54.783765878062617</v>
      </c>
      <c r="CW159" s="20">
        <f t="shared" si="174"/>
        <v>483.94605890429199</v>
      </c>
      <c r="CX159" s="59">
        <f t="shared" si="122"/>
        <v>777.2793922376253</v>
      </c>
      <c r="CY159" s="59">
        <f ca="1">AVERAGE(OFFSET($CX$3,0,0,'Données projet'!$E$13+1,1))-AVERAGE(OFFSET($H$3,0,0,'Données projet'!$E$13+1,1))</f>
        <v>215.84581110302656</v>
      </c>
      <c r="CZ159" s="59">
        <f t="shared" si="150"/>
        <v>193.88588526156104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10.684222996626843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10.684222996626843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401</v>
      </c>
      <c r="O160" s="13">
        <f>N160*VLOOKUP('Données projet'!$B$9,Paramètres!$A$1:$I$89,3,0)*VLOOKUP('Données projet'!$B$9,Paramètres!$A$1:$I$89,5,0)</f>
        <v>250.22399999999999</v>
      </c>
      <c r="P160" s="13">
        <f t="shared" si="141"/>
        <v>60.633904580527918</v>
      </c>
      <c r="Q160" s="20">
        <f t="shared" si="162"/>
        <v>541.41085047775289</v>
      </c>
      <c r="R160" s="59">
        <f t="shared" si="109"/>
        <v>834.74418381108626</v>
      </c>
      <c r="S160" s="59">
        <f ca="1">AVERAGE(OFFSET($R$3,0,0,'Données projet'!$E$9+1,1))-AVERAGE(OFFSET($H$3,0,0,'Données projet'!$E$9+1,1))</f>
        <v>269.77739619445515</v>
      </c>
      <c r="T160" s="59">
        <f t="shared" si="142"/>
        <v>347.56964743629885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11.215609610469645</v>
      </c>
      <c r="AA160" s="21">
        <f>EXP(-LN(2)/25)*AA159+(1-EXP(-LN(2)/25))/(LN(2)/25)*Calculateur!V160*Calculateur!X160*VLOOKUP('Données projet'!$B$9,Paramètres!$A$1:$I$89,3,0)*0.475*44/12</f>
        <v>2.7122938197621806</v>
      </c>
      <c r="AB160" s="21">
        <f>EXP(-LN(2)/2)*AB159+(1-EXP(-LN(2)/2))/(LN(2)/2)*V160*Y160*VLOOKUP('Données projet'!$B$9,Paramètres!$A$1:$I$89,3,0)*0.475*44/12</f>
        <v>1.9042236222241292E-21</v>
      </c>
      <c r="AC160" s="22">
        <f t="shared" si="163"/>
        <v>13.927903430231826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735.00000000000011</v>
      </c>
      <c r="AJ160" s="13">
        <f>AI160*VLOOKUP('Données projet'!$B$10,Paramètres!$A$1:$I$89,3,0)*VLOOKUP('Données projet'!$B$10,Paramètres!$A$1:$I$89,5,0)</f>
        <v>343.98</v>
      </c>
      <c r="AK160" s="13">
        <f t="shared" si="164"/>
        <v>80.321681832084693</v>
      </c>
      <c r="AL160" s="20">
        <f t="shared" si="165"/>
        <v>738.9920958575475</v>
      </c>
      <c r="AM160" s="59">
        <f t="shared" si="113"/>
        <v>1032.3254291908809</v>
      </c>
      <c r="AN160" s="59">
        <f ca="1">AVERAGE(OFFSET($AM$3,0,0,'Données projet'!$E$10+1,1))-AVERAGE(OFFSET($H$3,0,0,'Données projet'!$E$10+1,1))</f>
        <v>342.49944586217674</v>
      </c>
      <c r="AO160" s="59">
        <f t="shared" si="144"/>
        <v>282.29766600872563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25.668927314543041</v>
      </c>
      <c r="AV160" s="21">
        <f>EXP(-LN(2)/25)*AV159+(1-EXP(-LN(2)/25))/(LN(2)/25)*Calculateur!AQ160*Calculateur!AS160*VLOOKUP('Données projet'!$B$10,Paramètres!$A$1:$I$89,3,0)*0.475*44/12</f>
        <v>1.1849531084020561</v>
      </c>
      <c r="AW160" s="21">
        <f>EXP(-LN(2)/2)*AW159+(1-EXP(-LN(2)/2))/(LN(2)/2)*AQ160*AT160*VLOOKUP('Données projet'!$B$10,Paramètres!$A$1:$I$89,3,0)*0.475*44/12</f>
        <v>6.3474120740804361E-21</v>
      </c>
      <c r="AX160" s="21">
        <f t="shared" si="166"/>
        <v>26.853880422945096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319</v>
      </c>
      <c r="BE160" s="13">
        <f>BD160*VLOOKUP('Données projet'!$B$11,Paramètres!$A$1:$I$89,3,0)*VLOOKUP('Données projet'!$B$11,Paramètres!$A$1:$I$89,5,0)</f>
        <v>253.79640000000001</v>
      </c>
      <c r="BF160" s="13">
        <f t="shared" si="167"/>
        <v>61.39816832228076</v>
      </c>
      <c r="BG160" s="20">
        <f t="shared" si="168"/>
        <v>548.96387316130563</v>
      </c>
      <c r="BH160" s="59">
        <f t="shared" si="116"/>
        <v>842.29720649463889</v>
      </c>
      <c r="BI160" s="59">
        <f ca="1">AVERAGE(OFFSET($BH$3,0,0,'Données projet'!$E$11+1,1))-AVERAGE(OFFSET($H$3,0,0,'Données projet'!$E$11+1,1))</f>
        <v>279.49721661620544</v>
      </c>
      <c r="BJ160" s="59">
        <f t="shared" si="146"/>
        <v>275.18739333988754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11.571409807789296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11.571409807789296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732.99999999999966</v>
      </c>
      <c r="BZ160" s="13">
        <f>BY160*VLOOKUP('Données projet'!$B$12,Paramètres!$A$1:$I$89,3,0)*VLOOKUP('Données projet'!$B$12,Paramètres!$A$1:$I$89,5,0)</f>
        <v>352.57299999999987</v>
      </c>
      <c r="CA160" s="13">
        <f t="shared" si="170"/>
        <v>82.092092597941644</v>
      </c>
      <c r="CB160" s="20">
        <f t="shared" si="171"/>
        <v>757.04170294141477</v>
      </c>
      <c r="CC160" s="59">
        <f t="shared" si="119"/>
        <v>1050.375036274748</v>
      </c>
      <c r="CD160" s="59">
        <f ca="1">AVERAGE(OFFSET($CC$3,0,0,'Données projet'!$E$12+1,1))-AVERAGE(OFFSET($H$3,0,0,'Données projet'!$E$12+1,1))</f>
        <v>349.65790906807746</v>
      </c>
      <c r="CE160" s="59">
        <f t="shared" si="148"/>
        <v>291.88925884278888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27.533078737721311</v>
      </c>
      <c r="CL160" s="21">
        <f>EXP(-LN(2)/25)*CL159+(1-EXP(-LN(2)/25))/(LN(2)/25)*Calculateur!CG160*Calculateur!CI160*VLOOKUP('Données projet'!$B$12,Paramètres!$A$1:$I$89,3,0)*0.475*44/12</f>
        <v>1.2178684725243387</v>
      </c>
      <c r="CM160" s="21">
        <f>EXP(-LN(2)/2)*CM159+(1-EXP(-LN(2)/2))/(LN(2)/2)*CG160*CJ160*VLOOKUP('Données projet'!$B$12,Paramètres!$A$1:$I$89,3,0)*0.475*44/12</f>
        <v>3.9142374456829326E-21</v>
      </c>
      <c r="CN160" s="22">
        <f t="shared" si="172"/>
        <v>28.750947210245648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285.99999999999972</v>
      </c>
      <c r="CU160" s="17">
        <f>CT160*VLOOKUP('Données projet'!$B$13,Paramètres!$A$1:$I$89,3,0)*VLOOKUP('Données projet'!$B$13,Paramètres!$A$1:$I$89,5,0)</f>
        <v>223.07999999999979</v>
      </c>
      <c r="CV160" s="13">
        <f t="shared" si="173"/>
        <v>54.783765878062617</v>
      </c>
      <c r="CW160" s="20">
        <f t="shared" si="174"/>
        <v>483.94605890429199</v>
      </c>
      <c r="CX160" s="59">
        <f t="shared" si="122"/>
        <v>777.2793922376253</v>
      </c>
      <c r="CY160" s="59">
        <f ca="1">AVERAGE(OFFSET($CX$3,0,0,'Données projet'!$E$13+1,1))-AVERAGE(OFFSET($H$3,0,0,'Données projet'!$E$13+1,1))</f>
        <v>215.84581110302656</v>
      </c>
      <c r="CZ160" s="59">
        <f t="shared" si="150"/>
        <v>193.88588526156104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10.474711900395546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10.474711900395546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401</v>
      </c>
      <c r="O161" s="13">
        <f>N161*VLOOKUP('Données projet'!$B$9,Paramètres!$A$1:$I$89,3,0)*VLOOKUP('Données projet'!$B$9,Paramètres!$A$1:$I$89,5,0)</f>
        <v>250.22399999999999</v>
      </c>
      <c r="P161" s="13">
        <f t="shared" si="141"/>
        <v>60.633904580527918</v>
      </c>
      <c r="Q161" s="20">
        <f t="shared" si="162"/>
        <v>541.41085047775289</v>
      </c>
      <c r="R161" s="59">
        <f t="shared" si="109"/>
        <v>834.74418381108626</v>
      </c>
      <c r="S161" s="59">
        <f ca="1">AVERAGE(OFFSET($R$3,0,0,'Données projet'!$E$9+1,1))-AVERAGE(OFFSET($H$3,0,0,'Données projet'!$E$9+1,1))</f>
        <v>269.77739619445515</v>
      </c>
      <c r="T161" s="59">
        <f t="shared" si="142"/>
        <v>347.56964743629885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10.995678346854721</v>
      </c>
      <c r="AA161" s="21">
        <f>EXP(-LN(2)/25)*AA160+(1-EXP(-LN(2)/25))/(LN(2)/25)*Calculateur!V161*Calculateur!X161*VLOOKUP('Données projet'!$B$9,Paramètres!$A$1:$I$89,3,0)*0.475*44/12</f>
        <v>2.6381260026274509</v>
      </c>
      <c r="AB161" s="21">
        <f>EXP(-LN(2)/2)*AB160+(1-EXP(-LN(2)/2))/(LN(2)/2)*V161*Y161*VLOOKUP('Données projet'!$B$9,Paramètres!$A$1:$I$89,3,0)*0.475*44/12</f>
        <v>1.3464894361702923E-21</v>
      </c>
      <c r="AC161" s="22">
        <f t="shared" si="163"/>
        <v>13.633804349482173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735.00000000000011</v>
      </c>
      <c r="AJ161" s="13">
        <f>AI161*VLOOKUP('Données projet'!$B$10,Paramètres!$A$1:$I$89,3,0)*VLOOKUP('Données projet'!$B$10,Paramètres!$A$1:$I$89,5,0)</f>
        <v>343.98</v>
      </c>
      <c r="AK161" s="13">
        <f t="shared" si="164"/>
        <v>80.321681832084693</v>
      </c>
      <c r="AL161" s="20">
        <f t="shared" si="165"/>
        <v>738.9920958575475</v>
      </c>
      <c r="AM161" s="59">
        <f t="shared" si="113"/>
        <v>1032.3254291908809</v>
      </c>
      <c r="AN161" s="59">
        <f ca="1">AVERAGE(OFFSET($AM$3,0,0,'Données projet'!$E$10+1,1))-AVERAGE(OFFSET($H$3,0,0,'Données projet'!$E$10+1,1))</f>
        <v>342.49944586217674</v>
      </c>
      <c r="AO161" s="59">
        <f t="shared" si="144"/>
        <v>282.29766600872563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25.165575306404563</v>
      </c>
      <c r="AV161" s="21">
        <f>EXP(-LN(2)/25)*AV160+(1-EXP(-LN(2)/25))/(LN(2)/25)*Calculateur!AQ161*Calculateur!AS161*VLOOKUP('Données projet'!$B$10,Paramètres!$A$1:$I$89,3,0)*0.475*44/12</f>
        <v>1.1525505033388261</v>
      </c>
      <c r="AW161" s="21">
        <f>EXP(-LN(2)/2)*AW160+(1-EXP(-LN(2)/2))/(LN(2)/2)*AQ161*AT161*VLOOKUP('Données projet'!$B$10,Paramètres!$A$1:$I$89,3,0)*0.475*44/12</f>
        <v>4.4882981205676447E-21</v>
      </c>
      <c r="AX161" s="21">
        <f t="shared" si="166"/>
        <v>26.318125809743389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319</v>
      </c>
      <c r="BE161" s="13">
        <f>BD161*VLOOKUP('Données projet'!$B$11,Paramètres!$A$1:$I$89,3,0)*VLOOKUP('Données projet'!$B$11,Paramètres!$A$1:$I$89,5,0)</f>
        <v>253.79640000000001</v>
      </c>
      <c r="BF161" s="13">
        <f t="shared" si="167"/>
        <v>61.39816832228076</v>
      </c>
      <c r="BG161" s="20">
        <f t="shared" si="168"/>
        <v>548.96387316130563</v>
      </c>
      <c r="BH161" s="59">
        <f t="shared" si="116"/>
        <v>842.29720649463889</v>
      </c>
      <c r="BI161" s="59">
        <f ca="1">AVERAGE(OFFSET($BH$3,0,0,'Données projet'!$E$11+1,1))-AVERAGE(OFFSET($H$3,0,0,'Données projet'!$E$11+1,1))</f>
        <v>279.49721661620544</v>
      </c>
      <c r="BJ161" s="59">
        <f t="shared" si="146"/>
        <v>275.18739333988754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11.344501519321625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11.344501519321625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732.99999999999966</v>
      </c>
      <c r="BZ161" s="13">
        <f>BY161*VLOOKUP('Données projet'!$B$12,Paramètres!$A$1:$I$89,3,0)*VLOOKUP('Données projet'!$B$12,Paramètres!$A$1:$I$89,5,0)</f>
        <v>352.57299999999987</v>
      </c>
      <c r="CA161" s="13">
        <f t="shared" si="170"/>
        <v>82.092092597941644</v>
      </c>
      <c r="CB161" s="20">
        <f t="shared" si="171"/>
        <v>757.04170294141477</v>
      </c>
      <c r="CC161" s="59">
        <f t="shared" si="119"/>
        <v>1050.375036274748</v>
      </c>
      <c r="CD161" s="59">
        <f ca="1">AVERAGE(OFFSET($CC$3,0,0,'Données projet'!$E$12+1,1))-AVERAGE(OFFSET($H$3,0,0,'Données projet'!$E$12+1,1))</f>
        <v>349.65790906807746</v>
      </c>
      <c r="CE161" s="59">
        <f t="shared" si="148"/>
        <v>291.88925884278888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26.993171857194405</v>
      </c>
      <c r="CL161" s="21">
        <f>EXP(-LN(2)/25)*CL160+(1-EXP(-LN(2)/25))/(LN(2)/25)*Calculateur!CG161*Calculateur!CI161*VLOOKUP('Données projet'!$B$12,Paramètres!$A$1:$I$89,3,0)*0.475*44/12</f>
        <v>1.1845657950982411</v>
      </c>
      <c r="CM161" s="21">
        <f>EXP(-LN(2)/2)*CM160+(1-EXP(-LN(2)/2))/(LN(2)/2)*CG161*CJ161*VLOOKUP('Données projet'!$B$12,Paramètres!$A$1:$I$89,3,0)*0.475*44/12</f>
        <v>2.7677838410167121E-21</v>
      </c>
      <c r="CN161" s="22">
        <f t="shared" si="172"/>
        <v>28.177737652292645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285.99999999999972</v>
      </c>
      <c r="CU161" s="17">
        <f>CT161*VLOOKUP('Données projet'!$B$13,Paramètres!$A$1:$I$89,3,0)*VLOOKUP('Données projet'!$B$13,Paramètres!$A$1:$I$89,5,0)</f>
        <v>223.07999999999979</v>
      </c>
      <c r="CV161" s="13">
        <f t="shared" si="173"/>
        <v>54.783765878062617</v>
      </c>
      <c r="CW161" s="20">
        <f t="shared" si="174"/>
        <v>483.94605890429199</v>
      </c>
      <c r="CX161" s="59">
        <f t="shared" si="122"/>
        <v>777.2793922376253</v>
      </c>
      <c r="CY161" s="59">
        <f ca="1">AVERAGE(OFFSET($CX$3,0,0,'Données projet'!$E$13+1,1))-AVERAGE(OFFSET($H$3,0,0,'Données projet'!$E$13+1,1))</f>
        <v>215.84581110302656</v>
      </c>
      <c r="CZ161" s="59">
        <f t="shared" si="150"/>
        <v>193.88588526156104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10.269309188972192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10.269309188972192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401</v>
      </c>
      <c r="O162" s="13">
        <f>N162*VLOOKUP('Données projet'!$B$9,Paramètres!$A$1:$I$89,3,0)*VLOOKUP('Données projet'!$B$9,Paramètres!$A$1:$I$89,5,0)</f>
        <v>250.22399999999999</v>
      </c>
      <c r="P162" s="13">
        <f t="shared" si="141"/>
        <v>60.633904580527918</v>
      </c>
      <c r="Q162" s="20">
        <f t="shared" si="162"/>
        <v>541.41085047775289</v>
      </c>
      <c r="R162" s="59">
        <f t="shared" si="109"/>
        <v>834.74418381108626</v>
      </c>
      <c r="S162" s="59">
        <f ca="1">AVERAGE(OFFSET($R$3,0,0,'Données projet'!$E$9+1,1))-AVERAGE(OFFSET($H$3,0,0,'Données projet'!$E$9+1,1))</f>
        <v>269.77739619445515</v>
      </c>
      <c r="T162" s="59">
        <f t="shared" si="142"/>
        <v>347.56964743629885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10.78005980117446</v>
      </c>
      <c r="AA162" s="21">
        <f>EXP(-LN(2)/25)*AA161+(1-EXP(-LN(2)/25))/(LN(2)/25)*Calculateur!V162*Calculateur!X162*VLOOKUP('Données projet'!$B$9,Paramètres!$A$1:$I$89,3,0)*0.475*44/12</f>
        <v>2.5659863083525862</v>
      </c>
      <c r="AB162" s="21">
        <f>EXP(-LN(2)/2)*AB161+(1-EXP(-LN(2)/2))/(LN(2)/2)*V162*Y162*VLOOKUP('Données projet'!$B$9,Paramètres!$A$1:$I$89,3,0)*0.475*44/12</f>
        <v>9.5211181111206458E-22</v>
      </c>
      <c r="AC162" s="22">
        <f t="shared" si="163"/>
        <v>13.346046109527046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735.00000000000011</v>
      </c>
      <c r="AJ162" s="13">
        <f>AI162*VLOOKUP('Données projet'!$B$10,Paramètres!$A$1:$I$89,3,0)*VLOOKUP('Données projet'!$B$10,Paramètres!$A$1:$I$89,5,0)</f>
        <v>343.98</v>
      </c>
      <c r="AK162" s="13">
        <f t="shared" si="164"/>
        <v>80.321681832084693</v>
      </c>
      <c r="AL162" s="20">
        <f t="shared" si="165"/>
        <v>738.9920958575475</v>
      </c>
      <c r="AM162" s="59">
        <f t="shared" si="113"/>
        <v>1032.3254291908809</v>
      </c>
      <c r="AN162" s="59">
        <f ca="1">AVERAGE(OFFSET($AM$3,0,0,'Données projet'!$E$10+1,1))-AVERAGE(OFFSET($H$3,0,0,'Données projet'!$E$10+1,1))</f>
        <v>342.49944586217674</v>
      </c>
      <c r="AO162" s="59">
        <f t="shared" si="144"/>
        <v>282.29766600872563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24.672093724131269</v>
      </c>
      <c r="AV162" s="21">
        <f>EXP(-LN(2)/25)*AV161+(1-EXP(-LN(2)/25))/(LN(2)/25)*Calculateur!AQ162*Calculateur!AS162*VLOOKUP('Données projet'!$B$10,Paramètres!$A$1:$I$89,3,0)*0.475*44/12</f>
        <v>1.1210339492150292</v>
      </c>
      <c r="AW162" s="21">
        <f>EXP(-LN(2)/2)*AW161+(1-EXP(-LN(2)/2))/(LN(2)/2)*AQ162*AT162*VLOOKUP('Données projet'!$B$10,Paramètres!$A$1:$I$89,3,0)*0.475*44/12</f>
        <v>3.173706037040218E-21</v>
      </c>
      <c r="AX162" s="21">
        <f t="shared" si="166"/>
        <v>25.793127673346298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319</v>
      </c>
      <c r="BE162" s="13">
        <f>BD162*VLOOKUP('Données projet'!$B$11,Paramètres!$A$1:$I$89,3,0)*VLOOKUP('Données projet'!$B$11,Paramètres!$A$1:$I$89,5,0)</f>
        <v>253.79640000000001</v>
      </c>
      <c r="BF162" s="13">
        <f t="shared" si="167"/>
        <v>61.39816832228076</v>
      </c>
      <c r="BG162" s="20">
        <f t="shared" si="168"/>
        <v>548.96387316130563</v>
      </c>
      <c r="BH162" s="59">
        <f t="shared" si="116"/>
        <v>842.29720649463889</v>
      </c>
      <c r="BI162" s="59">
        <f ca="1">AVERAGE(OFFSET($BH$3,0,0,'Données projet'!$E$11+1,1))-AVERAGE(OFFSET($H$3,0,0,'Données projet'!$E$11+1,1))</f>
        <v>279.49721661620544</v>
      </c>
      <c r="BJ162" s="59">
        <f t="shared" si="146"/>
        <v>275.18739333988754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11.122042763990414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11.122042763990414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732.99999999999966</v>
      </c>
      <c r="BZ162" s="13">
        <f>BY162*VLOOKUP('Données projet'!$B$12,Paramètres!$A$1:$I$89,3,0)*VLOOKUP('Données projet'!$B$12,Paramètres!$A$1:$I$89,5,0)</f>
        <v>352.57299999999987</v>
      </c>
      <c r="CA162" s="13">
        <f t="shared" si="170"/>
        <v>82.092092597941644</v>
      </c>
      <c r="CB162" s="20">
        <f t="shared" si="171"/>
        <v>757.04170294141477</v>
      </c>
      <c r="CC162" s="59">
        <f t="shared" si="119"/>
        <v>1050.375036274748</v>
      </c>
      <c r="CD162" s="59">
        <f ca="1">AVERAGE(OFFSET($CC$3,0,0,'Données projet'!$E$12+1,1))-AVERAGE(OFFSET($H$3,0,0,'Données projet'!$E$12+1,1))</f>
        <v>349.65790906807746</v>
      </c>
      <c r="CE162" s="59">
        <f t="shared" si="148"/>
        <v>291.88925884278888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26.46385222128395</v>
      </c>
      <c r="CL162" s="21">
        <f>EXP(-LN(2)/25)*CL161+(1-EXP(-LN(2)/25))/(LN(2)/25)*Calculateur!CG162*Calculateur!CI162*VLOOKUP('Données projet'!$B$12,Paramètres!$A$1:$I$89,3,0)*0.475*44/12</f>
        <v>1.152173781137672</v>
      </c>
      <c r="CM162" s="21">
        <f>EXP(-LN(2)/2)*CM161+(1-EXP(-LN(2)/2))/(LN(2)/2)*CG162*CJ162*VLOOKUP('Données projet'!$B$12,Paramètres!$A$1:$I$89,3,0)*0.475*44/12</f>
        <v>1.9571187228414663E-21</v>
      </c>
      <c r="CN162" s="22">
        <f t="shared" si="172"/>
        <v>27.616026002421624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285.99999999999972</v>
      </c>
      <c r="CU162" s="17">
        <f>CT162*VLOOKUP('Données projet'!$B$13,Paramètres!$A$1:$I$89,3,0)*VLOOKUP('Données projet'!$B$13,Paramètres!$A$1:$I$89,5,0)</f>
        <v>223.07999999999979</v>
      </c>
      <c r="CV162" s="13">
        <f t="shared" si="173"/>
        <v>54.783765878062617</v>
      </c>
      <c r="CW162" s="20">
        <f t="shared" si="174"/>
        <v>483.94605890429199</v>
      </c>
      <c r="CX162" s="59">
        <f t="shared" si="122"/>
        <v>777.2793922376253</v>
      </c>
      <c r="CY162" s="59">
        <f ca="1">AVERAGE(OFFSET($CX$3,0,0,'Données projet'!$E$13+1,1))-AVERAGE(OFFSET($H$3,0,0,'Données projet'!$E$13+1,1))</f>
        <v>215.84581110302656</v>
      </c>
      <c r="CZ162" s="59">
        <f t="shared" si="150"/>
        <v>193.88588526156104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10.067934299436567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10.067934299436567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401</v>
      </c>
      <c r="O163" s="13">
        <f>N163*VLOOKUP('Données projet'!$B$9,Paramètres!$A$1:$I$89,3,0)*VLOOKUP('Données projet'!$B$9,Paramètres!$A$1:$I$89,5,0)</f>
        <v>250.22399999999999</v>
      </c>
      <c r="P163" s="13">
        <f t="shared" si="141"/>
        <v>60.633904580527918</v>
      </c>
      <c r="Q163" s="20">
        <f t="shared" si="162"/>
        <v>541.41085047775289</v>
      </c>
      <c r="R163" s="59">
        <f t="shared" si="109"/>
        <v>834.74418381108626</v>
      </c>
      <c r="S163" s="59">
        <f ca="1">AVERAGE(OFFSET($R$3,0,0,'Données projet'!$E$9+1,1))-AVERAGE(OFFSET($H$3,0,0,'Données projet'!$E$9+1,1))</f>
        <v>269.77739619445515</v>
      </c>
      <c r="T163" s="59">
        <f t="shared" si="142"/>
        <v>347.56964743629885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10.568669403660662</v>
      </c>
      <c r="AA163" s="21">
        <f>EXP(-LN(2)/25)*AA162+(1-EXP(-LN(2)/25))/(LN(2)/25)*Calculateur!V163*Calculateur!X163*VLOOKUP('Données projet'!$B$9,Paramètres!$A$1:$I$89,3,0)*0.475*44/12</f>
        <v>2.4958192778113295</v>
      </c>
      <c r="AB163" s="21">
        <f>EXP(-LN(2)/2)*AB162+(1-EXP(-LN(2)/2))/(LN(2)/2)*V163*Y163*VLOOKUP('Données projet'!$B$9,Paramètres!$A$1:$I$89,3,0)*0.475*44/12</f>
        <v>6.7324471808514613E-22</v>
      </c>
      <c r="AC163" s="22">
        <f t="shared" si="163"/>
        <v>13.064488681471992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735.00000000000011</v>
      </c>
      <c r="AJ163" s="13">
        <f>AI163*VLOOKUP('Données projet'!$B$10,Paramètres!$A$1:$I$89,3,0)*VLOOKUP('Données projet'!$B$10,Paramètres!$A$1:$I$89,5,0)</f>
        <v>343.98</v>
      </c>
      <c r="AK163" s="13">
        <f t="shared" si="164"/>
        <v>80.321681832084693</v>
      </c>
      <c r="AL163" s="20">
        <f t="shared" si="165"/>
        <v>738.9920958575475</v>
      </c>
      <c r="AM163" s="59">
        <f t="shared" si="113"/>
        <v>1032.3254291908809</v>
      </c>
      <c r="AN163" s="59">
        <f ca="1">AVERAGE(OFFSET($AM$3,0,0,'Données projet'!$E$10+1,1))-AVERAGE(OFFSET($H$3,0,0,'Données projet'!$E$10+1,1))</f>
        <v>342.49944586217674</v>
      </c>
      <c r="AO163" s="59">
        <f t="shared" si="144"/>
        <v>282.29766600872563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24.188289014692312</v>
      </c>
      <c r="AV163" s="21">
        <f>EXP(-LN(2)/25)*AV162+(1-EXP(-LN(2)/25))/(LN(2)/25)*Calculateur!AQ163*Calculateur!AS163*VLOOKUP('Données projet'!$B$10,Paramètres!$A$1:$I$89,3,0)*0.475*44/12</f>
        <v>1.090379216921131</v>
      </c>
      <c r="AW163" s="21">
        <f>EXP(-LN(2)/2)*AW162+(1-EXP(-LN(2)/2))/(LN(2)/2)*AQ163*AT163*VLOOKUP('Données projet'!$B$10,Paramètres!$A$1:$I$89,3,0)*0.475*44/12</f>
        <v>2.2441490602838223E-21</v>
      </c>
      <c r="AX163" s="21">
        <f t="shared" si="166"/>
        <v>25.278668231613445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319</v>
      </c>
      <c r="BE163" s="13">
        <f>BD163*VLOOKUP('Données projet'!$B$11,Paramètres!$A$1:$I$89,3,0)*VLOOKUP('Données projet'!$B$11,Paramètres!$A$1:$I$89,5,0)</f>
        <v>253.79640000000001</v>
      </c>
      <c r="BF163" s="13">
        <f t="shared" si="167"/>
        <v>61.39816832228076</v>
      </c>
      <c r="BG163" s="20">
        <f t="shared" si="168"/>
        <v>548.96387316130563</v>
      </c>
      <c r="BH163" s="59">
        <f t="shared" si="116"/>
        <v>842.29720649463889</v>
      </c>
      <c r="BI163" s="59">
        <f ca="1">AVERAGE(OFFSET($BH$3,0,0,'Données projet'!$E$11+1,1))-AVERAGE(OFFSET($H$3,0,0,'Données projet'!$E$11+1,1))</f>
        <v>279.49721661620544</v>
      </c>
      <c r="BJ163" s="59">
        <f t="shared" si="146"/>
        <v>275.18739333988754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10.903946289164805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10.903946289164805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732.99999999999966</v>
      </c>
      <c r="BZ163" s="13">
        <f>BY163*VLOOKUP('Données projet'!$B$12,Paramètres!$A$1:$I$89,3,0)*VLOOKUP('Données projet'!$B$12,Paramètres!$A$1:$I$89,5,0)</f>
        <v>352.57299999999987</v>
      </c>
      <c r="CA163" s="13">
        <f t="shared" si="170"/>
        <v>82.092092597941644</v>
      </c>
      <c r="CB163" s="20">
        <f t="shared" si="171"/>
        <v>757.04170294141477</v>
      </c>
      <c r="CC163" s="59">
        <f t="shared" si="119"/>
        <v>1050.375036274748</v>
      </c>
      <c r="CD163" s="59">
        <f ca="1">AVERAGE(OFFSET($CC$3,0,0,'Données projet'!$E$12+1,1))-AVERAGE(OFFSET($H$3,0,0,'Données projet'!$E$12+1,1))</f>
        <v>349.65790906807746</v>
      </c>
      <c r="CE163" s="59">
        <f t="shared" si="148"/>
        <v>291.88925884278888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25.944912220580601</v>
      </c>
      <c r="CL163" s="21">
        <f>EXP(-LN(2)/25)*CL162+(1-EXP(-LN(2)/25))/(LN(2)/25)*Calculateur!CG163*Calculateur!CI163*VLOOKUP('Données projet'!$B$12,Paramètres!$A$1:$I$89,3,0)*0.475*44/12</f>
        <v>1.1206675285022765</v>
      </c>
      <c r="CM163" s="21">
        <f>EXP(-LN(2)/2)*CM162+(1-EXP(-LN(2)/2))/(LN(2)/2)*CG163*CJ163*VLOOKUP('Données projet'!$B$12,Paramètres!$A$1:$I$89,3,0)*0.475*44/12</f>
        <v>1.3838919205083561E-21</v>
      </c>
      <c r="CN163" s="22">
        <f t="shared" si="172"/>
        <v>27.065579749082879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285.99999999999972</v>
      </c>
      <c r="CU163" s="17">
        <f>CT163*VLOOKUP('Données projet'!$B$13,Paramètres!$A$1:$I$89,3,0)*VLOOKUP('Données projet'!$B$13,Paramètres!$A$1:$I$89,5,0)</f>
        <v>223.07999999999979</v>
      </c>
      <c r="CV163" s="13">
        <f t="shared" si="173"/>
        <v>54.783765878062617</v>
      </c>
      <c r="CW163" s="20">
        <f t="shared" si="174"/>
        <v>483.94605890429199</v>
      </c>
      <c r="CX163" s="59">
        <f t="shared" si="122"/>
        <v>777.2793922376253</v>
      </c>
      <c r="CY163" s="59">
        <f ca="1">AVERAGE(OFFSET($CX$3,0,0,'Données projet'!$E$13+1,1))-AVERAGE(OFFSET($H$3,0,0,'Données projet'!$E$13+1,1))</f>
        <v>215.84581110302656</v>
      </c>
      <c r="CZ163" s="59">
        <f t="shared" si="150"/>
        <v>193.88588526156104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9.8705082486581812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9.8705082486581812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401</v>
      </c>
      <c r="O164" s="13">
        <f>N164*VLOOKUP('Données projet'!$B$9,Paramètres!$A$1:$I$89,3,0)*VLOOKUP('Données projet'!$B$9,Paramètres!$A$1:$I$89,5,0)</f>
        <v>250.22399999999999</v>
      </c>
      <c r="P164" s="13">
        <f t="shared" si="141"/>
        <v>60.633904580527918</v>
      </c>
      <c r="Q164" s="20">
        <f t="shared" si="162"/>
        <v>541.41085047775289</v>
      </c>
      <c r="R164" s="59">
        <f t="shared" si="109"/>
        <v>834.74418381108626</v>
      </c>
      <c r="S164" s="59">
        <f ca="1">AVERAGE(OFFSET($R$3,0,0,'Données projet'!$E$9+1,1))-AVERAGE(OFFSET($H$3,0,0,'Données projet'!$E$9+1,1))</f>
        <v>269.77739619445515</v>
      </c>
      <c r="T164" s="59">
        <f t="shared" si="142"/>
        <v>347.56964743629885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10.361424242906699</v>
      </c>
      <c r="AA164" s="21">
        <f>EXP(-LN(2)/25)*AA163+(1-EXP(-LN(2)/25))/(LN(2)/25)*Calculateur!V164*Calculateur!X164*VLOOKUP('Données projet'!$B$9,Paramètres!$A$1:$I$89,3,0)*0.475*44/12</f>
        <v>2.427570968410147</v>
      </c>
      <c r="AB164" s="21">
        <f>EXP(-LN(2)/2)*AB163+(1-EXP(-LN(2)/2))/(LN(2)/2)*V164*Y164*VLOOKUP('Données projet'!$B$9,Paramètres!$A$1:$I$89,3,0)*0.475*44/12</f>
        <v>4.7605590555603229E-22</v>
      </c>
      <c r="AC164" s="22">
        <f t="shared" si="163"/>
        <v>12.788995211316845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735.00000000000011</v>
      </c>
      <c r="AJ164" s="13">
        <f>AI164*VLOOKUP('Données projet'!$B$10,Paramètres!$A$1:$I$89,3,0)*VLOOKUP('Données projet'!$B$10,Paramètres!$A$1:$I$89,5,0)</f>
        <v>343.98</v>
      </c>
      <c r="AK164" s="13">
        <f t="shared" si="164"/>
        <v>80.321681832084693</v>
      </c>
      <c r="AL164" s="20">
        <f t="shared" si="165"/>
        <v>738.9920958575475</v>
      </c>
      <c r="AM164" s="59">
        <f t="shared" si="113"/>
        <v>1032.3254291908809</v>
      </c>
      <c r="AN164" s="59">
        <f ca="1">AVERAGE(OFFSET($AM$3,0,0,'Données projet'!$E$10+1,1))-AVERAGE(OFFSET($H$3,0,0,'Données projet'!$E$10+1,1))</f>
        <v>342.49944586217674</v>
      </c>
      <c r="AO164" s="59">
        <f t="shared" si="144"/>
        <v>282.29766600872563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23.713971420513719</v>
      </c>
      <c r="AV164" s="21">
        <f>EXP(-LN(2)/25)*AV163+(1-EXP(-LN(2)/25))/(LN(2)/25)*Calculateur!AQ164*Calculateur!AS164*VLOOKUP('Données projet'!$B$10,Paramètres!$A$1:$I$89,3,0)*0.475*44/12</f>
        <v>1.0605627398938717</v>
      </c>
      <c r="AW164" s="21">
        <f>EXP(-LN(2)/2)*AW163+(1-EXP(-LN(2)/2))/(LN(2)/2)*AQ164*AT164*VLOOKUP('Données projet'!$B$10,Paramètres!$A$1:$I$89,3,0)*0.475*44/12</f>
        <v>1.586853018520109E-21</v>
      </c>
      <c r="AX164" s="21">
        <f t="shared" si="166"/>
        <v>24.77453416040759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319</v>
      </c>
      <c r="BE164" s="13">
        <f>BD164*VLOOKUP('Données projet'!$B$11,Paramètres!$A$1:$I$89,3,0)*VLOOKUP('Données projet'!$B$11,Paramètres!$A$1:$I$89,5,0)</f>
        <v>253.79640000000001</v>
      </c>
      <c r="BF164" s="13">
        <f t="shared" si="167"/>
        <v>61.39816832228076</v>
      </c>
      <c r="BG164" s="20">
        <f t="shared" si="168"/>
        <v>548.96387316130563</v>
      </c>
      <c r="BH164" s="59">
        <f t="shared" si="116"/>
        <v>842.29720649463889</v>
      </c>
      <c r="BI164" s="59">
        <f ca="1">AVERAGE(OFFSET($BH$3,0,0,'Données projet'!$E$11+1,1))-AVERAGE(OFFSET($H$3,0,0,'Données projet'!$E$11+1,1))</f>
        <v>279.49721661620544</v>
      </c>
      <c r="BJ164" s="59">
        <f t="shared" si="146"/>
        <v>275.18739333988754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10.690126553184813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10.690126553184813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732.99999999999966</v>
      </c>
      <c r="BZ164" s="13">
        <f>BY164*VLOOKUP('Données projet'!$B$12,Paramètres!$A$1:$I$89,3,0)*VLOOKUP('Données projet'!$B$12,Paramètres!$A$1:$I$89,5,0)</f>
        <v>352.57299999999987</v>
      </c>
      <c r="CA164" s="13">
        <f t="shared" si="170"/>
        <v>82.092092597941644</v>
      </c>
      <c r="CB164" s="20">
        <f t="shared" si="171"/>
        <v>757.04170294141477</v>
      </c>
      <c r="CC164" s="59">
        <f t="shared" si="119"/>
        <v>1050.375036274748</v>
      </c>
      <c r="CD164" s="59">
        <f ca="1">AVERAGE(OFFSET($CC$3,0,0,'Données projet'!$E$12+1,1))-AVERAGE(OFFSET($H$3,0,0,'Données projet'!$E$12+1,1))</f>
        <v>349.65790906807746</v>
      </c>
      <c r="CE164" s="59">
        <f t="shared" si="148"/>
        <v>291.88925884278888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25.436148316768897</v>
      </c>
      <c r="CL164" s="21">
        <f>EXP(-LN(2)/25)*CL163+(1-EXP(-LN(2)/25))/(LN(2)/25)*Calculateur!CG164*Calculateur!CI164*VLOOKUP('Données projet'!$B$12,Paramètres!$A$1:$I$89,3,0)*0.475*44/12</f>
        <v>1.0900228160020378</v>
      </c>
      <c r="CM164" s="21">
        <f>EXP(-LN(2)/2)*CM163+(1-EXP(-LN(2)/2))/(LN(2)/2)*CG164*CJ164*VLOOKUP('Données projet'!$B$12,Paramètres!$A$1:$I$89,3,0)*0.475*44/12</f>
        <v>9.7855936142073315E-22</v>
      </c>
      <c r="CN164" s="22">
        <f t="shared" si="172"/>
        <v>26.526171132770934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285.99999999999972</v>
      </c>
      <c r="CU164" s="17">
        <f>CT164*VLOOKUP('Données projet'!$B$13,Paramètres!$A$1:$I$89,3,0)*VLOOKUP('Données projet'!$B$13,Paramètres!$A$1:$I$89,5,0)</f>
        <v>223.07999999999979</v>
      </c>
      <c r="CV164" s="13">
        <f t="shared" si="173"/>
        <v>54.783765878062617</v>
      </c>
      <c r="CW164" s="20">
        <f t="shared" si="174"/>
        <v>483.94605890429199</v>
      </c>
      <c r="CX164" s="59">
        <f t="shared" si="122"/>
        <v>777.2793922376253</v>
      </c>
      <c r="CY164" s="59">
        <f ca="1">AVERAGE(OFFSET($CX$3,0,0,'Données projet'!$E$13+1,1))-AVERAGE(OFFSET($H$3,0,0,'Données projet'!$E$13+1,1))</f>
        <v>215.84581110302656</v>
      </c>
      <c r="CZ164" s="59">
        <f t="shared" si="150"/>
        <v>193.88588526156104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9.6769536023175586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9.6769536023175586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401</v>
      </c>
      <c r="O165" s="13">
        <f>N165*VLOOKUP('Données projet'!$B$9,Paramètres!$A$1:$I$89,3,0)*VLOOKUP('Données projet'!$B$9,Paramètres!$A$1:$I$89,5,0)</f>
        <v>250.22399999999999</v>
      </c>
      <c r="P165" s="13">
        <f t="shared" si="141"/>
        <v>60.633904580527918</v>
      </c>
      <c r="Q165" s="20">
        <f t="shared" si="162"/>
        <v>541.41085047775289</v>
      </c>
      <c r="R165" s="59">
        <f t="shared" si="109"/>
        <v>834.74418381108626</v>
      </c>
      <c r="S165" s="59">
        <f ca="1">AVERAGE(OFFSET($R$3,0,0,'Données projet'!$E$9+1,1))-AVERAGE(OFFSET($H$3,0,0,'Données projet'!$E$9+1,1))</f>
        <v>269.77739619445515</v>
      </c>
      <c r="T165" s="59">
        <f t="shared" si="142"/>
        <v>347.56964743629885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10.158243033348054</v>
      </c>
      <c r="AA165" s="21">
        <f>EXP(-LN(2)/25)*AA164+(1-EXP(-LN(2)/25))/(LN(2)/25)*Calculateur!V165*Calculateur!X165*VLOOKUP('Données projet'!$B$9,Paramètres!$A$1:$I$89,3,0)*0.475*44/12</f>
        <v>2.3611889126185623</v>
      </c>
      <c r="AB165" s="21">
        <f>EXP(-LN(2)/2)*AB164+(1-EXP(-LN(2)/2))/(LN(2)/2)*V165*Y165*VLOOKUP('Données projet'!$B$9,Paramètres!$A$1:$I$89,3,0)*0.475*44/12</f>
        <v>3.3662235904257307E-22</v>
      </c>
      <c r="AC165" s="22">
        <f t="shared" si="163"/>
        <v>12.519431945966616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735.00000000000011</v>
      </c>
      <c r="AJ165" s="13">
        <f>AI165*VLOOKUP('Données projet'!$B$10,Paramètres!$A$1:$I$89,3,0)*VLOOKUP('Données projet'!$B$10,Paramètres!$A$1:$I$89,5,0)</f>
        <v>343.98</v>
      </c>
      <c r="AK165" s="13">
        <f t="shared" si="164"/>
        <v>80.321681832084693</v>
      </c>
      <c r="AL165" s="20">
        <f t="shared" si="165"/>
        <v>738.9920958575475</v>
      </c>
      <c r="AM165" s="59">
        <f t="shared" si="113"/>
        <v>1032.3254291908809</v>
      </c>
      <c r="AN165" s="59">
        <f ca="1">AVERAGE(OFFSET($AM$3,0,0,'Données projet'!$E$10+1,1))-AVERAGE(OFFSET($H$3,0,0,'Données projet'!$E$10+1,1))</f>
        <v>342.49944586217674</v>
      </c>
      <c r="AO165" s="59">
        <f t="shared" si="144"/>
        <v>282.29766600872563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23.2489549050518</v>
      </c>
      <c r="AV165" s="21">
        <f>EXP(-LN(2)/25)*AV164+(1-EXP(-LN(2)/25))/(LN(2)/25)*Calculateur!AQ165*Calculateur!AS165*VLOOKUP('Données projet'!$B$10,Paramètres!$A$1:$I$89,3,0)*0.475*44/12</f>
        <v>1.0315615959989033</v>
      </c>
      <c r="AW165" s="21">
        <f>EXP(-LN(2)/2)*AW164+(1-EXP(-LN(2)/2))/(LN(2)/2)*AQ165*AT165*VLOOKUP('Données projet'!$B$10,Paramètres!$A$1:$I$89,3,0)*0.475*44/12</f>
        <v>1.1220745301419112E-21</v>
      </c>
      <c r="AX165" s="21">
        <f t="shared" si="166"/>
        <v>24.280516501050702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319</v>
      </c>
      <c r="BE165" s="13">
        <f>BD165*VLOOKUP('Données projet'!$B$11,Paramètres!$A$1:$I$89,3,0)*VLOOKUP('Données projet'!$B$11,Paramètres!$A$1:$I$89,5,0)</f>
        <v>253.79640000000001</v>
      </c>
      <c r="BF165" s="13">
        <f t="shared" si="167"/>
        <v>61.39816832228076</v>
      </c>
      <c r="BG165" s="20">
        <f t="shared" si="168"/>
        <v>548.96387316130563</v>
      </c>
      <c r="BH165" s="59">
        <f t="shared" si="116"/>
        <v>842.29720649463889</v>
      </c>
      <c r="BI165" s="59">
        <f ca="1">AVERAGE(OFFSET($BH$3,0,0,'Données projet'!$E$11+1,1))-AVERAGE(OFFSET($H$3,0,0,'Données projet'!$E$11+1,1))</f>
        <v>279.49721661620544</v>
      </c>
      <c r="BJ165" s="59">
        <f t="shared" si="146"/>
        <v>275.18739333988754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10.480499691810227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10.480499691810227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732.99999999999966</v>
      </c>
      <c r="BZ165" s="13">
        <f>BY165*VLOOKUP('Données projet'!$B$12,Paramètres!$A$1:$I$89,3,0)*VLOOKUP('Données projet'!$B$12,Paramètres!$A$1:$I$89,5,0)</f>
        <v>352.57299999999987</v>
      </c>
      <c r="CA165" s="13">
        <f t="shared" si="170"/>
        <v>82.092092597941644</v>
      </c>
      <c r="CB165" s="20">
        <f t="shared" si="171"/>
        <v>757.04170294141477</v>
      </c>
      <c r="CC165" s="59">
        <f t="shared" si="119"/>
        <v>1050.375036274748</v>
      </c>
      <c r="CD165" s="59">
        <f ca="1">AVERAGE(OFFSET($CC$3,0,0,'Données projet'!$E$12+1,1))-AVERAGE(OFFSET($H$3,0,0,'Données projet'!$E$12+1,1))</f>
        <v>349.65790906807746</v>
      </c>
      <c r="CE165" s="59">
        <f t="shared" si="148"/>
        <v>291.88925884278888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24.937360962795601</v>
      </c>
      <c r="CL165" s="21">
        <f>EXP(-LN(2)/25)*CL164+(1-EXP(-LN(2)/25))/(LN(2)/25)*Calculateur!CG165*Calculateur!CI165*VLOOKUP('Données projet'!$B$12,Paramètres!$A$1:$I$89,3,0)*0.475*44/12</f>
        <v>1.0602160847766535</v>
      </c>
      <c r="CM165" s="21">
        <f>EXP(-LN(2)/2)*CM164+(1-EXP(-LN(2)/2))/(LN(2)/2)*CG165*CJ165*VLOOKUP('Données projet'!$B$12,Paramètres!$A$1:$I$89,3,0)*0.475*44/12</f>
        <v>6.9194596025417803E-22</v>
      </c>
      <c r="CN165" s="22">
        <f t="shared" si="172"/>
        <v>25.997577047572253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285.99999999999972</v>
      </c>
      <c r="CU165" s="17">
        <f>CT165*VLOOKUP('Données projet'!$B$13,Paramètres!$A$1:$I$89,3,0)*VLOOKUP('Données projet'!$B$13,Paramètres!$A$1:$I$89,5,0)</f>
        <v>223.07999999999979</v>
      </c>
      <c r="CV165" s="13">
        <f t="shared" si="173"/>
        <v>54.783765878062617</v>
      </c>
      <c r="CW165" s="20">
        <f t="shared" si="174"/>
        <v>483.94605890429199</v>
      </c>
      <c r="CX165" s="59">
        <f t="shared" si="122"/>
        <v>777.2793922376253</v>
      </c>
      <c r="CY165" s="59">
        <f ca="1">AVERAGE(OFFSET($CX$3,0,0,'Données projet'!$E$13+1,1))-AVERAGE(OFFSET($H$3,0,0,'Données projet'!$E$13+1,1))</f>
        <v>215.84581110302656</v>
      </c>
      <c r="CZ165" s="59">
        <f t="shared" si="150"/>
        <v>193.88588526156104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9.4871944445349996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9.4871944445349996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401</v>
      </c>
      <c r="O166" s="13">
        <f>N166*VLOOKUP('Données projet'!$B$9,Paramètres!$A$1:$I$89,3,0)*VLOOKUP('Données projet'!$B$9,Paramètres!$A$1:$I$89,5,0)</f>
        <v>250.22399999999999</v>
      </c>
      <c r="P166" s="13">
        <f t="shared" si="141"/>
        <v>60.633904580527918</v>
      </c>
      <c r="Q166" s="20">
        <f t="shared" si="162"/>
        <v>541.41085047775289</v>
      </c>
      <c r="R166" s="59">
        <f t="shared" si="109"/>
        <v>834.74418381108626</v>
      </c>
      <c r="S166" s="59">
        <f ca="1">AVERAGE(OFFSET($R$3,0,0,'Données projet'!$E$9+1,1))-AVERAGE(OFFSET($H$3,0,0,'Données projet'!$E$9+1,1))</f>
        <v>269.77739619445515</v>
      </c>
      <c r="T166" s="59">
        <f t="shared" si="142"/>
        <v>347.56964743629885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9.959046083380553</v>
      </c>
      <c r="AA166" s="21">
        <f>EXP(-LN(2)/25)*AA165+(1-EXP(-LN(2)/25))/(LN(2)/25)*Calculateur!V166*Calculateur!X166*VLOOKUP('Données projet'!$B$9,Paramètres!$A$1:$I$89,3,0)*0.475*44/12</f>
        <v>2.2966220776334794</v>
      </c>
      <c r="AB166" s="21">
        <f>EXP(-LN(2)/2)*AB165+(1-EXP(-LN(2)/2))/(LN(2)/2)*V166*Y166*VLOOKUP('Données projet'!$B$9,Paramètres!$A$1:$I$89,3,0)*0.475*44/12</f>
        <v>2.3802795277801615E-22</v>
      </c>
      <c r="AC166" s="22">
        <f t="shared" si="163"/>
        <v>12.255668161014032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735.00000000000011</v>
      </c>
      <c r="AJ166" s="13">
        <f>AI166*VLOOKUP('Données projet'!$B$10,Paramètres!$A$1:$I$89,3,0)*VLOOKUP('Données projet'!$B$10,Paramètres!$A$1:$I$89,5,0)</f>
        <v>343.98</v>
      </c>
      <c r="AK166" s="13">
        <f t="shared" si="164"/>
        <v>80.321681832084693</v>
      </c>
      <c r="AL166" s="20">
        <f t="shared" si="165"/>
        <v>738.9920958575475</v>
      </c>
      <c r="AM166" s="59">
        <f t="shared" si="113"/>
        <v>1032.3254291908809</v>
      </c>
      <c r="AN166" s="59">
        <f ca="1">AVERAGE(OFFSET($AM$3,0,0,'Données projet'!$E$10+1,1))-AVERAGE(OFFSET($H$3,0,0,'Données projet'!$E$10+1,1))</f>
        <v>342.49944586217674</v>
      </c>
      <c r="AO166" s="59">
        <f t="shared" si="144"/>
        <v>282.29766600872563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22.793057079826021</v>
      </c>
      <c r="AV166" s="21">
        <f>EXP(-LN(2)/25)*AV165+(1-EXP(-LN(2)/25))/(LN(2)/25)*Calculateur!AQ166*Calculateur!AS166*VLOOKUP('Données projet'!$B$10,Paramètres!$A$1:$I$89,3,0)*0.475*44/12</f>
        <v>1.0033534899088465</v>
      </c>
      <c r="AW166" s="21">
        <f>EXP(-LN(2)/2)*AW165+(1-EXP(-LN(2)/2))/(LN(2)/2)*AQ166*AT166*VLOOKUP('Données projet'!$B$10,Paramètres!$A$1:$I$89,3,0)*0.475*44/12</f>
        <v>7.9342650926005451E-22</v>
      </c>
      <c r="AX166" s="21">
        <f t="shared" si="166"/>
        <v>23.796410569734867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319</v>
      </c>
      <c r="BE166" s="13">
        <f>BD166*VLOOKUP('Données projet'!$B$11,Paramètres!$A$1:$I$89,3,0)*VLOOKUP('Données projet'!$B$11,Paramètres!$A$1:$I$89,5,0)</f>
        <v>253.79640000000001</v>
      </c>
      <c r="BF166" s="13">
        <f t="shared" si="167"/>
        <v>61.39816832228076</v>
      </c>
      <c r="BG166" s="20">
        <f t="shared" si="168"/>
        <v>548.96387316130563</v>
      </c>
      <c r="BH166" s="59">
        <f t="shared" si="116"/>
        <v>842.29720649463889</v>
      </c>
      <c r="BI166" s="59">
        <f ca="1">AVERAGE(OFFSET($BH$3,0,0,'Données projet'!$E$11+1,1))-AVERAGE(OFFSET($H$3,0,0,'Données projet'!$E$11+1,1))</f>
        <v>279.49721661620544</v>
      </c>
      <c r="BJ166" s="59">
        <f t="shared" si="146"/>
        <v>275.18739333988754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10.274983485327436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10.274983485327436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732.99999999999966</v>
      </c>
      <c r="BZ166" s="13">
        <f>BY166*VLOOKUP('Données projet'!$B$12,Paramètres!$A$1:$I$89,3,0)*VLOOKUP('Données projet'!$B$12,Paramètres!$A$1:$I$89,5,0)</f>
        <v>352.57299999999987</v>
      </c>
      <c r="CA166" s="13">
        <f t="shared" si="170"/>
        <v>82.092092597941644</v>
      </c>
      <c r="CB166" s="20">
        <f t="shared" si="171"/>
        <v>757.04170294141477</v>
      </c>
      <c r="CC166" s="59">
        <f t="shared" si="119"/>
        <v>1050.375036274748</v>
      </c>
      <c r="CD166" s="59">
        <f ca="1">AVERAGE(OFFSET($CC$3,0,0,'Données projet'!$E$12+1,1))-AVERAGE(OFFSET($H$3,0,0,'Données projet'!$E$12+1,1))</f>
        <v>349.65790906807746</v>
      </c>
      <c r="CE166" s="59">
        <f t="shared" si="148"/>
        <v>291.88925884278888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24.448354524603477</v>
      </c>
      <c r="CL166" s="21">
        <f>EXP(-LN(2)/25)*CL165+(1-EXP(-LN(2)/25))/(LN(2)/25)*Calculateur!CG166*Calculateur!CI166*VLOOKUP('Données projet'!$B$12,Paramètres!$A$1:$I$89,3,0)*0.475*44/12</f>
        <v>1.0312244201840952</v>
      </c>
      <c r="CM166" s="21">
        <f>EXP(-LN(2)/2)*CM165+(1-EXP(-LN(2)/2))/(LN(2)/2)*CG166*CJ166*VLOOKUP('Données projet'!$B$12,Paramètres!$A$1:$I$89,3,0)*0.475*44/12</f>
        <v>4.8927968071036657E-22</v>
      </c>
      <c r="CN166" s="22">
        <f t="shared" si="172"/>
        <v>25.479578944787573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285.99999999999972</v>
      </c>
      <c r="CU166" s="17">
        <f>CT166*VLOOKUP('Données projet'!$B$13,Paramètres!$A$1:$I$89,3,0)*VLOOKUP('Données projet'!$B$13,Paramètres!$A$1:$I$89,5,0)</f>
        <v>223.07999999999979</v>
      </c>
      <c r="CV166" s="13">
        <f t="shared" si="173"/>
        <v>54.783765878062617</v>
      </c>
      <c r="CW166" s="20">
        <f t="shared" si="174"/>
        <v>483.94605890429199</v>
      </c>
      <c r="CX166" s="59">
        <f t="shared" si="122"/>
        <v>777.2793922376253</v>
      </c>
      <c r="CY166" s="59">
        <f ca="1">AVERAGE(OFFSET($CX$3,0,0,'Données projet'!$E$13+1,1))-AVERAGE(OFFSET($H$3,0,0,'Données projet'!$E$13+1,1))</f>
        <v>215.84581110302656</v>
      </c>
      <c r="CZ166" s="59">
        <f t="shared" si="150"/>
        <v>193.88588526156104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9.3011563480948976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9.3011563480948976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401</v>
      </c>
      <c r="O167" s="13">
        <f>N167*VLOOKUP('Données projet'!$B$9,Paramètres!$A$1:$I$89,3,0)*VLOOKUP('Données projet'!$B$9,Paramètres!$A$1:$I$89,5,0)</f>
        <v>250.22399999999999</v>
      </c>
      <c r="P167" s="13">
        <f t="shared" si="141"/>
        <v>60.633904580527918</v>
      </c>
      <c r="Q167" s="20">
        <f t="shared" si="162"/>
        <v>541.41085047775289</v>
      </c>
      <c r="R167" s="59">
        <f t="shared" si="109"/>
        <v>834.74418381108626</v>
      </c>
      <c r="S167" s="59">
        <f ca="1">AVERAGE(OFFSET($R$3,0,0,'Données projet'!$E$9+1,1))-AVERAGE(OFFSET($H$3,0,0,'Données projet'!$E$9+1,1))</f>
        <v>269.77739619445515</v>
      </c>
      <c r="T167" s="59">
        <f t="shared" si="142"/>
        <v>347.56964743629885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9.7637552641037715</v>
      </c>
      <c r="AA167" s="21">
        <f>EXP(-LN(2)/25)*AA166+(1-EXP(-LN(2)/25))/(LN(2)/25)*Calculateur!V167*Calculateur!X167*VLOOKUP('Données projet'!$B$9,Paramètres!$A$1:$I$89,3,0)*0.475*44/12</f>
        <v>2.233820826146486</v>
      </c>
      <c r="AB167" s="21">
        <f>EXP(-LN(2)/2)*AB166+(1-EXP(-LN(2)/2))/(LN(2)/2)*V167*Y167*VLOOKUP('Données projet'!$B$9,Paramètres!$A$1:$I$89,3,0)*0.475*44/12</f>
        <v>1.6831117952128653E-22</v>
      </c>
      <c r="AC167" s="22">
        <f t="shared" si="163"/>
        <v>11.997576090250258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735.00000000000011</v>
      </c>
      <c r="AJ167" s="13">
        <f>AI167*VLOOKUP('Données projet'!$B$10,Paramètres!$A$1:$I$89,3,0)*VLOOKUP('Données projet'!$B$10,Paramètres!$A$1:$I$89,5,0)</f>
        <v>343.98</v>
      </c>
      <c r="AK167" s="13">
        <f t="shared" si="164"/>
        <v>80.321681832084693</v>
      </c>
      <c r="AL167" s="20">
        <f t="shared" si="165"/>
        <v>738.9920958575475</v>
      </c>
      <c r="AM167" s="59">
        <f t="shared" si="113"/>
        <v>1032.3254291908809</v>
      </c>
      <c r="AN167" s="59">
        <f ca="1">AVERAGE(OFFSET($AM$3,0,0,'Données projet'!$E$10+1,1))-AVERAGE(OFFSET($H$3,0,0,'Données projet'!$E$10+1,1))</f>
        <v>342.49944586217674</v>
      </c>
      <c r="AO167" s="59">
        <f t="shared" si="144"/>
        <v>282.29766600872563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22.346099132882703</v>
      </c>
      <c r="AV167" s="21">
        <f>EXP(-LN(2)/25)*AV166+(1-EXP(-LN(2)/25))/(LN(2)/25)*Calculateur!AQ167*Calculateur!AS167*VLOOKUP('Données projet'!$B$10,Paramètres!$A$1:$I$89,3,0)*0.475*44/12</f>
        <v>0.97591673596322226</v>
      </c>
      <c r="AW167" s="21">
        <f>EXP(-LN(2)/2)*AW166+(1-EXP(-LN(2)/2))/(LN(2)/2)*AQ167*AT167*VLOOKUP('Données projet'!$B$10,Paramètres!$A$1:$I$89,3,0)*0.475*44/12</f>
        <v>5.6103726507095558E-22</v>
      </c>
      <c r="AX167" s="21">
        <f t="shared" si="166"/>
        <v>23.322015868845924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319</v>
      </c>
      <c r="BE167" s="13">
        <f>BD167*VLOOKUP('Données projet'!$B$11,Paramètres!$A$1:$I$89,3,0)*VLOOKUP('Données projet'!$B$11,Paramètres!$A$1:$I$89,5,0)</f>
        <v>253.79640000000001</v>
      </c>
      <c r="BF167" s="13">
        <f t="shared" si="167"/>
        <v>61.39816832228076</v>
      </c>
      <c r="BG167" s="20">
        <f t="shared" si="168"/>
        <v>548.96387316130563</v>
      </c>
      <c r="BH167" s="59">
        <f t="shared" si="116"/>
        <v>842.29720649463889</v>
      </c>
      <c r="BI167" s="59">
        <f ca="1">AVERAGE(OFFSET($BH$3,0,0,'Données projet'!$E$11+1,1))-AVERAGE(OFFSET($H$3,0,0,'Données projet'!$E$11+1,1))</f>
        <v>279.49721661620544</v>
      </c>
      <c r="BJ167" s="59">
        <f t="shared" si="146"/>
        <v>275.18739333988754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10.073497326301265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10.073497326301265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732.99999999999966</v>
      </c>
      <c r="BZ167" s="13">
        <f>BY167*VLOOKUP('Données projet'!$B$12,Paramètres!$A$1:$I$89,3,0)*VLOOKUP('Données projet'!$B$12,Paramètres!$A$1:$I$89,5,0)</f>
        <v>352.57299999999987</v>
      </c>
      <c r="CA167" s="13">
        <f t="shared" si="170"/>
        <v>82.092092597941644</v>
      </c>
      <c r="CB167" s="20">
        <f t="shared" si="171"/>
        <v>757.04170294141477</v>
      </c>
      <c r="CC167" s="59">
        <f t="shared" si="119"/>
        <v>1050.375036274748</v>
      </c>
      <c r="CD167" s="59">
        <f ca="1">AVERAGE(OFFSET($CC$3,0,0,'Données projet'!$E$12+1,1))-AVERAGE(OFFSET($H$3,0,0,'Données projet'!$E$12+1,1))</f>
        <v>349.65790906807746</v>
      </c>
      <c r="CE167" s="59">
        <f t="shared" si="148"/>
        <v>291.88925884278888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23.968937204399822</v>
      </c>
      <c r="CL167" s="21">
        <f>EXP(-LN(2)/25)*CL166+(1-EXP(-LN(2)/25))/(LN(2)/25)*Calculateur!CG167*Calculateur!CI167*VLOOKUP('Données projet'!$B$12,Paramètres!$A$1:$I$89,3,0)*0.475*44/12</f>
        <v>1.0030255341844259</v>
      </c>
      <c r="CM167" s="21">
        <f>EXP(-LN(2)/2)*CM166+(1-EXP(-LN(2)/2))/(LN(2)/2)*CG167*CJ167*VLOOKUP('Données projet'!$B$12,Paramètres!$A$1:$I$89,3,0)*0.475*44/12</f>
        <v>3.4597298012708902E-22</v>
      </c>
      <c r="CN167" s="22">
        <f t="shared" si="172"/>
        <v>24.971962738584249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285.99999999999972</v>
      </c>
      <c r="CU167" s="17">
        <f>CT167*VLOOKUP('Données projet'!$B$13,Paramètres!$A$1:$I$89,3,0)*VLOOKUP('Données projet'!$B$13,Paramètres!$A$1:$I$89,5,0)</f>
        <v>223.07999999999979</v>
      </c>
      <c r="CV167" s="13">
        <f t="shared" si="173"/>
        <v>54.783765878062617</v>
      </c>
      <c r="CW167" s="20">
        <f t="shared" si="174"/>
        <v>483.94605890429199</v>
      </c>
      <c r="CX167" s="59">
        <f t="shared" si="122"/>
        <v>777.2793922376253</v>
      </c>
      <c r="CY167" s="59">
        <f ca="1">AVERAGE(OFFSET($CX$3,0,0,'Données projet'!$E$13+1,1))-AVERAGE(OFFSET($H$3,0,0,'Données projet'!$E$13+1,1))</f>
        <v>215.84581110302656</v>
      </c>
      <c r="CZ167" s="59">
        <f t="shared" si="150"/>
        <v>193.88588526156104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9.1187663452539525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9.1187663452539525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401</v>
      </c>
      <c r="O168" s="13">
        <f>N168*VLOOKUP('Données projet'!$B$9,Paramètres!$A$1:$I$89,3,0)*VLOOKUP('Données projet'!$B$9,Paramètres!$A$1:$I$89,5,0)</f>
        <v>250.22399999999999</v>
      </c>
      <c r="P168" s="13">
        <f t="shared" si="141"/>
        <v>60.633904580527918</v>
      </c>
      <c r="Q168" s="20">
        <f t="shared" si="162"/>
        <v>541.41085047775289</v>
      </c>
      <c r="R168" s="59">
        <f t="shared" si="109"/>
        <v>834.74418381108626</v>
      </c>
      <c r="S168" s="59">
        <f ca="1">AVERAGE(OFFSET($R$3,0,0,'Données projet'!$E$9+1,1))-AVERAGE(OFFSET($H$3,0,0,'Données projet'!$E$9+1,1))</f>
        <v>269.77739619445515</v>
      </c>
      <c r="T168" s="59">
        <f t="shared" si="142"/>
        <v>347.56964743629885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9.5722939786773704</v>
      </c>
      <c r="AA168" s="21">
        <f>EXP(-LN(2)/25)*AA167+(1-EXP(-LN(2)/25))/(LN(2)/25)*Calculateur!V168*Calculateur!X168*VLOOKUP('Données projet'!$B$9,Paramètres!$A$1:$I$89,3,0)*0.475*44/12</f>
        <v>2.1727368781839784</v>
      </c>
      <c r="AB168" s="21">
        <f>EXP(-LN(2)/2)*AB167+(1-EXP(-LN(2)/2))/(LN(2)/2)*V168*Y168*VLOOKUP('Données projet'!$B$9,Paramètres!$A$1:$I$89,3,0)*0.475*44/12</f>
        <v>1.1901397638900807E-22</v>
      </c>
      <c r="AC168" s="22">
        <f t="shared" si="163"/>
        <v>11.745030856861348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735.00000000000011</v>
      </c>
      <c r="AJ168" s="13">
        <f>AI168*VLOOKUP('Données projet'!$B$10,Paramètres!$A$1:$I$89,3,0)*VLOOKUP('Données projet'!$B$10,Paramètres!$A$1:$I$89,5,0)</f>
        <v>343.98</v>
      </c>
      <c r="AK168" s="13">
        <f t="shared" si="164"/>
        <v>80.321681832084693</v>
      </c>
      <c r="AL168" s="20">
        <f t="shared" si="165"/>
        <v>738.9920958575475</v>
      </c>
      <c r="AM168" s="59">
        <f t="shared" si="113"/>
        <v>1032.3254291908809</v>
      </c>
      <c r="AN168" s="59">
        <f ca="1">AVERAGE(OFFSET($AM$3,0,0,'Données projet'!$E$10+1,1))-AVERAGE(OFFSET($H$3,0,0,'Données projet'!$E$10+1,1))</f>
        <v>342.49944586217674</v>
      </c>
      <c r="AO168" s="59">
        <f t="shared" si="144"/>
        <v>282.29766600872563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21.907905758661517</v>
      </c>
      <c r="AV168" s="21">
        <f>EXP(-LN(2)/25)*AV167+(1-EXP(-LN(2)/25))/(LN(2)/25)*Calculateur!AQ168*Calculateur!AS168*VLOOKUP('Données projet'!$B$10,Paramètres!$A$1:$I$89,3,0)*0.475*44/12</f>
        <v>0.94923024149707724</v>
      </c>
      <c r="AW168" s="21">
        <f>EXP(-LN(2)/2)*AW167+(1-EXP(-LN(2)/2))/(LN(2)/2)*AQ168*AT168*VLOOKUP('Données projet'!$B$10,Paramètres!$A$1:$I$89,3,0)*0.475*44/12</f>
        <v>3.9671325463002725E-22</v>
      </c>
      <c r="AX168" s="21">
        <f t="shared" si="166"/>
        <v>22.857136000158594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319</v>
      </c>
      <c r="BE168" s="13">
        <f>BD168*VLOOKUP('Données projet'!$B$11,Paramètres!$A$1:$I$89,3,0)*VLOOKUP('Données projet'!$B$11,Paramètres!$A$1:$I$89,5,0)</f>
        <v>253.79640000000001</v>
      </c>
      <c r="BF168" s="13">
        <f t="shared" si="167"/>
        <v>61.39816832228076</v>
      </c>
      <c r="BG168" s="20">
        <f t="shared" si="168"/>
        <v>548.96387316130563</v>
      </c>
      <c r="BH168" s="59">
        <f t="shared" si="116"/>
        <v>842.29720649463889</v>
      </c>
      <c r="BI168" s="59">
        <f ca="1">AVERAGE(OFFSET($BH$3,0,0,'Données projet'!$E$11+1,1))-AVERAGE(OFFSET($H$3,0,0,'Données projet'!$E$11+1,1))</f>
        <v>279.49721661620544</v>
      </c>
      <c r="BJ168" s="59">
        <f t="shared" si="146"/>
        <v>275.18739333988754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9.8759621879591748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9.8759621879591748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732.99999999999966</v>
      </c>
      <c r="BZ168" s="13">
        <f>BY168*VLOOKUP('Données projet'!$B$12,Paramètres!$A$1:$I$89,3,0)*VLOOKUP('Données projet'!$B$12,Paramètres!$A$1:$I$89,5,0)</f>
        <v>352.57299999999987</v>
      </c>
      <c r="CA168" s="13">
        <f t="shared" si="170"/>
        <v>82.092092597941644</v>
      </c>
      <c r="CB168" s="20">
        <f t="shared" si="171"/>
        <v>757.04170294141477</v>
      </c>
      <c r="CC168" s="59">
        <f t="shared" si="119"/>
        <v>1050.375036274748</v>
      </c>
      <c r="CD168" s="59">
        <f ca="1">AVERAGE(OFFSET($CC$3,0,0,'Données projet'!$E$12+1,1))-AVERAGE(OFFSET($H$3,0,0,'Données projet'!$E$12+1,1))</f>
        <v>349.65790906807746</v>
      </c>
      <c r="CE168" s="59">
        <f t="shared" si="148"/>
        <v>291.88925884278888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23.498920965429669</v>
      </c>
      <c r="CL168" s="21">
        <f>EXP(-LN(2)/25)*CL167+(1-EXP(-LN(2)/25))/(LN(2)/25)*Calculateur!CG168*Calculateur!CI168*VLOOKUP('Données projet'!$B$12,Paramètres!$A$1:$I$89,3,0)*0.475*44/12</f>
        <v>0.97559774820533229</v>
      </c>
      <c r="CM168" s="21">
        <f>EXP(-LN(2)/2)*CM167+(1-EXP(-LN(2)/2))/(LN(2)/2)*CG168*CJ168*VLOOKUP('Données projet'!$B$12,Paramètres!$A$1:$I$89,3,0)*0.475*44/12</f>
        <v>2.4463984035518329E-22</v>
      </c>
      <c r="CN168" s="22">
        <f t="shared" si="172"/>
        <v>24.474518713635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285.99999999999972</v>
      </c>
      <c r="CU168" s="17">
        <f>CT168*VLOOKUP('Données projet'!$B$13,Paramètres!$A$1:$I$89,3,0)*VLOOKUP('Données projet'!$B$13,Paramètres!$A$1:$I$89,5,0)</f>
        <v>223.07999999999979</v>
      </c>
      <c r="CV168" s="13">
        <f t="shared" si="173"/>
        <v>54.783765878062617</v>
      </c>
      <c r="CW168" s="20">
        <f t="shared" si="174"/>
        <v>483.94605890429199</v>
      </c>
      <c r="CX168" s="59">
        <f t="shared" si="122"/>
        <v>777.2793922376253</v>
      </c>
      <c r="CY168" s="59">
        <f ca="1">AVERAGE(OFFSET($CX$3,0,0,'Données projet'!$E$13+1,1))-AVERAGE(OFFSET($H$3,0,0,'Données projet'!$E$13+1,1))</f>
        <v>215.84581110302656</v>
      </c>
      <c r="CZ168" s="59">
        <f t="shared" si="150"/>
        <v>193.88588526156104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8.9399528991218009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8.9399528991218009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401</v>
      </c>
      <c r="O169" s="13">
        <f>N169*VLOOKUP('Données projet'!$B$9,Paramètres!$A$1:$I$89,3,0)*VLOOKUP('Données projet'!$B$9,Paramètres!$A$1:$I$89,5,0)</f>
        <v>250.22399999999999</v>
      </c>
      <c r="P169" s="13">
        <f t="shared" si="141"/>
        <v>60.633904580527918</v>
      </c>
      <c r="Q169" s="20">
        <f t="shared" si="162"/>
        <v>541.41085047775289</v>
      </c>
      <c r="R169" s="59">
        <f t="shared" si="109"/>
        <v>834.74418381108626</v>
      </c>
      <c r="S169" s="59">
        <f ca="1">AVERAGE(OFFSET($R$3,0,0,'Données projet'!$E$9+1,1))-AVERAGE(OFFSET($H$3,0,0,'Données projet'!$E$9+1,1))</f>
        <v>269.77739619445515</v>
      </c>
      <c r="T169" s="59">
        <f t="shared" si="142"/>
        <v>347.56964743629885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9.3845871322783285</v>
      </c>
      <c r="AA169" s="21">
        <f>EXP(-LN(2)/25)*AA168+(1-EXP(-LN(2)/25))/(LN(2)/25)*Calculateur!V169*Calculateur!X169*VLOOKUP('Données projet'!$B$9,Paramètres!$A$1:$I$89,3,0)*0.475*44/12</f>
        <v>2.1133232739907708</v>
      </c>
      <c r="AB169" s="21">
        <f>EXP(-LN(2)/2)*AB168+(1-EXP(-LN(2)/2))/(LN(2)/2)*V169*Y169*VLOOKUP('Données projet'!$B$9,Paramètres!$A$1:$I$89,3,0)*0.475*44/12</f>
        <v>8.4155589760643267E-23</v>
      </c>
      <c r="AC169" s="22">
        <f t="shared" si="163"/>
        <v>11.497910406269099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735.00000000000011</v>
      </c>
      <c r="AJ169" s="13">
        <f>AI169*VLOOKUP('Données projet'!$B$10,Paramètres!$A$1:$I$89,3,0)*VLOOKUP('Données projet'!$B$10,Paramètres!$A$1:$I$89,5,0)</f>
        <v>343.98</v>
      </c>
      <c r="AK169" s="13">
        <f t="shared" si="164"/>
        <v>80.321681832084693</v>
      </c>
      <c r="AL169" s="20">
        <f t="shared" si="165"/>
        <v>738.9920958575475</v>
      </c>
      <c r="AM169" s="59">
        <f t="shared" si="113"/>
        <v>1032.3254291908809</v>
      </c>
      <c r="AN169" s="59">
        <f ca="1">AVERAGE(OFFSET($AM$3,0,0,'Données projet'!$E$10+1,1))-AVERAGE(OFFSET($H$3,0,0,'Données projet'!$E$10+1,1))</f>
        <v>342.49944586217674</v>
      </c>
      <c r="AO169" s="59">
        <f t="shared" si="144"/>
        <v>282.29766600872563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21.478305089237239</v>
      </c>
      <c r="AV169" s="21">
        <f>EXP(-LN(2)/25)*AV168+(1-EXP(-LN(2)/25))/(LN(2)/25)*Calculateur!AQ169*Calculateur!AS169*VLOOKUP('Données projet'!$B$10,Paramètres!$A$1:$I$89,3,0)*0.475*44/12</f>
        <v>0.9232734906254908</v>
      </c>
      <c r="AW169" s="21">
        <f>EXP(-LN(2)/2)*AW168+(1-EXP(-LN(2)/2))/(LN(2)/2)*AQ169*AT169*VLOOKUP('Données projet'!$B$10,Paramètres!$A$1:$I$89,3,0)*0.475*44/12</f>
        <v>2.8051863253547779E-22</v>
      </c>
      <c r="AX169" s="21">
        <f t="shared" si="166"/>
        <v>22.401578579862729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319</v>
      </c>
      <c r="BE169" s="13">
        <f>BD169*VLOOKUP('Données projet'!$B$11,Paramètres!$A$1:$I$89,3,0)*VLOOKUP('Données projet'!$B$11,Paramètres!$A$1:$I$89,5,0)</f>
        <v>253.79640000000001</v>
      </c>
      <c r="BF169" s="13">
        <f t="shared" si="167"/>
        <v>61.39816832228076</v>
      </c>
      <c r="BG169" s="20">
        <f t="shared" si="168"/>
        <v>548.96387316130563</v>
      </c>
      <c r="BH169" s="59">
        <f t="shared" si="116"/>
        <v>842.29720649463889</v>
      </c>
      <c r="BI169" s="59">
        <f ca="1">AVERAGE(OFFSET($BH$3,0,0,'Données projet'!$E$11+1,1))-AVERAGE(OFFSET($H$3,0,0,'Données projet'!$E$11+1,1))</f>
        <v>279.49721661620544</v>
      </c>
      <c r="BJ169" s="59">
        <f t="shared" si="146"/>
        <v>275.18739333988754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9.6823005931954356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9.6823005931954356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732.99999999999966</v>
      </c>
      <c r="BZ169" s="13">
        <f>BY169*VLOOKUP('Données projet'!$B$12,Paramètres!$A$1:$I$89,3,0)*VLOOKUP('Données projet'!$B$12,Paramètres!$A$1:$I$89,5,0)</f>
        <v>352.57299999999987</v>
      </c>
      <c r="CA169" s="13">
        <f t="shared" si="170"/>
        <v>82.092092597941644</v>
      </c>
      <c r="CB169" s="20">
        <f t="shared" si="171"/>
        <v>757.04170294141477</v>
      </c>
      <c r="CC169" s="59">
        <f t="shared" si="119"/>
        <v>1050.375036274748</v>
      </c>
      <c r="CD169" s="59">
        <f ca="1">AVERAGE(OFFSET($CC$3,0,0,'Données projet'!$E$12+1,1))-AVERAGE(OFFSET($H$3,0,0,'Données projet'!$E$12+1,1))</f>
        <v>349.65790906807746</v>
      </c>
      <c r="CE169" s="59">
        <f t="shared" si="148"/>
        <v>291.88925884278888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23.038121458224122</v>
      </c>
      <c r="CL169" s="21">
        <f>EXP(-LN(2)/25)*CL168+(1-EXP(-LN(2)/25))/(LN(2)/25)*Calculateur!CG169*Calculateur!CI169*VLOOKUP('Données projet'!$B$12,Paramètres!$A$1:$I$89,3,0)*0.475*44/12</f>
        <v>0.94891997647620163</v>
      </c>
      <c r="CM169" s="21">
        <f>EXP(-LN(2)/2)*CM168+(1-EXP(-LN(2)/2))/(LN(2)/2)*CG169*CJ169*VLOOKUP('Données projet'!$B$12,Paramètres!$A$1:$I$89,3,0)*0.475*44/12</f>
        <v>1.7298649006354451E-22</v>
      </c>
      <c r="CN169" s="22">
        <f t="shared" si="172"/>
        <v>23.987041434700323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285.99999999999972</v>
      </c>
      <c r="CU169" s="17">
        <f>CT169*VLOOKUP('Données projet'!$B$13,Paramètres!$A$1:$I$89,3,0)*VLOOKUP('Données projet'!$B$13,Paramètres!$A$1:$I$89,5,0)</f>
        <v>223.07999999999979</v>
      </c>
      <c r="CV169" s="13">
        <f t="shared" si="173"/>
        <v>54.783765878062617</v>
      </c>
      <c r="CW169" s="20">
        <f t="shared" si="174"/>
        <v>483.94605890429199</v>
      </c>
      <c r="CX169" s="59">
        <f t="shared" si="122"/>
        <v>777.2793922376253</v>
      </c>
      <c r="CY169" s="59">
        <f ca="1">AVERAGE(OFFSET($CX$3,0,0,'Données projet'!$E$13+1,1))-AVERAGE(OFFSET($H$3,0,0,'Données projet'!$E$13+1,1))</f>
        <v>215.84581110302656</v>
      </c>
      <c r="CZ169" s="59">
        <f t="shared" si="150"/>
        <v>193.88588526156104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8.7646458756028682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8.7646458756028682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401</v>
      </c>
      <c r="O170" s="13">
        <f>N170*VLOOKUP('Données projet'!$B$9,Paramètres!$A$1:$I$89,3,0)*VLOOKUP('Données projet'!$B$9,Paramètres!$A$1:$I$89,5,0)</f>
        <v>250.22399999999999</v>
      </c>
      <c r="P170" s="13">
        <f t="shared" si="141"/>
        <v>60.633904580527918</v>
      </c>
      <c r="Q170" s="20">
        <f t="shared" si="162"/>
        <v>541.41085047775289</v>
      </c>
      <c r="R170" s="59">
        <f t="shared" si="109"/>
        <v>834.74418381108626</v>
      </c>
      <c r="S170" s="59">
        <f ca="1">AVERAGE(OFFSET($R$3,0,0,'Données projet'!$E$9+1,1))-AVERAGE(OFFSET($H$3,0,0,'Données projet'!$E$9+1,1))</f>
        <v>269.77739619445515</v>
      </c>
      <c r="T170" s="59">
        <f t="shared" si="142"/>
        <v>347.56964743629885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9.2005611026472991</v>
      </c>
      <c r="AA170" s="21">
        <f>EXP(-LN(2)/25)*AA169+(1-EXP(-LN(2)/25))/(LN(2)/25)*Calculateur!V170*Calculateur!X170*VLOOKUP('Données projet'!$B$9,Paramètres!$A$1:$I$89,3,0)*0.475*44/12</f>
        <v>2.0555343379286524</v>
      </c>
      <c r="AB170" s="21">
        <f>EXP(-LN(2)/2)*AB169+(1-EXP(-LN(2)/2))/(LN(2)/2)*V170*Y170*VLOOKUP('Données projet'!$B$9,Paramètres!$A$1:$I$89,3,0)*0.475*44/12</f>
        <v>5.9506988194504036E-23</v>
      </c>
      <c r="AC170" s="22">
        <f t="shared" si="163"/>
        <v>11.256095440575951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735.00000000000011</v>
      </c>
      <c r="AJ170" s="13">
        <f>AI170*VLOOKUP('Données projet'!$B$10,Paramètres!$A$1:$I$89,3,0)*VLOOKUP('Données projet'!$B$10,Paramètres!$A$1:$I$89,5,0)</f>
        <v>343.98</v>
      </c>
      <c r="AK170" s="13">
        <f t="shared" si="164"/>
        <v>80.321681832084693</v>
      </c>
      <c r="AL170" s="20">
        <f t="shared" si="165"/>
        <v>738.9920958575475</v>
      </c>
      <c r="AM170" s="59">
        <f t="shared" si="113"/>
        <v>1032.3254291908809</v>
      </c>
      <c r="AN170" s="59">
        <f ca="1">AVERAGE(OFFSET($AM$3,0,0,'Données projet'!$E$10+1,1))-AVERAGE(OFFSET($H$3,0,0,'Données projet'!$E$10+1,1))</f>
        <v>342.49944586217674</v>
      </c>
      <c r="AO170" s="59">
        <f t="shared" si="144"/>
        <v>282.29766600872563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21.057128626909837</v>
      </c>
      <c r="AV170" s="21">
        <f>EXP(-LN(2)/25)*AV169+(1-EXP(-LN(2)/25))/(LN(2)/25)*Calculateur!AQ170*Calculateur!AS170*VLOOKUP('Données projet'!$B$10,Paramètres!$A$1:$I$89,3,0)*0.475*44/12</f>
        <v>0.898026528471494</v>
      </c>
      <c r="AW170" s="21">
        <f>EXP(-LN(2)/2)*AW169+(1-EXP(-LN(2)/2))/(LN(2)/2)*AQ170*AT170*VLOOKUP('Données projet'!$B$10,Paramètres!$A$1:$I$89,3,0)*0.475*44/12</f>
        <v>1.9835662731501363E-22</v>
      </c>
      <c r="AX170" s="21">
        <f t="shared" si="166"/>
        <v>21.95515515538133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319</v>
      </c>
      <c r="BE170" s="13">
        <f>BD170*VLOOKUP('Données projet'!$B$11,Paramètres!$A$1:$I$89,3,0)*VLOOKUP('Données projet'!$B$11,Paramètres!$A$1:$I$89,5,0)</f>
        <v>253.79640000000001</v>
      </c>
      <c r="BF170" s="13">
        <f t="shared" si="167"/>
        <v>61.39816832228076</v>
      </c>
      <c r="BG170" s="20">
        <f t="shared" si="168"/>
        <v>548.96387316130563</v>
      </c>
      <c r="BH170" s="59">
        <f t="shared" si="116"/>
        <v>842.29720649463889</v>
      </c>
      <c r="BI170" s="59">
        <f ca="1">AVERAGE(OFFSET($BH$3,0,0,'Données projet'!$E$11+1,1))-AVERAGE(OFFSET($H$3,0,0,'Données projet'!$E$11+1,1))</f>
        <v>279.49721661620544</v>
      </c>
      <c r="BJ170" s="59">
        <f t="shared" si="146"/>
        <v>275.18739333988754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9.4924365841831033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9.4924365841831033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732.99999999999966</v>
      </c>
      <c r="BZ170" s="13">
        <f>BY170*VLOOKUP('Données projet'!$B$12,Paramètres!$A$1:$I$89,3,0)*VLOOKUP('Données projet'!$B$12,Paramètres!$A$1:$I$89,5,0)</f>
        <v>352.57299999999987</v>
      </c>
      <c r="CA170" s="13">
        <f t="shared" si="170"/>
        <v>82.092092597941644</v>
      </c>
      <c r="CB170" s="20">
        <f t="shared" si="171"/>
        <v>757.04170294141477</v>
      </c>
      <c r="CC170" s="59">
        <f t="shared" si="119"/>
        <v>1050.375036274748</v>
      </c>
      <c r="CD170" s="59">
        <f ca="1">AVERAGE(OFFSET($CC$3,0,0,'Données projet'!$E$12+1,1))-AVERAGE(OFFSET($H$3,0,0,'Données projet'!$E$12+1,1))</f>
        <v>349.65790906807746</v>
      </c>
      <c r="CE170" s="59">
        <f t="shared" si="148"/>
        <v>291.88925884278888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22.586357948294928</v>
      </c>
      <c r="CL170" s="21">
        <f>EXP(-LN(2)/25)*CL169+(1-EXP(-LN(2)/25))/(LN(2)/25)*Calculateur!CG170*Calculateur!CI170*VLOOKUP('Données projet'!$B$12,Paramètres!$A$1:$I$89,3,0)*0.475*44/12</f>
        <v>0.92297170981792709</v>
      </c>
      <c r="CM170" s="21">
        <f>EXP(-LN(2)/2)*CM169+(1-EXP(-LN(2)/2))/(LN(2)/2)*CG170*CJ170*VLOOKUP('Données projet'!$B$12,Paramètres!$A$1:$I$89,3,0)*0.475*44/12</f>
        <v>1.2231992017759164E-22</v>
      </c>
      <c r="CN170" s="22">
        <f t="shared" si="172"/>
        <v>23.509329658112854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285.99999999999972</v>
      </c>
      <c r="CU170" s="17">
        <f>CT170*VLOOKUP('Données projet'!$B$13,Paramètres!$A$1:$I$89,3,0)*VLOOKUP('Données projet'!$B$13,Paramètres!$A$1:$I$89,5,0)</f>
        <v>223.07999999999979</v>
      </c>
      <c r="CV170" s="13">
        <f t="shared" si="173"/>
        <v>54.783765878062617</v>
      </c>
      <c r="CW170" s="20">
        <f t="shared" si="174"/>
        <v>483.94605890429199</v>
      </c>
      <c r="CX170" s="59">
        <f t="shared" si="122"/>
        <v>777.2793922376253</v>
      </c>
      <c r="CY170" s="59">
        <f ca="1">AVERAGE(OFFSET($CX$3,0,0,'Données projet'!$E$13+1,1))-AVERAGE(OFFSET($H$3,0,0,'Données projet'!$E$13+1,1))</f>
        <v>215.84581110302656</v>
      </c>
      <c r="CZ170" s="59">
        <f t="shared" si="150"/>
        <v>193.88588526156104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8.5927765158884153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8.5927765158884153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401</v>
      </c>
      <c r="O171" s="13">
        <f>N171*VLOOKUP('Données projet'!$B$9,Paramètres!$A$1:$I$89,3,0)*VLOOKUP('Données projet'!$B$9,Paramètres!$A$1:$I$89,5,0)</f>
        <v>250.22399999999999</v>
      </c>
      <c r="P171" s="13">
        <f t="shared" si="141"/>
        <v>60.633904580527918</v>
      </c>
      <c r="Q171" s="20">
        <f t="shared" si="162"/>
        <v>541.41085047775289</v>
      </c>
      <c r="R171" s="59">
        <f t="shared" si="109"/>
        <v>834.74418381108626</v>
      </c>
      <c r="S171" s="59">
        <f ca="1">AVERAGE(OFFSET($R$3,0,0,'Données projet'!$E$9+1,1))-AVERAGE(OFFSET($H$3,0,0,'Données projet'!$E$9+1,1))</f>
        <v>269.77739619445515</v>
      </c>
      <c r="T171" s="59">
        <f t="shared" si="142"/>
        <v>347.56964743629885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9.0201437112125404</v>
      </c>
      <c r="AA171" s="21">
        <f>EXP(-LN(2)/25)*AA170+(1-EXP(-LN(2)/25))/(LN(2)/25)*Calculateur!V171*Calculateur!X171*VLOOKUP('Données projet'!$B$9,Paramètres!$A$1:$I$89,3,0)*0.475*44/12</f>
        <v>1.9993256433621405</v>
      </c>
      <c r="AB171" s="21">
        <f>EXP(-LN(2)/2)*AB170+(1-EXP(-LN(2)/2))/(LN(2)/2)*V171*Y171*VLOOKUP('Données projet'!$B$9,Paramètres!$A$1:$I$89,3,0)*0.475*44/12</f>
        <v>4.2077794880321633E-23</v>
      </c>
      <c r="AC171" s="22">
        <f t="shared" si="163"/>
        <v>11.019469354574682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735.00000000000011</v>
      </c>
      <c r="AJ171" s="13">
        <f>AI171*VLOOKUP('Données projet'!$B$10,Paramètres!$A$1:$I$89,3,0)*VLOOKUP('Données projet'!$B$10,Paramètres!$A$1:$I$89,5,0)</f>
        <v>343.98</v>
      </c>
      <c r="AK171" s="13">
        <f t="shared" si="164"/>
        <v>80.321681832084693</v>
      </c>
      <c r="AL171" s="20">
        <f t="shared" si="165"/>
        <v>738.9920958575475</v>
      </c>
      <c r="AM171" s="59">
        <f t="shared" si="113"/>
        <v>1032.3254291908809</v>
      </c>
      <c r="AN171" s="59">
        <f ca="1">AVERAGE(OFFSET($AM$3,0,0,'Données projet'!$E$10+1,1))-AVERAGE(OFFSET($H$3,0,0,'Données projet'!$E$10+1,1))</f>
        <v>342.49944586217674</v>
      </c>
      <c r="AO171" s="59">
        <f t="shared" si="144"/>
        <v>282.29766600872563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20.6442111781164</v>
      </c>
      <c r="AV171" s="21">
        <f>EXP(-LN(2)/25)*AV170+(1-EXP(-LN(2)/25))/(LN(2)/25)*Calculateur!AQ171*Calculateur!AS171*VLOOKUP('Données projet'!$B$10,Paramètres!$A$1:$I$89,3,0)*0.475*44/12</f>
        <v>0.87346994582527837</v>
      </c>
      <c r="AW171" s="21">
        <f>EXP(-LN(2)/2)*AW170+(1-EXP(-LN(2)/2))/(LN(2)/2)*AQ171*AT171*VLOOKUP('Données projet'!$B$10,Paramètres!$A$1:$I$89,3,0)*0.475*44/12</f>
        <v>1.402593162677389E-22</v>
      </c>
      <c r="AX171" s="21">
        <f t="shared" si="166"/>
        <v>21.517681123941678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319</v>
      </c>
      <c r="BE171" s="13">
        <f>BD171*VLOOKUP('Données projet'!$B$11,Paramètres!$A$1:$I$89,3,0)*VLOOKUP('Données projet'!$B$11,Paramètres!$A$1:$I$89,5,0)</f>
        <v>253.79640000000001</v>
      </c>
      <c r="BF171" s="13">
        <f t="shared" si="167"/>
        <v>61.39816832228076</v>
      </c>
      <c r="BG171" s="20">
        <f t="shared" si="168"/>
        <v>548.96387316130563</v>
      </c>
      <c r="BH171" s="59">
        <f t="shared" si="116"/>
        <v>842.29720649463889</v>
      </c>
      <c r="BI171" s="59">
        <f ca="1">AVERAGE(OFFSET($BH$3,0,0,'Données projet'!$E$11+1,1))-AVERAGE(OFFSET($H$3,0,0,'Données projet'!$E$11+1,1))</f>
        <v>279.49721661620544</v>
      </c>
      <c r="BJ171" s="59">
        <f t="shared" si="146"/>
        <v>275.18739333988754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9.3062956925818927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9.3062956925818927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732.99999999999966</v>
      </c>
      <c r="BZ171" s="13">
        <f>BY171*VLOOKUP('Données projet'!$B$12,Paramètres!$A$1:$I$89,3,0)*VLOOKUP('Données projet'!$B$12,Paramètres!$A$1:$I$89,5,0)</f>
        <v>352.57299999999987</v>
      </c>
      <c r="CA171" s="13">
        <f t="shared" si="170"/>
        <v>82.092092597941644</v>
      </c>
      <c r="CB171" s="20">
        <f t="shared" si="171"/>
        <v>757.04170294141477</v>
      </c>
      <c r="CC171" s="59">
        <f t="shared" si="119"/>
        <v>1050.375036274748</v>
      </c>
      <c r="CD171" s="59">
        <f ca="1">AVERAGE(OFFSET($CC$3,0,0,'Données projet'!$E$12+1,1))-AVERAGE(OFFSET($H$3,0,0,'Données projet'!$E$12+1,1))</f>
        <v>349.65790906807746</v>
      </c>
      <c r="CE171" s="59">
        <f t="shared" si="148"/>
        <v>291.88925884278888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22.143453245246913</v>
      </c>
      <c r="CL171" s="21">
        <f>EXP(-LN(2)/25)*CL170+(1-EXP(-LN(2)/25))/(LN(2)/25)*Calculateur!CG171*Calculateur!CI171*VLOOKUP('Données projet'!$B$12,Paramètres!$A$1:$I$89,3,0)*0.475*44/12</f>
        <v>0.8977329998759831</v>
      </c>
      <c r="CM171" s="21">
        <f>EXP(-LN(2)/2)*CM170+(1-EXP(-LN(2)/2))/(LN(2)/2)*CG171*CJ171*VLOOKUP('Données projet'!$B$12,Paramètres!$A$1:$I$89,3,0)*0.475*44/12</f>
        <v>8.6493245031772254E-23</v>
      </c>
      <c r="CN171" s="22">
        <f t="shared" si="172"/>
        <v>23.041186245122898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285.99999999999972</v>
      </c>
      <c r="CU171" s="17">
        <f>CT171*VLOOKUP('Données projet'!$B$13,Paramètres!$A$1:$I$89,3,0)*VLOOKUP('Données projet'!$B$13,Paramètres!$A$1:$I$89,5,0)</f>
        <v>223.07999999999979</v>
      </c>
      <c r="CV171" s="13">
        <f t="shared" si="173"/>
        <v>54.783765878062617</v>
      </c>
      <c r="CW171" s="20">
        <f t="shared" si="174"/>
        <v>483.94605890429199</v>
      </c>
      <c r="CX171" s="59">
        <f t="shared" si="122"/>
        <v>777.2793922376253</v>
      </c>
      <c r="CY171" s="59">
        <f ca="1">AVERAGE(OFFSET($CX$3,0,0,'Données projet'!$E$13+1,1))-AVERAGE(OFFSET($H$3,0,0,'Données projet'!$E$13+1,1))</f>
        <v>215.84581110302656</v>
      </c>
      <c r="CZ171" s="59">
        <f t="shared" si="150"/>
        <v>193.88588526156104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8.4242774094880044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8.4242774094880044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401</v>
      </c>
      <c r="O172" s="13">
        <f>N172*VLOOKUP('Données projet'!$B$9,Paramètres!$A$1:$I$89,3,0)*VLOOKUP('Données projet'!$B$9,Paramètres!$A$1:$I$89,5,0)</f>
        <v>250.22399999999999</v>
      </c>
      <c r="P172" s="13">
        <f t="shared" si="141"/>
        <v>60.633904580527918</v>
      </c>
      <c r="Q172" s="20">
        <f t="shared" si="162"/>
        <v>541.41085047775289</v>
      </c>
      <c r="R172" s="59">
        <f t="shared" si="109"/>
        <v>834.74418381108626</v>
      </c>
      <c r="S172" s="59">
        <f ca="1">AVERAGE(OFFSET($R$3,0,0,'Données projet'!$E$9+1,1))-AVERAGE(OFFSET($H$3,0,0,'Données projet'!$E$9+1,1))</f>
        <v>269.77739619445515</v>
      </c>
      <c r="T172" s="59">
        <f t="shared" si="142"/>
        <v>347.56964743629885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8.8432641947800743</v>
      </c>
      <c r="AA172" s="21">
        <f>EXP(-LN(2)/25)*AA171+(1-EXP(-LN(2)/25))/(LN(2)/25)*Calculateur!V172*Calculateur!X172*VLOOKUP('Données projet'!$B$9,Paramètres!$A$1:$I$89,3,0)*0.475*44/12</f>
        <v>1.9446539785044368</v>
      </c>
      <c r="AB172" s="21">
        <f>EXP(-LN(2)/2)*AB171+(1-EXP(-LN(2)/2))/(LN(2)/2)*V172*Y172*VLOOKUP('Données projet'!$B$9,Paramètres!$A$1:$I$89,3,0)*0.475*44/12</f>
        <v>2.9753494097252018E-23</v>
      </c>
      <c r="AC172" s="22">
        <f t="shared" si="163"/>
        <v>10.787918173284512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735.00000000000011</v>
      </c>
      <c r="AJ172" s="13">
        <f>AI172*VLOOKUP('Données projet'!$B$10,Paramètres!$A$1:$I$89,3,0)*VLOOKUP('Données projet'!$B$10,Paramètres!$A$1:$I$89,5,0)</f>
        <v>343.98</v>
      </c>
      <c r="AK172" s="13">
        <f t="shared" si="164"/>
        <v>80.321681832084693</v>
      </c>
      <c r="AL172" s="20">
        <f t="shared" si="165"/>
        <v>738.9920958575475</v>
      </c>
      <c r="AM172" s="59">
        <f t="shared" si="113"/>
        <v>1032.3254291908809</v>
      </c>
      <c r="AN172" s="59">
        <f ca="1">AVERAGE(OFFSET($AM$3,0,0,'Données projet'!$E$10+1,1))-AVERAGE(OFFSET($H$3,0,0,'Données projet'!$E$10+1,1))</f>
        <v>342.49944586217674</v>
      </c>
      <c r="AO172" s="59">
        <f t="shared" si="144"/>
        <v>282.29766600872563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20.239390788639028</v>
      </c>
      <c r="AV172" s="21">
        <f>EXP(-LN(2)/25)*AV171+(1-EXP(-LN(2)/25))/(LN(2)/25)*Calculateur!AQ172*Calculateur!AS172*VLOOKUP('Données projet'!$B$10,Paramètres!$A$1:$I$89,3,0)*0.475*44/12</f>
        <v>0.84958486422289803</v>
      </c>
      <c r="AW172" s="21">
        <f>EXP(-LN(2)/2)*AW171+(1-EXP(-LN(2)/2))/(LN(2)/2)*AQ172*AT172*VLOOKUP('Données projet'!$B$10,Paramètres!$A$1:$I$89,3,0)*0.475*44/12</f>
        <v>9.9178313657506814E-23</v>
      </c>
      <c r="AX172" s="21">
        <f t="shared" si="166"/>
        <v>21.088975652861926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319</v>
      </c>
      <c r="BE172" s="13">
        <f>BD172*VLOOKUP('Données projet'!$B$11,Paramètres!$A$1:$I$89,3,0)*VLOOKUP('Données projet'!$B$11,Paramètres!$A$1:$I$89,5,0)</f>
        <v>253.79640000000001</v>
      </c>
      <c r="BF172" s="13">
        <f t="shared" si="167"/>
        <v>61.39816832228076</v>
      </c>
      <c r="BG172" s="20">
        <f t="shared" si="168"/>
        <v>548.96387316130563</v>
      </c>
      <c r="BH172" s="59">
        <f t="shared" si="116"/>
        <v>842.29720649463889</v>
      </c>
      <c r="BI172" s="59">
        <f ca="1">AVERAGE(OFFSET($BH$3,0,0,'Données projet'!$E$11+1,1))-AVERAGE(OFFSET($H$3,0,0,'Données projet'!$E$11+1,1))</f>
        <v>279.49721661620544</v>
      </c>
      <c r="BJ172" s="59">
        <f t="shared" si="146"/>
        <v>275.18739333988754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9.1238049103302483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9.1238049103302483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732.99999999999966</v>
      </c>
      <c r="BZ172" s="13">
        <f>BY172*VLOOKUP('Données projet'!$B$12,Paramètres!$A$1:$I$89,3,0)*VLOOKUP('Données projet'!$B$12,Paramètres!$A$1:$I$89,5,0)</f>
        <v>352.57299999999987</v>
      </c>
      <c r="CA172" s="13">
        <f t="shared" si="170"/>
        <v>82.092092597941644</v>
      </c>
      <c r="CB172" s="20">
        <f t="shared" si="171"/>
        <v>757.04170294141477</v>
      </c>
      <c r="CC172" s="59">
        <f t="shared" si="119"/>
        <v>1050.375036274748</v>
      </c>
      <c r="CD172" s="59">
        <f ca="1">AVERAGE(OFFSET($CC$3,0,0,'Données projet'!$E$12+1,1))-AVERAGE(OFFSET($H$3,0,0,'Données projet'!$E$12+1,1))</f>
        <v>349.65790906807746</v>
      </c>
      <c r="CE172" s="59">
        <f t="shared" si="148"/>
        <v>291.88925884278888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21.709233633280476</v>
      </c>
      <c r="CL172" s="21">
        <f>EXP(-LN(2)/25)*CL171+(1-EXP(-LN(2)/25))/(LN(2)/25)*Calculateur!CG172*Calculateur!CI172*VLOOKUP('Données projet'!$B$12,Paramètres!$A$1:$I$89,3,0)*0.475*44/12</f>
        <v>0.87318444378464766</v>
      </c>
      <c r="CM172" s="21">
        <f>EXP(-LN(2)/2)*CM171+(1-EXP(-LN(2)/2))/(LN(2)/2)*CG172*CJ172*VLOOKUP('Données projet'!$B$12,Paramètres!$A$1:$I$89,3,0)*0.475*44/12</f>
        <v>6.1159960088795822E-23</v>
      </c>
      <c r="CN172" s="22">
        <f t="shared" si="172"/>
        <v>22.582418077065125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285.99999999999972</v>
      </c>
      <c r="CU172" s="17">
        <f>CT172*VLOOKUP('Données projet'!$B$13,Paramètres!$A$1:$I$89,3,0)*VLOOKUP('Données projet'!$B$13,Paramètres!$A$1:$I$89,5,0)</f>
        <v>223.07999999999979</v>
      </c>
      <c r="CV172" s="13">
        <f t="shared" si="173"/>
        <v>54.783765878062617</v>
      </c>
      <c r="CW172" s="20">
        <f t="shared" si="174"/>
        <v>483.94605890429199</v>
      </c>
      <c r="CX172" s="59">
        <f t="shared" si="122"/>
        <v>777.2793922376253</v>
      </c>
      <c r="CY172" s="59">
        <f ca="1">AVERAGE(OFFSET($CX$3,0,0,'Données projet'!$E$13+1,1))-AVERAGE(OFFSET($H$3,0,0,'Données projet'!$E$13+1,1))</f>
        <v>215.84581110302656</v>
      </c>
      <c r="CZ172" s="59">
        <f t="shared" si="150"/>
        <v>193.88588526156104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8.2590824677897992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8.2590824677897992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401</v>
      </c>
      <c r="O173" s="13">
        <f>N173*VLOOKUP('Données projet'!$B$9,Paramètres!$A$1:$I$89,3,0)*VLOOKUP('Données projet'!$B$9,Paramètres!$A$1:$I$89,5,0)</f>
        <v>250.22399999999999</v>
      </c>
      <c r="P173" s="13">
        <f t="shared" si="141"/>
        <v>60.633904580527918</v>
      </c>
      <c r="Q173" s="20">
        <f t="shared" si="162"/>
        <v>541.41085047775289</v>
      </c>
      <c r="R173" s="59">
        <f t="shared" si="109"/>
        <v>834.74418381108626</v>
      </c>
      <c r="S173" s="59">
        <f ca="1">AVERAGE(OFFSET($R$3,0,0,'Données projet'!$E$9+1,1))-AVERAGE(OFFSET($H$3,0,0,'Données projet'!$E$9+1,1))</f>
        <v>269.77739619445515</v>
      </c>
      <c r="T173" s="59">
        <f t="shared" si="142"/>
        <v>347.56964743629885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8.6698531777789967</v>
      </c>
      <c r="AA173" s="21">
        <f>EXP(-LN(2)/25)*AA172+(1-EXP(-LN(2)/25))/(LN(2)/25)*Calculateur!V173*Calculateur!X173*VLOOKUP('Données projet'!$B$9,Paramètres!$A$1:$I$89,3,0)*0.475*44/12</f>
        <v>1.8914773131973248</v>
      </c>
      <c r="AB173" s="21">
        <f>EXP(-LN(2)/2)*AB172+(1-EXP(-LN(2)/2))/(LN(2)/2)*V173*Y173*VLOOKUP('Données projet'!$B$9,Paramètres!$A$1:$I$89,3,0)*0.475*44/12</f>
        <v>2.1038897440160817E-23</v>
      </c>
      <c r="AC173" s="22">
        <f t="shared" si="163"/>
        <v>10.561330490976321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735.00000000000011</v>
      </c>
      <c r="AJ173" s="13">
        <f>AI173*VLOOKUP('Données projet'!$B$10,Paramètres!$A$1:$I$89,3,0)*VLOOKUP('Données projet'!$B$10,Paramètres!$A$1:$I$89,5,0)</f>
        <v>343.98</v>
      </c>
      <c r="AK173" s="13">
        <f t="shared" si="164"/>
        <v>80.321681832084693</v>
      </c>
      <c r="AL173" s="20">
        <f t="shared" si="165"/>
        <v>738.9920958575475</v>
      </c>
      <c r="AM173" s="59">
        <f t="shared" si="113"/>
        <v>1032.3254291908809</v>
      </c>
      <c r="AN173" s="59">
        <f ca="1">AVERAGE(OFFSET($AM$3,0,0,'Données projet'!$E$10+1,1))-AVERAGE(OFFSET($H$3,0,0,'Données projet'!$E$10+1,1))</f>
        <v>342.49944586217674</v>
      </c>
      <c r="AO173" s="59">
        <f t="shared" si="144"/>
        <v>282.29766600872563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19.842508680083249</v>
      </c>
      <c r="AV173" s="21">
        <f>EXP(-LN(2)/25)*AV172+(1-EXP(-LN(2)/25))/(LN(2)/25)*Calculateur!AQ173*Calculateur!AS173*VLOOKUP('Données projet'!$B$10,Paramètres!$A$1:$I$89,3,0)*0.475*44/12</f>
        <v>0.82635292143299666</v>
      </c>
      <c r="AW173" s="21">
        <f>EXP(-LN(2)/2)*AW172+(1-EXP(-LN(2)/2))/(LN(2)/2)*AQ173*AT173*VLOOKUP('Données projet'!$B$10,Paramètres!$A$1:$I$89,3,0)*0.475*44/12</f>
        <v>7.0129658133869448E-23</v>
      </c>
      <c r="AX173" s="21">
        <f t="shared" si="166"/>
        <v>20.668861601516245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319</v>
      </c>
      <c r="BE173" s="13">
        <f>BD173*VLOOKUP('Données projet'!$B$11,Paramètres!$A$1:$I$89,3,0)*VLOOKUP('Données projet'!$B$11,Paramètres!$A$1:$I$89,5,0)</f>
        <v>253.79640000000001</v>
      </c>
      <c r="BF173" s="13">
        <f t="shared" si="167"/>
        <v>61.39816832228076</v>
      </c>
      <c r="BG173" s="20">
        <f t="shared" si="168"/>
        <v>548.96387316130563</v>
      </c>
      <c r="BH173" s="59">
        <f t="shared" si="116"/>
        <v>842.29720649463889</v>
      </c>
      <c r="BI173" s="59">
        <f ca="1">AVERAGE(OFFSET($BH$3,0,0,'Données projet'!$E$11+1,1))-AVERAGE(OFFSET($H$3,0,0,'Données projet'!$E$11+1,1))</f>
        <v>279.49721661620544</v>
      </c>
      <c r="BJ173" s="59">
        <f t="shared" si="146"/>
        <v>275.18739333988754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8.9448926610101722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8.9448926610101722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732.99999999999966</v>
      </c>
      <c r="BZ173" s="13">
        <f>BY173*VLOOKUP('Données projet'!$B$12,Paramètres!$A$1:$I$89,3,0)*VLOOKUP('Données projet'!$B$12,Paramètres!$A$1:$I$89,5,0)</f>
        <v>352.57299999999987</v>
      </c>
      <c r="CA173" s="13">
        <f t="shared" si="170"/>
        <v>82.092092597941644</v>
      </c>
      <c r="CB173" s="20">
        <f t="shared" si="171"/>
        <v>757.04170294141477</v>
      </c>
      <c r="CC173" s="59">
        <f t="shared" si="119"/>
        <v>1050.375036274748</v>
      </c>
      <c r="CD173" s="59">
        <f ca="1">AVERAGE(OFFSET($CC$3,0,0,'Données projet'!$E$12+1,1))-AVERAGE(OFFSET($H$3,0,0,'Données projet'!$E$12+1,1))</f>
        <v>349.65790906807746</v>
      </c>
      <c r="CE173" s="59">
        <f t="shared" si="148"/>
        <v>291.88925884278888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21.283528803056889</v>
      </c>
      <c r="CL173" s="21">
        <f>EXP(-LN(2)/25)*CL172+(1-EXP(-LN(2)/25))/(LN(2)/25)*Calculateur!CG173*Calculateur!CI173*VLOOKUP('Données projet'!$B$12,Paramètres!$A$1:$I$89,3,0)*0.475*44/12</f>
        <v>0.84930716925058225</v>
      </c>
      <c r="CM173" s="21">
        <f>EXP(-LN(2)/2)*CM172+(1-EXP(-LN(2)/2))/(LN(2)/2)*CG173*CJ173*VLOOKUP('Données projet'!$B$12,Paramètres!$A$1:$I$89,3,0)*0.475*44/12</f>
        <v>4.3246622515886127E-23</v>
      </c>
      <c r="CN173" s="22">
        <f t="shared" si="172"/>
        <v>22.132835972307472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285.99999999999972</v>
      </c>
      <c r="CU173" s="17">
        <f>CT173*VLOOKUP('Données projet'!$B$13,Paramètres!$A$1:$I$89,3,0)*VLOOKUP('Données projet'!$B$13,Paramètres!$A$1:$I$89,5,0)</f>
        <v>223.07999999999979</v>
      </c>
      <c r="CV173" s="13">
        <f t="shared" si="173"/>
        <v>54.783765878062617</v>
      </c>
      <c r="CW173" s="20">
        <f t="shared" si="174"/>
        <v>483.94605890429199</v>
      </c>
      <c r="CX173" s="59">
        <f t="shared" si="122"/>
        <v>777.2793922376253</v>
      </c>
      <c r="CY173" s="59">
        <f ca="1">AVERAGE(OFFSET($CX$3,0,0,'Données projet'!$E$13+1,1))-AVERAGE(OFFSET($H$3,0,0,'Données projet'!$E$13+1,1))</f>
        <v>215.84581110302656</v>
      </c>
      <c r="CZ173" s="59">
        <f t="shared" si="150"/>
        <v>193.88588526156104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8.0971268981393312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8.0971268981393312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401</v>
      </c>
      <c r="O174" s="13">
        <f>N174*VLOOKUP('Données projet'!$B$9,Paramètres!$A$1:$I$89,3,0)*VLOOKUP('Données projet'!$B$9,Paramètres!$A$1:$I$89,5,0)</f>
        <v>250.22399999999999</v>
      </c>
      <c r="P174" s="13">
        <f t="shared" si="141"/>
        <v>60.633904580527918</v>
      </c>
      <c r="Q174" s="20">
        <f t="shared" si="162"/>
        <v>541.41085047775289</v>
      </c>
      <c r="R174" s="59">
        <f t="shared" si="109"/>
        <v>834.74418381108626</v>
      </c>
      <c r="S174" s="59">
        <f ca="1">AVERAGE(OFFSET($R$3,0,0,'Données projet'!$E$9+1,1))-AVERAGE(OFFSET($H$3,0,0,'Données projet'!$E$9+1,1))</f>
        <v>269.77739619445515</v>
      </c>
      <c r="T174" s="59">
        <f t="shared" si="142"/>
        <v>347.56964743629885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8.499842645051034</v>
      </c>
      <c r="AA174" s="21">
        <f>EXP(-LN(2)/25)*AA173+(1-EXP(-LN(2)/25))/(LN(2)/25)*Calculateur!V174*Calculateur!X174*VLOOKUP('Données projet'!$B$9,Paramètres!$A$1:$I$89,3,0)*0.475*44/12</f>
        <v>1.8397547665994751</v>
      </c>
      <c r="AB174" s="21">
        <f>EXP(-LN(2)/2)*AB173+(1-EXP(-LN(2)/2))/(LN(2)/2)*V174*Y174*VLOOKUP('Données projet'!$B$9,Paramètres!$A$1:$I$89,3,0)*0.475*44/12</f>
        <v>1.4876747048626009E-23</v>
      </c>
      <c r="AC174" s="22">
        <f t="shared" si="163"/>
        <v>10.339597411650509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735.00000000000011</v>
      </c>
      <c r="AJ174" s="13">
        <f>AI174*VLOOKUP('Données projet'!$B$10,Paramètres!$A$1:$I$89,3,0)*VLOOKUP('Données projet'!$B$10,Paramètres!$A$1:$I$89,5,0)</f>
        <v>343.98</v>
      </c>
      <c r="AK174" s="13">
        <f t="shared" si="164"/>
        <v>80.321681832084693</v>
      </c>
      <c r="AL174" s="20">
        <f t="shared" si="165"/>
        <v>738.9920958575475</v>
      </c>
      <c r="AM174" s="59">
        <f t="shared" si="113"/>
        <v>1032.3254291908809</v>
      </c>
      <c r="AN174" s="59">
        <f ca="1">AVERAGE(OFFSET($AM$3,0,0,'Données projet'!$E$10+1,1))-AVERAGE(OFFSET($H$3,0,0,'Données projet'!$E$10+1,1))</f>
        <v>342.49944586217674</v>
      </c>
      <c r="AO174" s="59">
        <f t="shared" si="144"/>
        <v>282.29766600872563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19.453409187602066</v>
      </c>
      <c r="AV174" s="21">
        <f>EXP(-LN(2)/25)*AV173+(1-EXP(-LN(2)/25))/(LN(2)/25)*Calculateur!AQ174*Calculateur!AS174*VLOOKUP('Données projet'!$B$10,Paramètres!$A$1:$I$89,3,0)*0.475*44/12</f>
        <v>0.8037562573403999</v>
      </c>
      <c r="AW174" s="21">
        <f>EXP(-LN(2)/2)*AW173+(1-EXP(-LN(2)/2))/(LN(2)/2)*AQ174*AT174*VLOOKUP('Données projet'!$B$10,Paramètres!$A$1:$I$89,3,0)*0.475*44/12</f>
        <v>4.9589156828753407E-23</v>
      </c>
      <c r="AX174" s="21">
        <f t="shared" si="166"/>
        <v>20.257165444942466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319</v>
      </c>
      <c r="BE174" s="13">
        <f>BD174*VLOOKUP('Données projet'!$B$11,Paramètres!$A$1:$I$89,3,0)*VLOOKUP('Données projet'!$B$11,Paramètres!$A$1:$I$89,5,0)</f>
        <v>253.79640000000001</v>
      </c>
      <c r="BF174" s="13">
        <f t="shared" si="167"/>
        <v>61.39816832228076</v>
      </c>
      <c r="BG174" s="20">
        <f t="shared" si="168"/>
        <v>548.96387316130563</v>
      </c>
      <c r="BH174" s="59">
        <f t="shared" si="116"/>
        <v>842.29720649463889</v>
      </c>
      <c r="BI174" s="59">
        <f ca="1">AVERAGE(OFFSET($BH$3,0,0,'Données projet'!$E$11+1,1))-AVERAGE(OFFSET($H$3,0,0,'Données projet'!$E$11+1,1))</f>
        <v>279.49721661620544</v>
      </c>
      <c r="BJ174" s="59">
        <f t="shared" si="146"/>
        <v>275.18739333988754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8.7694887717735668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8.7694887717735668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732.99999999999966</v>
      </c>
      <c r="BZ174" s="13">
        <f>BY174*VLOOKUP('Données projet'!$B$12,Paramètres!$A$1:$I$89,3,0)*VLOOKUP('Données projet'!$B$12,Paramètres!$A$1:$I$89,5,0)</f>
        <v>352.57299999999987</v>
      </c>
      <c r="CA174" s="13">
        <f t="shared" si="170"/>
        <v>82.092092597941644</v>
      </c>
      <c r="CB174" s="20">
        <f t="shared" si="171"/>
        <v>757.04170294141477</v>
      </c>
      <c r="CC174" s="59">
        <f t="shared" si="119"/>
        <v>1050.375036274748</v>
      </c>
      <c r="CD174" s="59">
        <f ca="1">AVERAGE(OFFSET($CC$3,0,0,'Données projet'!$E$12+1,1))-AVERAGE(OFFSET($H$3,0,0,'Données projet'!$E$12+1,1))</f>
        <v>349.65790906807746</v>
      </c>
      <c r="CE174" s="59">
        <f t="shared" si="148"/>
        <v>291.88925884278888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20.866171784899681</v>
      </c>
      <c r="CL174" s="21">
        <f>EXP(-LN(2)/25)*CL173+(1-EXP(-LN(2)/25))/(LN(2)/25)*Calculateur!CG174*Calculateur!CI174*VLOOKUP('Données projet'!$B$12,Paramètres!$A$1:$I$89,3,0)*0.475*44/12</f>
        <v>0.82608282004430211</v>
      </c>
      <c r="CM174" s="21">
        <f>EXP(-LN(2)/2)*CM173+(1-EXP(-LN(2)/2))/(LN(2)/2)*CG174*CJ174*VLOOKUP('Données projet'!$B$12,Paramètres!$A$1:$I$89,3,0)*0.475*44/12</f>
        <v>3.0579980044397911E-23</v>
      </c>
      <c r="CN174" s="22">
        <f t="shared" si="172"/>
        <v>21.692254604943983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285.99999999999972</v>
      </c>
      <c r="CU174" s="17">
        <f>CT174*VLOOKUP('Données projet'!$B$13,Paramètres!$A$1:$I$89,3,0)*VLOOKUP('Données projet'!$B$13,Paramètres!$A$1:$I$89,5,0)</f>
        <v>223.07999999999979</v>
      </c>
      <c r="CV174" s="13">
        <f t="shared" si="173"/>
        <v>54.783765878062617</v>
      </c>
      <c r="CW174" s="20">
        <f t="shared" si="174"/>
        <v>483.94605890429199</v>
      </c>
      <c r="CX174" s="59">
        <f t="shared" si="122"/>
        <v>777.2793922376253</v>
      </c>
      <c r="CY174" s="59">
        <f ca="1">AVERAGE(OFFSET($CX$3,0,0,'Données projet'!$E$13+1,1))-AVERAGE(OFFSET($H$3,0,0,'Données projet'!$E$13+1,1))</f>
        <v>215.84581110302656</v>
      </c>
      <c r="CZ174" s="59">
        <f t="shared" si="150"/>
        <v>193.88588526156104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7.9383471784265645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7.9383471784265645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401</v>
      </c>
      <c r="O175" s="13">
        <f>N175*VLOOKUP('Données projet'!$B$9,Paramètres!$A$1:$I$89,3,0)*VLOOKUP('Données projet'!$B$9,Paramètres!$A$1:$I$89,5,0)</f>
        <v>250.22399999999999</v>
      </c>
      <c r="P175" s="13">
        <f t="shared" si="141"/>
        <v>60.633904580527918</v>
      </c>
      <c r="Q175" s="20">
        <f t="shared" si="162"/>
        <v>541.41085047775289</v>
      </c>
      <c r="R175" s="59">
        <f t="shared" si="109"/>
        <v>834.74418381108626</v>
      </c>
      <c r="S175" s="59">
        <f ca="1">AVERAGE(OFFSET($R$3,0,0,'Données projet'!$E$9+1,1))-AVERAGE(OFFSET($H$3,0,0,'Données projet'!$E$9+1,1))</f>
        <v>269.77739619445515</v>
      </c>
      <c r="T175" s="59">
        <f t="shared" si="142"/>
        <v>347.56964743629885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8.3331659151736801</v>
      </c>
      <c r="AA175" s="21">
        <f>EXP(-LN(2)/25)*AA174+(1-EXP(-LN(2)/25))/(LN(2)/25)*Calculateur!V175*Calculateur!X175*VLOOKUP('Données projet'!$B$9,Paramètres!$A$1:$I$89,3,0)*0.475*44/12</f>
        <v>1.789446575758314</v>
      </c>
      <c r="AB175" s="21">
        <f>EXP(-LN(2)/2)*AB174+(1-EXP(-LN(2)/2))/(LN(2)/2)*V175*Y175*VLOOKUP('Données projet'!$B$9,Paramètres!$A$1:$I$89,3,0)*0.475*44/12</f>
        <v>1.0519448720080408E-23</v>
      </c>
      <c r="AC175" s="22">
        <f t="shared" si="163"/>
        <v>10.122612490931994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735.00000000000011</v>
      </c>
      <c r="AJ175" s="13">
        <f>AI175*VLOOKUP('Données projet'!$B$10,Paramètres!$A$1:$I$89,3,0)*VLOOKUP('Données projet'!$B$10,Paramètres!$A$1:$I$89,5,0)</f>
        <v>343.98</v>
      </c>
      <c r="AK175" s="13">
        <f t="shared" si="164"/>
        <v>80.321681832084693</v>
      </c>
      <c r="AL175" s="20">
        <f t="shared" si="165"/>
        <v>738.9920958575475</v>
      </c>
      <c r="AM175" s="59">
        <f t="shared" si="113"/>
        <v>1032.3254291908809</v>
      </c>
      <c r="AN175" s="59">
        <f ca="1">AVERAGE(OFFSET($AM$3,0,0,'Données projet'!$E$10+1,1))-AVERAGE(OFFSET($H$3,0,0,'Données projet'!$E$10+1,1))</f>
        <v>342.49944586217674</v>
      </c>
      <c r="AO175" s="59">
        <f t="shared" si="144"/>
        <v>282.29766600872563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19.071939698841181</v>
      </c>
      <c r="AV175" s="21">
        <f>EXP(-LN(2)/25)*AV174+(1-EXP(-LN(2)/25))/(LN(2)/25)*Calculateur!AQ175*Calculateur!AS175*VLOOKUP('Données projet'!$B$10,Paramètres!$A$1:$I$89,3,0)*0.475*44/12</f>
        <v>0.78177750021572212</v>
      </c>
      <c r="AW175" s="21">
        <f>EXP(-LN(2)/2)*AW174+(1-EXP(-LN(2)/2))/(LN(2)/2)*AQ175*AT175*VLOOKUP('Données projet'!$B$10,Paramètres!$A$1:$I$89,3,0)*0.475*44/12</f>
        <v>3.5064829066934724E-23</v>
      </c>
      <c r="AX175" s="21">
        <f t="shared" si="166"/>
        <v>19.853717199056902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319</v>
      </c>
      <c r="BE175" s="13">
        <f>BD175*VLOOKUP('Données projet'!$B$11,Paramètres!$A$1:$I$89,3,0)*VLOOKUP('Données projet'!$B$11,Paramètres!$A$1:$I$89,5,0)</f>
        <v>253.79640000000001</v>
      </c>
      <c r="BF175" s="13">
        <f t="shared" si="167"/>
        <v>61.39816832228076</v>
      </c>
      <c r="BG175" s="20">
        <f t="shared" si="168"/>
        <v>548.96387316130563</v>
      </c>
      <c r="BH175" s="59">
        <f t="shared" si="116"/>
        <v>842.29720649463889</v>
      </c>
      <c r="BI175" s="59">
        <f ca="1">AVERAGE(OFFSET($BH$3,0,0,'Données projet'!$E$11+1,1))-AVERAGE(OFFSET($H$3,0,0,'Données projet'!$E$11+1,1))</f>
        <v>279.49721661620544</v>
      </c>
      <c r="BJ175" s="59">
        <f t="shared" si="146"/>
        <v>275.18739333988754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8.5975244458190812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8.5975244458190812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732.99999999999966</v>
      </c>
      <c r="BZ175" s="13">
        <f>BY175*VLOOKUP('Données projet'!$B$12,Paramètres!$A$1:$I$89,3,0)*VLOOKUP('Données projet'!$B$12,Paramètres!$A$1:$I$89,5,0)</f>
        <v>352.57299999999987</v>
      </c>
      <c r="CA175" s="13">
        <f t="shared" si="170"/>
        <v>82.092092597941644</v>
      </c>
      <c r="CB175" s="20">
        <f t="shared" si="171"/>
        <v>757.04170294141477</v>
      </c>
      <c r="CC175" s="59">
        <f t="shared" si="119"/>
        <v>1050.375036274748</v>
      </c>
      <c r="CD175" s="59">
        <f ca="1">AVERAGE(OFFSET($CC$3,0,0,'Données projet'!$E$12+1,1))-AVERAGE(OFFSET($H$3,0,0,'Données projet'!$E$12+1,1))</f>
        <v>349.65790906807746</v>
      </c>
      <c r="CE175" s="59">
        <f t="shared" si="148"/>
        <v>291.88925884278888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20.456998883305889</v>
      </c>
      <c r="CL175" s="21">
        <f>EXP(-LN(2)/25)*CL174+(1-EXP(-LN(2)/25))/(LN(2)/25)*Calculateur!CG175*Calculateur!CI175*VLOOKUP('Données projet'!$B$12,Paramètres!$A$1:$I$89,3,0)*0.475*44/12</f>
        <v>0.80349354188838318</v>
      </c>
      <c r="CM175" s="21">
        <f>EXP(-LN(2)/2)*CM174+(1-EXP(-LN(2)/2))/(LN(2)/2)*CG175*CJ175*VLOOKUP('Données projet'!$B$12,Paramètres!$A$1:$I$89,3,0)*0.475*44/12</f>
        <v>2.1623311257943064E-23</v>
      </c>
      <c r="CN175" s="22">
        <f t="shared" si="172"/>
        <v>21.260492425194272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285.99999999999972</v>
      </c>
      <c r="CU175" s="17">
        <f>CT175*VLOOKUP('Données projet'!$B$13,Paramètres!$A$1:$I$89,3,0)*VLOOKUP('Données projet'!$B$13,Paramètres!$A$1:$I$89,5,0)</f>
        <v>223.07999999999979</v>
      </c>
      <c r="CV175" s="13">
        <f t="shared" si="173"/>
        <v>54.783765878062617</v>
      </c>
      <c r="CW175" s="20">
        <f t="shared" si="174"/>
        <v>483.94605890429199</v>
      </c>
      <c r="CX175" s="59">
        <f t="shared" si="122"/>
        <v>777.2793922376253</v>
      </c>
      <c r="CY175" s="59">
        <f ca="1">AVERAGE(OFFSET($CX$3,0,0,'Données projet'!$E$13+1,1))-AVERAGE(OFFSET($H$3,0,0,'Données projet'!$E$13+1,1))</f>
        <v>215.84581110302656</v>
      </c>
      <c r="CZ175" s="59">
        <f t="shared" si="150"/>
        <v>193.88588526156104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7.7826810321712987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7.7826810321712987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401</v>
      </c>
      <c r="O176" s="13">
        <f>N176*VLOOKUP('Données projet'!$B$9,Paramètres!$A$1:$I$89,3,0)*VLOOKUP('Données projet'!$B$9,Paramètres!$A$1:$I$89,5,0)</f>
        <v>250.22399999999999</v>
      </c>
      <c r="P176" s="13">
        <f t="shared" si="141"/>
        <v>60.633904580527918</v>
      </c>
      <c r="Q176" s="20">
        <f t="shared" si="162"/>
        <v>541.41085047775289</v>
      </c>
      <c r="R176" s="59">
        <f t="shared" si="109"/>
        <v>834.74418381108626</v>
      </c>
      <c r="S176" s="59">
        <f ca="1">AVERAGE(OFFSET($R$3,0,0,'Données projet'!$E$9+1,1))-AVERAGE(OFFSET($H$3,0,0,'Données projet'!$E$9+1,1))</f>
        <v>269.77739619445515</v>
      </c>
      <c r="T176" s="59">
        <f t="shared" si="142"/>
        <v>347.56964743629885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8.1697576143064552</v>
      </c>
      <c r="AA176" s="21">
        <f>EXP(-LN(2)/25)*AA175+(1-EXP(-LN(2)/25))/(LN(2)/25)*Calculateur!V176*Calculateur!X176*VLOOKUP('Données projet'!$B$9,Paramètres!$A$1:$I$89,3,0)*0.475*44/12</f>
        <v>1.7405140650412974</v>
      </c>
      <c r="AB176" s="21">
        <f>EXP(-LN(2)/2)*AB175+(1-EXP(-LN(2)/2))/(LN(2)/2)*V176*Y176*VLOOKUP('Données projet'!$B$9,Paramètres!$A$1:$I$89,3,0)*0.475*44/12</f>
        <v>7.4383735243130046E-24</v>
      </c>
      <c r="AC176" s="22">
        <f t="shared" si="163"/>
        <v>9.910271679347753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735.00000000000011</v>
      </c>
      <c r="AJ176" s="13">
        <f>AI176*VLOOKUP('Données projet'!$B$10,Paramètres!$A$1:$I$89,3,0)*VLOOKUP('Données projet'!$B$10,Paramètres!$A$1:$I$89,5,0)</f>
        <v>343.98</v>
      </c>
      <c r="AK176" s="13">
        <f t="shared" si="164"/>
        <v>80.321681832084693</v>
      </c>
      <c r="AL176" s="20">
        <f t="shared" si="165"/>
        <v>738.9920958575475</v>
      </c>
      <c r="AM176" s="59">
        <f t="shared" si="113"/>
        <v>1032.3254291908809</v>
      </c>
      <c r="AN176" s="59">
        <f ca="1">AVERAGE(OFFSET($AM$3,0,0,'Données projet'!$E$10+1,1))-AVERAGE(OFFSET($H$3,0,0,'Données projet'!$E$10+1,1))</f>
        <v>342.49944586217674</v>
      </c>
      <c r="AO176" s="59">
        <f t="shared" si="144"/>
        <v>282.29766600872563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18.697950594081483</v>
      </c>
      <c r="AV176" s="21">
        <f>EXP(-LN(2)/25)*AV175+(1-EXP(-LN(2)/25))/(LN(2)/25)*Calculateur!AQ176*Calculateur!AS176*VLOOKUP('Données projet'!$B$10,Paramètres!$A$1:$I$89,3,0)*0.475*44/12</f>
        <v>0.7603997533604312</v>
      </c>
      <c r="AW176" s="21">
        <f>EXP(-LN(2)/2)*AW175+(1-EXP(-LN(2)/2))/(LN(2)/2)*AQ176*AT176*VLOOKUP('Données projet'!$B$10,Paramètres!$A$1:$I$89,3,0)*0.475*44/12</f>
        <v>2.4794578414376703E-23</v>
      </c>
      <c r="AX176" s="21">
        <f t="shared" si="166"/>
        <v>19.458350347441915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319</v>
      </c>
      <c r="BE176" s="13">
        <f>BD176*VLOOKUP('Données projet'!$B$11,Paramètres!$A$1:$I$89,3,0)*VLOOKUP('Données projet'!$B$11,Paramètres!$A$1:$I$89,5,0)</f>
        <v>253.79640000000001</v>
      </c>
      <c r="BF176" s="13">
        <f t="shared" si="167"/>
        <v>61.39816832228076</v>
      </c>
      <c r="BG176" s="20">
        <f t="shared" si="168"/>
        <v>548.96387316130563</v>
      </c>
      <c r="BH176" s="59">
        <f t="shared" si="116"/>
        <v>842.29720649463889</v>
      </c>
      <c r="BI176" s="59">
        <f ca="1">AVERAGE(OFFSET($BH$3,0,0,'Données projet'!$E$11+1,1))-AVERAGE(OFFSET($H$3,0,0,'Données projet'!$E$11+1,1))</f>
        <v>279.49721661620544</v>
      </c>
      <c r="BJ176" s="59">
        <f t="shared" si="146"/>
        <v>275.18739333988754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8.4289322354086824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8.4289322354086824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732.99999999999966</v>
      </c>
      <c r="BZ176" s="13">
        <f>BY176*VLOOKUP('Données projet'!$B$12,Paramètres!$A$1:$I$89,3,0)*VLOOKUP('Données projet'!$B$12,Paramètres!$A$1:$I$89,5,0)</f>
        <v>352.57299999999987</v>
      </c>
      <c r="CA176" s="13">
        <f t="shared" si="170"/>
        <v>82.092092597941644</v>
      </c>
      <c r="CB176" s="20">
        <f t="shared" si="171"/>
        <v>757.04170294141477</v>
      </c>
      <c r="CC176" s="59">
        <f t="shared" si="119"/>
        <v>1050.375036274748</v>
      </c>
      <c r="CD176" s="59">
        <f ca="1">AVERAGE(OFFSET($CC$3,0,0,'Données projet'!$E$12+1,1))-AVERAGE(OFFSET($H$3,0,0,'Données projet'!$E$12+1,1))</f>
        <v>349.65790906807746</v>
      </c>
      <c r="CE176" s="59">
        <f t="shared" si="148"/>
        <v>291.88925884278888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20.055849612741525</v>
      </c>
      <c r="CL176" s="21">
        <f>EXP(-LN(2)/25)*CL175+(1-EXP(-LN(2)/25))/(LN(2)/25)*Calculateur!CG176*Calculateur!CI176*VLOOKUP('Données projet'!$B$12,Paramètres!$A$1:$I$89,3,0)*0.475*44/12</f>
        <v>0.78152196873155633</v>
      </c>
      <c r="CM176" s="21">
        <f>EXP(-LN(2)/2)*CM175+(1-EXP(-LN(2)/2))/(LN(2)/2)*CG176*CJ176*VLOOKUP('Données projet'!$B$12,Paramètres!$A$1:$I$89,3,0)*0.475*44/12</f>
        <v>1.5289990022198955E-23</v>
      </c>
      <c r="CN176" s="22">
        <f t="shared" si="172"/>
        <v>20.837371581473082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285.99999999999972</v>
      </c>
      <c r="CU176" s="17">
        <f>CT176*VLOOKUP('Données projet'!$B$13,Paramètres!$A$1:$I$89,3,0)*VLOOKUP('Données projet'!$B$13,Paramètres!$A$1:$I$89,5,0)</f>
        <v>223.07999999999979</v>
      </c>
      <c r="CV176" s="13">
        <f t="shared" si="173"/>
        <v>54.783765878062617</v>
      </c>
      <c r="CW176" s="20">
        <f t="shared" si="174"/>
        <v>483.94605890429199</v>
      </c>
      <c r="CX176" s="59">
        <f t="shared" si="122"/>
        <v>777.2793922376253</v>
      </c>
      <c r="CY176" s="59">
        <f ca="1">AVERAGE(OFFSET($CX$3,0,0,'Données projet'!$E$13+1,1))-AVERAGE(OFFSET($H$3,0,0,'Données projet'!$E$13+1,1))</f>
        <v>215.84581110302656</v>
      </c>
      <c r="CZ176" s="59">
        <f t="shared" si="150"/>
        <v>193.88588526156104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7.630067404097125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7.630067404097125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401</v>
      </c>
      <c r="O177" s="13">
        <f>N177*VLOOKUP('Données projet'!$B$9,Paramètres!$A$1:$I$89,3,0)*VLOOKUP('Données projet'!$B$9,Paramètres!$A$1:$I$89,5,0)</f>
        <v>250.22399999999999</v>
      </c>
      <c r="P177" s="13">
        <f t="shared" si="141"/>
        <v>60.633904580527918</v>
      </c>
      <c r="Q177" s="20">
        <f t="shared" si="162"/>
        <v>541.41085047775289</v>
      </c>
      <c r="R177" s="59">
        <f t="shared" si="109"/>
        <v>834.74418381108626</v>
      </c>
      <c r="S177" s="59">
        <f ca="1">AVERAGE(OFFSET($R$3,0,0,'Données projet'!$E$9+1,1))-AVERAGE(OFFSET($H$3,0,0,'Données projet'!$E$9+1,1))</f>
        <v>269.77739619445515</v>
      </c>
      <c r="T177" s="59">
        <f t="shared" si="142"/>
        <v>347.56964743629885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8.0095536505500142</v>
      </c>
      <c r="AA177" s="21">
        <f>EXP(-LN(2)/25)*AA176+(1-EXP(-LN(2)/25))/(LN(2)/25)*Calculateur!V177*Calculateur!X177*VLOOKUP('Données projet'!$B$9,Paramètres!$A$1:$I$89,3,0)*0.475*44/12</f>
        <v>1.6929196164030864</v>
      </c>
      <c r="AB177" s="21">
        <f>EXP(-LN(2)/2)*AB176+(1-EXP(-LN(2)/2))/(LN(2)/2)*V177*Y177*VLOOKUP('Données projet'!$B$9,Paramètres!$A$1:$I$89,3,0)*0.475*44/12</f>
        <v>5.2597243600402042E-24</v>
      </c>
      <c r="AC177" s="22">
        <f t="shared" si="163"/>
        <v>9.7024732669531009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735.00000000000011</v>
      </c>
      <c r="AJ177" s="13">
        <f>AI177*VLOOKUP('Données projet'!$B$10,Paramètres!$A$1:$I$89,3,0)*VLOOKUP('Données projet'!$B$10,Paramètres!$A$1:$I$89,5,0)</f>
        <v>343.98</v>
      </c>
      <c r="AK177" s="13">
        <f t="shared" si="164"/>
        <v>80.321681832084693</v>
      </c>
      <c r="AL177" s="20">
        <f t="shared" si="165"/>
        <v>738.9920958575475</v>
      </c>
      <c r="AM177" s="59">
        <f t="shared" si="113"/>
        <v>1032.3254291908809</v>
      </c>
      <c r="AN177" s="59">
        <f ca="1">AVERAGE(OFFSET($AM$3,0,0,'Données projet'!$E$10+1,1))-AVERAGE(OFFSET($H$3,0,0,'Données projet'!$E$10+1,1))</f>
        <v>342.49944586217674</v>
      </c>
      <c r="AO177" s="59">
        <f t="shared" si="144"/>
        <v>282.29766600872563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18.331295187555295</v>
      </c>
      <c r="AV177" s="21">
        <f>EXP(-LN(2)/25)*AV176+(1-EXP(-LN(2)/25))/(LN(2)/25)*Calculateur!AQ177*Calculateur!AS177*VLOOKUP('Données projet'!$B$10,Paramètres!$A$1:$I$89,3,0)*0.475*44/12</f>
        <v>0.73960658211710506</v>
      </c>
      <c r="AW177" s="21">
        <f>EXP(-LN(2)/2)*AW176+(1-EXP(-LN(2)/2))/(LN(2)/2)*AQ177*AT177*VLOOKUP('Données projet'!$B$10,Paramètres!$A$1:$I$89,3,0)*0.475*44/12</f>
        <v>1.7532414533467362E-23</v>
      </c>
      <c r="AX177" s="21">
        <f t="shared" si="166"/>
        <v>19.0709017696724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319</v>
      </c>
      <c r="BE177" s="13">
        <f>BD177*VLOOKUP('Données projet'!$B$11,Paramètres!$A$1:$I$89,3,0)*VLOOKUP('Données projet'!$B$11,Paramètres!$A$1:$I$89,5,0)</f>
        <v>253.79640000000001</v>
      </c>
      <c r="BF177" s="13">
        <f t="shared" si="167"/>
        <v>61.39816832228076</v>
      </c>
      <c r="BG177" s="20">
        <f t="shared" si="168"/>
        <v>548.96387316130563</v>
      </c>
      <c r="BH177" s="59">
        <f t="shared" si="116"/>
        <v>842.29720649463889</v>
      </c>
      <c r="BI177" s="59">
        <f ca="1">AVERAGE(OFFSET($BH$3,0,0,'Données projet'!$E$11+1,1))-AVERAGE(OFFSET($H$3,0,0,'Données projet'!$E$11+1,1))</f>
        <v>279.49721661620544</v>
      </c>
      <c r="BJ177" s="59">
        <f t="shared" si="146"/>
        <v>275.18739333988754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8.263646015413336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8.263646015413336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732.99999999999966</v>
      </c>
      <c r="BZ177" s="13">
        <f>BY177*VLOOKUP('Données projet'!$B$12,Paramètres!$A$1:$I$89,3,0)*VLOOKUP('Données projet'!$B$12,Paramètres!$A$1:$I$89,5,0)</f>
        <v>352.57299999999987</v>
      </c>
      <c r="CA177" s="13">
        <f t="shared" si="170"/>
        <v>82.092092597941644</v>
      </c>
      <c r="CB177" s="20">
        <f t="shared" si="171"/>
        <v>757.04170294141477</v>
      </c>
      <c r="CC177" s="59">
        <f t="shared" si="119"/>
        <v>1050.375036274748</v>
      </c>
      <c r="CD177" s="59">
        <f ca="1">AVERAGE(OFFSET($CC$3,0,0,'Données projet'!$E$12+1,1))-AVERAGE(OFFSET($H$3,0,0,'Données projet'!$E$12+1,1))</f>
        <v>349.65790906807746</v>
      </c>
      <c r="CE177" s="59">
        <f t="shared" si="148"/>
        <v>291.88925884278888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19.662566634696034</v>
      </c>
      <c r="CL177" s="21">
        <f>EXP(-LN(2)/25)*CL176+(1-EXP(-LN(2)/25))/(LN(2)/25)*Calculateur!CG177*Calculateur!CI177*VLOOKUP('Données projet'!$B$12,Paramètres!$A$1:$I$89,3,0)*0.475*44/12</f>
        <v>0.76015120939813774</v>
      </c>
      <c r="CM177" s="21">
        <f>EXP(-LN(2)/2)*CM176+(1-EXP(-LN(2)/2))/(LN(2)/2)*CG177*CJ177*VLOOKUP('Données projet'!$B$12,Paramètres!$A$1:$I$89,3,0)*0.475*44/12</f>
        <v>1.0811655628971532E-23</v>
      </c>
      <c r="CN177" s="22">
        <f t="shared" si="172"/>
        <v>20.422717844094173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285.99999999999972</v>
      </c>
      <c r="CU177" s="17">
        <f>CT177*VLOOKUP('Données projet'!$B$13,Paramètres!$A$1:$I$89,3,0)*VLOOKUP('Données projet'!$B$13,Paramètres!$A$1:$I$89,5,0)</f>
        <v>223.07999999999979</v>
      </c>
      <c r="CV177" s="13">
        <f t="shared" si="173"/>
        <v>54.783765878062617</v>
      </c>
      <c r="CW177" s="20">
        <f t="shared" si="174"/>
        <v>483.94605890429199</v>
      </c>
      <c r="CX177" s="59">
        <f t="shared" si="122"/>
        <v>777.2793922376253</v>
      </c>
      <c r="CY177" s="59">
        <f ca="1">AVERAGE(OFFSET($CX$3,0,0,'Données projet'!$E$13+1,1))-AVERAGE(OFFSET($H$3,0,0,'Données projet'!$E$13+1,1))</f>
        <v>215.84581110302656</v>
      </c>
      <c r="CZ177" s="59">
        <f t="shared" si="150"/>
        <v>193.88588526156104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7.4804464361843639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7.4804464361843639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401</v>
      </c>
      <c r="O178" s="13">
        <f>N178*VLOOKUP('Données projet'!$B$9,Paramètres!$A$1:$I$89,3,0)*VLOOKUP('Données projet'!$B$9,Paramètres!$A$1:$I$89,5,0)</f>
        <v>250.22399999999999</v>
      </c>
      <c r="P178" s="13">
        <f t="shared" si="141"/>
        <v>60.633904580527918</v>
      </c>
      <c r="Q178" s="20">
        <f t="shared" si="162"/>
        <v>541.41085047775289</v>
      </c>
      <c r="R178" s="59">
        <f t="shared" si="109"/>
        <v>834.74418381108626</v>
      </c>
      <c r="S178" s="59">
        <f ca="1">AVERAGE(OFFSET($R$3,0,0,'Données projet'!$E$9+1,1))-AVERAGE(OFFSET($H$3,0,0,'Données projet'!$E$9+1,1))</f>
        <v>269.77739619445515</v>
      </c>
      <c r="T178" s="59">
        <f t="shared" si="142"/>
        <v>347.56964743629885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7.8524911888080675</v>
      </c>
      <c r="AA178" s="21">
        <f>EXP(-LN(2)/25)*AA177+(1-EXP(-LN(2)/25))/(LN(2)/25)*Calculateur!V178*Calculateur!X178*VLOOKUP('Données projet'!$B$9,Paramètres!$A$1:$I$89,3,0)*0.475*44/12</f>
        <v>1.6466266404657706</v>
      </c>
      <c r="AB178" s="21">
        <f>EXP(-LN(2)/2)*AB177+(1-EXP(-LN(2)/2))/(LN(2)/2)*V178*Y178*VLOOKUP('Données projet'!$B$9,Paramètres!$A$1:$I$89,3,0)*0.475*44/12</f>
        <v>3.7191867621565023E-24</v>
      </c>
      <c r="AC178" s="22">
        <f t="shared" si="163"/>
        <v>9.499117829273839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735.00000000000011</v>
      </c>
      <c r="AJ178" s="13">
        <f>AI178*VLOOKUP('Données projet'!$B$10,Paramètres!$A$1:$I$89,3,0)*VLOOKUP('Données projet'!$B$10,Paramètres!$A$1:$I$89,5,0)</f>
        <v>343.98</v>
      </c>
      <c r="AK178" s="13">
        <f t="shared" si="164"/>
        <v>80.321681832084693</v>
      </c>
      <c r="AL178" s="20">
        <f t="shared" si="165"/>
        <v>738.9920958575475</v>
      </c>
      <c r="AM178" s="59">
        <f t="shared" si="113"/>
        <v>1032.3254291908809</v>
      </c>
      <c r="AN178" s="59">
        <f ca="1">AVERAGE(OFFSET($AM$3,0,0,'Données projet'!$E$10+1,1))-AVERAGE(OFFSET($H$3,0,0,'Données projet'!$E$10+1,1))</f>
        <v>342.49944586217674</v>
      </c>
      <c r="AO178" s="59">
        <f t="shared" si="144"/>
        <v>282.29766600872563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17.971829669913369</v>
      </c>
      <c r="AV178" s="21">
        <f>EXP(-LN(2)/25)*AV177+(1-EXP(-LN(2)/25))/(LN(2)/25)*Calculateur!AQ178*Calculateur!AS178*VLOOKUP('Données projet'!$B$10,Paramètres!$A$1:$I$89,3,0)*0.475*44/12</f>
        <v>0.71938200123489304</v>
      </c>
      <c r="AW178" s="21">
        <f>EXP(-LN(2)/2)*AW177+(1-EXP(-LN(2)/2))/(LN(2)/2)*AQ178*AT178*VLOOKUP('Données projet'!$B$10,Paramètres!$A$1:$I$89,3,0)*0.475*44/12</f>
        <v>1.2397289207188352E-23</v>
      </c>
      <c r="AX178" s="21">
        <f t="shared" si="166"/>
        <v>18.691211671148263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319</v>
      </c>
      <c r="BE178" s="13">
        <f>BD178*VLOOKUP('Données projet'!$B$11,Paramètres!$A$1:$I$89,3,0)*VLOOKUP('Données projet'!$B$11,Paramètres!$A$1:$I$89,5,0)</f>
        <v>253.79640000000001</v>
      </c>
      <c r="BF178" s="13">
        <f t="shared" si="167"/>
        <v>61.39816832228076</v>
      </c>
      <c r="BG178" s="20">
        <f t="shared" si="168"/>
        <v>548.96387316130563</v>
      </c>
      <c r="BH178" s="59">
        <f t="shared" si="116"/>
        <v>842.29720649463889</v>
      </c>
      <c r="BI178" s="59">
        <f ca="1">AVERAGE(OFFSET($BH$3,0,0,'Données projet'!$E$11+1,1))-AVERAGE(OFFSET($H$3,0,0,'Données projet'!$E$11+1,1))</f>
        <v>279.49721661620544</v>
      </c>
      <c r="BJ178" s="59">
        <f t="shared" si="146"/>
        <v>275.18739333988754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8.1016009573774586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8.1016009573774586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732.99999999999966</v>
      </c>
      <c r="BZ178" s="13">
        <f>BY178*VLOOKUP('Données projet'!$B$12,Paramètres!$A$1:$I$89,3,0)*VLOOKUP('Données projet'!$B$12,Paramètres!$A$1:$I$89,5,0)</f>
        <v>352.57299999999987</v>
      </c>
      <c r="CA178" s="13">
        <f t="shared" si="170"/>
        <v>82.092092597941644</v>
      </c>
      <c r="CB178" s="20">
        <f t="shared" si="171"/>
        <v>757.04170294141477</v>
      </c>
      <c r="CC178" s="59">
        <f t="shared" si="119"/>
        <v>1050.375036274748</v>
      </c>
      <c r="CD178" s="59">
        <f ca="1">AVERAGE(OFFSET($CC$3,0,0,'Données projet'!$E$12+1,1))-AVERAGE(OFFSET($H$3,0,0,'Données projet'!$E$12+1,1))</f>
        <v>349.65790906807746</v>
      </c>
      <c r="CE178" s="59">
        <f t="shared" si="148"/>
        <v>291.88925884278888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19.276995695971085</v>
      </c>
      <c r="CL178" s="21">
        <f>EXP(-LN(2)/25)*CL177+(1-EXP(-LN(2)/25))/(LN(2)/25)*Calculateur!CG178*Calculateur!CI178*VLOOKUP('Données projet'!$B$12,Paramètres!$A$1:$I$89,3,0)*0.475*44/12</f>
        <v>0.73936483460253088</v>
      </c>
      <c r="CM178" s="21">
        <f>EXP(-LN(2)/2)*CM177+(1-EXP(-LN(2)/2))/(LN(2)/2)*CG178*CJ178*VLOOKUP('Données projet'!$B$12,Paramètres!$A$1:$I$89,3,0)*0.475*44/12</f>
        <v>7.6449950110994777E-24</v>
      </c>
      <c r="CN178" s="22">
        <f t="shared" si="172"/>
        <v>20.016360530573614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285.99999999999972</v>
      </c>
      <c r="CU178" s="17">
        <f>CT178*VLOOKUP('Données projet'!$B$13,Paramètres!$A$1:$I$89,3,0)*VLOOKUP('Données projet'!$B$13,Paramètres!$A$1:$I$89,5,0)</f>
        <v>223.07999999999979</v>
      </c>
      <c r="CV178" s="13">
        <f t="shared" si="173"/>
        <v>54.783765878062617</v>
      </c>
      <c r="CW178" s="20">
        <f t="shared" si="174"/>
        <v>483.94605890429199</v>
      </c>
      <c r="CX178" s="59">
        <f t="shared" si="122"/>
        <v>777.2793922376253</v>
      </c>
      <c r="CY178" s="59">
        <f ca="1">AVERAGE(OFFSET($CX$3,0,0,'Données projet'!$E$13+1,1))-AVERAGE(OFFSET($H$3,0,0,'Données projet'!$E$13+1,1))</f>
        <v>215.84581110302656</v>
      </c>
      <c r="CZ178" s="59">
        <f t="shared" si="150"/>
        <v>193.88588526156104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7.3337594441925935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7.3337594441925935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401</v>
      </c>
      <c r="O179" s="13">
        <f>N179*VLOOKUP('Données projet'!$B$9,Paramètres!$A$1:$I$89,3,0)*VLOOKUP('Données projet'!$B$9,Paramètres!$A$1:$I$89,5,0)</f>
        <v>250.22399999999999</v>
      </c>
      <c r="P179" s="13">
        <f t="shared" si="141"/>
        <v>60.633904580527918</v>
      </c>
      <c r="Q179" s="20">
        <f t="shared" si="162"/>
        <v>541.41085047775289</v>
      </c>
      <c r="R179" s="59">
        <f t="shared" si="109"/>
        <v>834.74418381108626</v>
      </c>
      <c r="S179" s="59">
        <f ca="1">AVERAGE(OFFSET($R$3,0,0,'Données projet'!$E$9+1,1))-AVERAGE(OFFSET($H$3,0,0,'Données projet'!$E$9+1,1))</f>
        <v>269.77739619445515</v>
      </c>
      <c r="T179" s="59">
        <f t="shared" si="142"/>
        <v>347.56964743629885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7.698508626142238</v>
      </c>
      <c r="AA179" s="21">
        <f>EXP(-LN(2)/25)*AA178+(1-EXP(-LN(2)/25))/(LN(2)/25)*Calculateur!V179*Calculateur!X179*VLOOKUP('Données projet'!$B$9,Paramètres!$A$1:$I$89,3,0)*0.475*44/12</f>
        <v>1.6015995483899024</v>
      </c>
      <c r="AB179" s="21">
        <f>EXP(-LN(2)/2)*AB178+(1-EXP(-LN(2)/2))/(LN(2)/2)*V179*Y179*VLOOKUP('Données projet'!$B$9,Paramètres!$A$1:$I$89,3,0)*0.475*44/12</f>
        <v>2.6298621800201021E-24</v>
      </c>
      <c r="AC179" s="22">
        <f t="shared" si="163"/>
        <v>9.3001081745321397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735.00000000000011</v>
      </c>
      <c r="AJ179" s="13">
        <f>AI179*VLOOKUP('Données projet'!$B$10,Paramètres!$A$1:$I$89,3,0)*VLOOKUP('Données projet'!$B$10,Paramètres!$A$1:$I$89,5,0)</f>
        <v>343.98</v>
      </c>
      <c r="AK179" s="13">
        <f t="shared" si="164"/>
        <v>80.321681832084693</v>
      </c>
      <c r="AL179" s="20">
        <f t="shared" si="165"/>
        <v>738.9920958575475</v>
      </c>
      <c r="AM179" s="59">
        <f t="shared" si="113"/>
        <v>1032.3254291908809</v>
      </c>
      <c r="AN179" s="59">
        <f ca="1">AVERAGE(OFFSET($AM$3,0,0,'Données projet'!$E$10+1,1))-AVERAGE(OFFSET($H$3,0,0,'Données projet'!$E$10+1,1))</f>
        <v>342.49944586217674</v>
      </c>
      <c r="AO179" s="59">
        <f t="shared" si="144"/>
        <v>282.29766600872563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17.619413051820086</v>
      </c>
      <c r="AV179" s="21">
        <f>EXP(-LN(2)/25)*AV178+(1-EXP(-LN(2)/25))/(LN(2)/25)*Calculateur!AQ179*Calculateur!AS179*VLOOKUP('Données projet'!$B$10,Paramètres!$A$1:$I$89,3,0)*0.475*44/12</f>
        <v>0.69971046258046965</v>
      </c>
      <c r="AW179" s="21">
        <f>EXP(-LN(2)/2)*AW178+(1-EXP(-LN(2)/2))/(LN(2)/2)*AQ179*AT179*VLOOKUP('Données projet'!$B$10,Paramètres!$A$1:$I$89,3,0)*0.475*44/12</f>
        <v>8.766207266733681E-24</v>
      </c>
      <c r="AX179" s="21">
        <f t="shared" si="166"/>
        <v>18.319123514400555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319</v>
      </c>
      <c r="BE179" s="13">
        <f>BD179*VLOOKUP('Données projet'!$B$11,Paramètres!$A$1:$I$89,3,0)*VLOOKUP('Données projet'!$B$11,Paramètres!$A$1:$I$89,5,0)</f>
        <v>253.79640000000001</v>
      </c>
      <c r="BF179" s="13">
        <f t="shared" si="167"/>
        <v>61.39816832228076</v>
      </c>
      <c r="BG179" s="20">
        <f t="shared" si="168"/>
        <v>548.96387316130563</v>
      </c>
      <c r="BH179" s="59">
        <f t="shared" si="116"/>
        <v>842.29720649463889</v>
      </c>
      <c r="BI179" s="59">
        <f ca="1">AVERAGE(OFFSET($BH$3,0,0,'Données projet'!$E$11+1,1))-AVERAGE(OFFSET($H$3,0,0,'Données projet'!$E$11+1,1))</f>
        <v>279.49721661620544</v>
      </c>
      <c r="BJ179" s="59">
        <f t="shared" si="146"/>
        <v>275.18739333988754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7.9427335040919393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7.9427335040919393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732.99999999999966</v>
      </c>
      <c r="BZ179" s="13">
        <f>BY179*VLOOKUP('Données projet'!$B$12,Paramètres!$A$1:$I$89,3,0)*VLOOKUP('Données projet'!$B$12,Paramètres!$A$1:$I$89,5,0)</f>
        <v>352.57299999999987</v>
      </c>
      <c r="CA179" s="13">
        <f t="shared" si="170"/>
        <v>82.092092597941644</v>
      </c>
      <c r="CB179" s="20">
        <f t="shared" si="171"/>
        <v>757.04170294141477</v>
      </c>
      <c r="CC179" s="59">
        <f t="shared" si="119"/>
        <v>1050.375036274748</v>
      </c>
      <c r="CD179" s="59">
        <f ca="1">AVERAGE(OFFSET($CC$3,0,0,'Données projet'!$E$12+1,1))-AVERAGE(OFFSET($H$3,0,0,'Données projet'!$E$12+1,1))</f>
        <v>349.65790906807746</v>
      </c>
      <c r="CE179" s="59">
        <f t="shared" si="148"/>
        <v>291.88925884278888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18.89898556817948</v>
      </c>
      <c r="CL179" s="21">
        <f>EXP(-LN(2)/25)*CL178+(1-EXP(-LN(2)/25))/(LN(2)/25)*Calculateur!CG179*Calculateur!CI179*VLOOKUP('Données projet'!$B$12,Paramètres!$A$1:$I$89,3,0)*0.475*44/12</f>
        <v>0.71914686431881791</v>
      </c>
      <c r="CM179" s="21">
        <f>EXP(-LN(2)/2)*CM178+(1-EXP(-LN(2)/2))/(LN(2)/2)*CG179*CJ179*VLOOKUP('Données projet'!$B$12,Paramètres!$A$1:$I$89,3,0)*0.475*44/12</f>
        <v>5.4058278144857659E-24</v>
      </c>
      <c r="CN179" s="22">
        <f t="shared" si="172"/>
        <v>19.6181324324983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285.99999999999972</v>
      </c>
      <c r="CU179" s="17">
        <f>CT179*VLOOKUP('Données projet'!$B$13,Paramètres!$A$1:$I$89,3,0)*VLOOKUP('Données projet'!$B$13,Paramètres!$A$1:$I$89,5,0)</f>
        <v>223.07999999999979</v>
      </c>
      <c r="CV179" s="13">
        <f t="shared" si="173"/>
        <v>54.783765878062617</v>
      </c>
      <c r="CW179" s="20">
        <f t="shared" si="174"/>
        <v>483.94605890429199</v>
      </c>
      <c r="CX179" s="59">
        <f t="shared" si="122"/>
        <v>777.2793922376253</v>
      </c>
      <c r="CY179" s="59">
        <f ca="1">AVERAGE(OFFSET($CX$3,0,0,'Données projet'!$E$13+1,1))-AVERAGE(OFFSET($H$3,0,0,'Données projet'!$E$13+1,1))</f>
        <v>215.84581110302656</v>
      </c>
      <c r="CZ179" s="59">
        <f t="shared" si="150"/>
        <v>193.88588526156104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7.1899488946435506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7.1899488946435506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401</v>
      </c>
      <c r="O180" s="13">
        <f>N180*VLOOKUP('Données projet'!$B$9,Paramètres!$A$1:$I$89,3,0)*VLOOKUP('Données projet'!$B$9,Paramètres!$A$1:$I$89,5,0)</f>
        <v>250.22399999999999</v>
      </c>
      <c r="P180" s="13">
        <f t="shared" si="141"/>
        <v>60.633904580527918</v>
      </c>
      <c r="Q180" s="20">
        <f t="shared" si="162"/>
        <v>541.41085047775289</v>
      </c>
      <c r="R180" s="59">
        <f t="shared" si="109"/>
        <v>834.74418381108626</v>
      </c>
      <c r="S180" s="59">
        <f ca="1">AVERAGE(OFFSET($R$3,0,0,'Données projet'!$E$9+1,1))-AVERAGE(OFFSET($H$3,0,0,'Données projet'!$E$9+1,1))</f>
        <v>269.77739619445515</v>
      </c>
      <c r="T180" s="59">
        <f t="shared" si="142"/>
        <v>347.56964743629885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7.5475455676101957</v>
      </c>
      <c r="AA180" s="21">
        <f>EXP(-LN(2)/25)*AA179+(1-EXP(-LN(2)/25))/(LN(2)/25)*Calculateur!V180*Calculateur!X180*VLOOKUP('Données projet'!$B$9,Paramètres!$A$1:$I$89,3,0)*0.475*44/12</f>
        <v>1.5578037245147207</v>
      </c>
      <c r="AB180" s="21">
        <f>EXP(-LN(2)/2)*AB179+(1-EXP(-LN(2)/2))/(LN(2)/2)*V180*Y180*VLOOKUP('Données projet'!$B$9,Paramètres!$A$1:$I$89,3,0)*0.475*44/12</f>
        <v>1.8595933810782511E-24</v>
      </c>
      <c r="AC180" s="22">
        <f t="shared" si="163"/>
        <v>9.1053492921249166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735.00000000000011</v>
      </c>
      <c r="AJ180" s="13">
        <f>AI180*VLOOKUP('Données projet'!$B$10,Paramètres!$A$1:$I$89,3,0)*VLOOKUP('Données projet'!$B$10,Paramètres!$A$1:$I$89,5,0)</f>
        <v>343.98</v>
      </c>
      <c r="AK180" s="13">
        <f t="shared" si="164"/>
        <v>80.321681832084693</v>
      </c>
      <c r="AL180" s="20">
        <f t="shared" si="165"/>
        <v>738.9920958575475</v>
      </c>
      <c r="AM180" s="59">
        <f t="shared" si="113"/>
        <v>1032.3254291908809</v>
      </c>
      <c r="AN180" s="59">
        <f ca="1">AVERAGE(OFFSET($AM$3,0,0,'Données projet'!$E$10+1,1))-AVERAGE(OFFSET($H$3,0,0,'Données projet'!$E$10+1,1))</f>
        <v>342.49944586217674</v>
      </c>
      <c r="AO180" s="59">
        <f t="shared" si="144"/>
        <v>282.29766600872563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17.273907108654701</v>
      </c>
      <c r="AV180" s="21">
        <f>EXP(-LN(2)/25)*AV179+(1-EXP(-LN(2)/25))/(LN(2)/25)*Calculateur!AQ180*Calculateur!AS180*VLOOKUP('Données projet'!$B$10,Paramètres!$A$1:$I$89,3,0)*0.475*44/12</f>
        <v>0.68057684318503264</v>
      </c>
      <c r="AW180" s="21">
        <f>EXP(-LN(2)/2)*AW179+(1-EXP(-LN(2)/2))/(LN(2)/2)*AQ180*AT180*VLOOKUP('Données projet'!$B$10,Paramètres!$A$1:$I$89,3,0)*0.475*44/12</f>
        <v>6.1986446035941759E-24</v>
      </c>
      <c r="AX180" s="21">
        <f t="shared" si="166"/>
        <v>17.954483951839734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319</v>
      </c>
      <c r="BE180" s="13">
        <f>BD180*VLOOKUP('Données projet'!$B$11,Paramètres!$A$1:$I$89,3,0)*VLOOKUP('Données projet'!$B$11,Paramètres!$A$1:$I$89,5,0)</f>
        <v>253.79640000000001</v>
      </c>
      <c r="BF180" s="13">
        <f t="shared" si="167"/>
        <v>61.39816832228076</v>
      </c>
      <c r="BG180" s="20">
        <f t="shared" si="168"/>
        <v>548.96387316130563</v>
      </c>
      <c r="BH180" s="59">
        <f t="shared" si="116"/>
        <v>842.29720649463889</v>
      </c>
      <c r="BI180" s="59">
        <f ca="1">AVERAGE(OFFSET($BH$3,0,0,'Données projet'!$E$11+1,1))-AVERAGE(OFFSET($H$3,0,0,'Données projet'!$E$11+1,1))</f>
        <v>279.49721661620544</v>
      </c>
      <c r="BJ180" s="59">
        <f t="shared" si="146"/>
        <v>275.18739333988754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7.7869813446657705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7.7869813446657705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732.99999999999966</v>
      </c>
      <c r="BZ180" s="13">
        <f>BY180*VLOOKUP('Données projet'!$B$12,Paramètres!$A$1:$I$89,3,0)*VLOOKUP('Données projet'!$B$12,Paramètres!$A$1:$I$89,5,0)</f>
        <v>352.57299999999987</v>
      </c>
      <c r="CA180" s="13">
        <f t="shared" si="170"/>
        <v>82.092092597941644</v>
      </c>
      <c r="CB180" s="20">
        <f t="shared" si="171"/>
        <v>757.04170294141477</v>
      </c>
      <c r="CC180" s="59">
        <f t="shared" si="119"/>
        <v>1050.375036274748</v>
      </c>
      <c r="CD180" s="59">
        <f ca="1">AVERAGE(OFFSET($CC$3,0,0,'Données projet'!$E$12+1,1))-AVERAGE(OFFSET($H$3,0,0,'Données projet'!$E$12+1,1))</f>
        <v>349.65790906807746</v>
      </c>
      <c r="CE180" s="59">
        <f t="shared" si="148"/>
        <v>291.88925884278888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18.528387988430456</v>
      </c>
      <c r="CL180" s="21">
        <f>EXP(-LN(2)/25)*CL179+(1-EXP(-LN(2)/25))/(LN(2)/25)*Calculateur!CG180*Calculateur!CI180*VLOOKUP('Données projet'!$B$12,Paramètres!$A$1:$I$89,3,0)*0.475*44/12</f>
        <v>0.69948175549572988</v>
      </c>
      <c r="CM180" s="21">
        <f>EXP(-LN(2)/2)*CM179+(1-EXP(-LN(2)/2))/(LN(2)/2)*CG180*CJ180*VLOOKUP('Données projet'!$B$12,Paramètres!$A$1:$I$89,3,0)*0.475*44/12</f>
        <v>3.8224975055497389E-24</v>
      </c>
      <c r="CN180" s="22">
        <f t="shared" si="172"/>
        <v>19.227869743926185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285.99999999999972</v>
      </c>
      <c r="CU180" s="17">
        <f>CT180*VLOOKUP('Données projet'!$B$13,Paramètres!$A$1:$I$89,3,0)*VLOOKUP('Données projet'!$B$13,Paramètres!$A$1:$I$89,5,0)</f>
        <v>223.07999999999979</v>
      </c>
      <c r="CV180" s="13">
        <f t="shared" si="173"/>
        <v>54.783765878062617</v>
      </c>
      <c r="CW180" s="20">
        <f t="shared" si="174"/>
        <v>483.94605890429199</v>
      </c>
      <c r="CX180" s="59">
        <f t="shared" si="122"/>
        <v>777.2793922376253</v>
      </c>
      <c r="CY180" s="59">
        <f ca="1">AVERAGE(OFFSET($CX$3,0,0,'Données projet'!$E$13+1,1))-AVERAGE(OFFSET($H$3,0,0,'Données projet'!$E$13+1,1))</f>
        <v>215.84581110302656</v>
      </c>
      <c r="CZ180" s="59">
        <f t="shared" si="150"/>
        <v>193.88588526156104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7.0489583822553907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7.0489583822553907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401</v>
      </c>
      <c r="O181" s="13">
        <f>N181*VLOOKUP('Données projet'!$B$9,Paramètres!$A$1:$I$89,3,0)*VLOOKUP('Données projet'!$B$9,Paramètres!$A$1:$I$89,5,0)</f>
        <v>250.22399999999999</v>
      </c>
      <c r="P181" s="13">
        <f t="shared" si="141"/>
        <v>60.633904580527918</v>
      </c>
      <c r="Q181" s="20">
        <f t="shared" si="162"/>
        <v>541.41085047775289</v>
      </c>
      <c r="R181" s="59">
        <f t="shared" si="109"/>
        <v>834.74418381108626</v>
      </c>
      <c r="S181" s="59">
        <f ca="1">AVERAGE(OFFSET($R$3,0,0,'Données projet'!$E$9+1,1))-AVERAGE(OFFSET($H$3,0,0,'Données projet'!$E$9+1,1))</f>
        <v>269.77739619445515</v>
      </c>
      <c r="T181" s="59">
        <f t="shared" si="142"/>
        <v>347.56964743629885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7.3995428025775931</v>
      </c>
      <c r="AA181" s="21">
        <f>EXP(-LN(2)/25)*AA180+(1-EXP(-LN(2)/25))/(LN(2)/25)*Calculateur!V181*Calculateur!X181*VLOOKUP('Données projet'!$B$9,Paramètres!$A$1:$I$89,3,0)*0.475*44/12</f>
        <v>1.5152054997465283</v>
      </c>
      <c r="AB181" s="21">
        <f>EXP(-LN(2)/2)*AB180+(1-EXP(-LN(2)/2))/(LN(2)/2)*V181*Y181*VLOOKUP('Données projet'!$B$9,Paramètres!$A$1:$I$89,3,0)*0.475*44/12</f>
        <v>1.314931090010051E-24</v>
      </c>
      <c r="AC181" s="22">
        <f t="shared" si="163"/>
        <v>8.9147483023241207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735.00000000000011</v>
      </c>
      <c r="AJ181" s="13">
        <f>AI181*VLOOKUP('Données projet'!$B$10,Paramètres!$A$1:$I$89,3,0)*VLOOKUP('Données projet'!$B$10,Paramètres!$A$1:$I$89,5,0)</f>
        <v>343.98</v>
      </c>
      <c r="AK181" s="13">
        <f t="shared" si="164"/>
        <v>80.321681832084693</v>
      </c>
      <c r="AL181" s="20">
        <f t="shared" si="165"/>
        <v>738.9920958575475</v>
      </c>
      <c r="AM181" s="59">
        <f t="shared" si="113"/>
        <v>1032.3254291908809</v>
      </c>
      <c r="AN181" s="59">
        <f ca="1">AVERAGE(OFFSET($AM$3,0,0,'Données projet'!$E$10+1,1))-AVERAGE(OFFSET($H$3,0,0,'Données projet'!$E$10+1,1))</f>
        <v>342.49944586217674</v>
      </c>
      <c r="AO181" s="59">
        <f t="shared" si="144"/>
        <v>282.29766600872563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16.935176326296972</v>
      </c>
      <c r="AV181" s="21">
        <f>EXP(-LN(2)/25)*AV180+(1-EXP(-LN(2)/25))/(LN(2)/25)*Calculateur!AQ181*Calculateur!AS181*VLOOKUP('Données projet'!$B$10,Paramètres!$A$1:$I$89,3,0)*0.475*44/12</f>
        <v>0.66196643361815721</v>
      </c>
      <c r="AW181" s="21">
        <f>EXP(-LN(2)/2)*AW180+(1-EXP(-LN(2)/2))/(LN(2)/2)*AQ181*AT181*VLOOKUP('Données projet'!$B$10,Paramètres!$A$1:$I$89,3,0)*0.475*44/12</f>
        <v>4.3831036333668405E-24</v>
      </c>
      <c r="AX181" s="21">
        <f t="shared" si="166"/>
        <v>17.59714275991513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319</v>
      </c>
      <c r="BE181" s="13">
        <f>BD181*VLOOKUP('Données projet'!$B$11,Paramètres!$A$1:$I$89,3,0)*VLOOKUP('Données projet'!$B$11,Paramètres!$A$1:$I$89,5,0)</f>
        <v>253.79640000000001</v>
      </c>
      <c r="BF181" s="13">
        <f t="shared" si="167"/>
        <v>61.39816832228076</v>
      </c>
      <c r="BG181" s="20">
        <f t="shared" si="168"/>
        <v>548.96387316130563</v>
      </c>
      <c r="BH181" s="59">
        <f t="shared" si="116"/>
        <v>842.29720649463889</v>
      </c>
      <c r="BI181" s="59">
        <f ca="1">AVERAGE(OFFSET($BH$3,0,0,'Données projet'!$E$11+1,1))-AVERAGE(OFFSET($H$3,0,0,'Données projet'!$E$11+1,1))</f>
        <v>279.49721661620544</v>
      </c>
      <c r="BJ181" s="59">
        <f t="shared" si="146"/>
        <v>275.18739333988754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7.6342833900865124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7.6342833900865124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732.99999999999966</v>
      </c>
      <c r="BZ181" s="13">
        <f>BY181*VLOOKUP('Données projet'!$B$12,Paramètres!$A$1:$I$89,3,0)*VLOOKUP('Données projet'!$B$12,Paramètres!$A$1:$I$89,5,0)</f>
        <v>352.57299999999987</v>
      </c>
      <c r="CA181" s="13">
        <f t="shared" si="170"/>
        <v>82.092092597941644</v>
      </c>
      <c r="CB181" s="20">
        <f t="shared" si="171"/>
        <v>757.04170294141477</v>
      </c>
      <c r="CC181" s="59">
        <f t="shared" si="119"/>
        <v>1050.375036274748</v>
      </c>
      <c r="CD181" s="59">
        <f ca="1">AVERAGE(OFFSET($CC$3,0,0,'Données projet'!$E$12+1,1))-AVERAGE(OFFSET($H$3,0,0,'Données projet'!$E$12+1,1))</f>
        <v>349.65790906807746</v>
      </c>
      <c r="CE181" s="59">
        <f t="shared" si="148"/>
        <v>291.88925884278888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18.165057601178106</v>
      </c>
      <c r="CL181" s="21">
        <f>EXP(-LN(2)/25)*CL180+(1-EXP(-LN(2)/25))/(LN(2)/25)*Calculateur!CG181*Calculateur!CI181*VLOOKUP('Données projet'!$B$12,Paramètres!$A$1:$I$89,3,0)*0.475*44/12</f>
        <v>0.68035439010755228</v>
      </c>
      <c r="CM181" s="21">
        <f>EXP(-LN(2)/2)*CM180+(1-EXP(-LN(2)/2))/(LN(2)/2)*CG181*CJ181*VLOOKUP('Données projet'!$B$12,Paramètres!$A$1:$I$89,3,0)*0.475*44/12</f>
        <v>2.7029139072428829E-24</v>
      </c>
      <c r="CN181" s="22">
        <f t="shared" si="172"/>
        <v>18.845411991285658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285.99999999999972</v>
      </c>
      <c r="CU181" s="17">
        <f>CT181*VLOOKUP('Données projet'!$B$13,Paramètres!$A$1:$I$89,3,0)*VLOOKUP('Données projet'!$B$13,Paramètres!$A$1:$I$89,5,0)</f>
        <v>223.07999999999979</v>
      </c>
      <c r="CV181" s="13">
        <f t="shared" si="173"/>
        <v>54.783765878062617</v>
      </c>
      <c r="CW181" s="20">
        <f t="shared" si="174"/>
        <v>483.94605890429199</v>
      </c>
      <c r="CX181" s="59">
        <f t="shared" si="122"/>
        <v>777.2793922376253</v>
      </c>
      <c r="CY181" s="59">
        <f ca="1">AVERAGE(OFFSET($CX$3,0,0,'Données projet'!$E$13+1,1))-AVERAGE(OFFSET($H$3,0,0,'Données projet'!$E$13+1,1))</f>
        <v>215.84581110302656</v>
      </c>
      <c r="CZ181" s="59">
        <f t="shared" si="150"/>
        <v>193.88588526156104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6.9107326078194413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6.9107326078194413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401</v>
      </c>
      <c r="O182" s="13">
        <f>N182*VLOOKUP('Données projet'!$B$9,Paramètres!$A$1:$I$89,3,0)*VLOOKUP('Données projet'!$B$9,Paramètres!$A$1:$I$89,5,0)</f>
        <v>250.22399999999999</v>
      </c>
      <c r="P182" s="13">
        <f t="shared" si="141"/>
        <v>60.633904580527918</v>
      </c>
      <c r="Q182" s="20">
        <f t="shared" si="162"/>
        <v>541.41085047775289</v>
      </c>
      <c r="R182" s="59">
        <f t="shared" si="109"/>
        <v>834.74418381108626</v>
      </c>
      <c r="S182" s="59">
        <f ca="1">AVERAGE(OFFSET($R$3,0,0,'Données projet'!$E$9+1,1))-AVERAGE(OFFSET($H$3,0,0,'Données projet'!$E$9+1,1))</f>
        <v>269.77739619445515</v>
      </c>
      <c r="T182" s="59">
        <f t="shared" si="142"/>
        <v>347.56964743629885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7.2544422814945069</v>
      </c>
      <c r="AA182" s="21">
        <f>EXP(-LN(2)/25)*AA181+(1-EXP(-LN(2)/25))/(LN(2)/25)*Calculateur!V182*Calculateur!X182*VLOOKUP('Données projet'!$B$9,Paramètres!$A$1:$I$89,3,0)*0.475*44/12</f>
        <v>1.4737721256747653</v>
      </c>
      <c r="AB182" s="21">
        <f>EXP(-LN(2)/2)*AB181+(1-EXP(-LN(2)/2))/(LN(2)/2)*V182*Y182*VLOOKUP('Données projet'!$B$9,Paramètres!$A$1:$I$89,3,0)*0.475*44/12</f>
        <v>9.2979669053912557E-25</v>
      </c>
      <c r="AC182" s="22">
        <f t="shared" si="163"/>
        <v>8.728214407169272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735.00000000000011</v>
      </c>
      <c r="AJ182" s="13">
        <f>AI182*VLOOKUP('Données projet'!$B$10,Paramètres!$A$1:$I$89,3,0)*VLOOKUP('Données projet'!$B$10,Paramètres!$A$1:$I$89,5,0)</f>
        <v>343.98</v>
      </c>
      <c r="AK182" s="13">
        <f t="shared" si="164"/>
        <v>80.321681832084693</v>
      </c>
      <c r="AL182" s="20">
        <f t="shared" si="165"/>
        <v>738.9920958575475</v>
      </c>
      <c r="AM182" s="59">
        <f t="shared" si="113"/>
        <v>1032.3254291908809</v>
      </c>
      <c r="AN182" s="59">
        <f ca="1">AVERAGE(OFFSET($AM$3,0,0,'Données projet'!$E$10+1,1))-AVERAGE(OFFSET($H$3,0,0,'Données projet'!$E$10+1,1))</f>
        <v>342.49944586217674</v>
      </c>
      <c r="AO182" s="59">
        <f t="shared" si="144"/>
        <v>282.29766600872563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16.6030878479759</v>
      </c>
      <c r="AV182" s="21">
        <f>EXP(-LN(2)/25)*AV181+(1-EXP(-LN(2)/25))/(LN(2)/25)*Calculateur!AQ182*Calculateur!AS182*VLOOKUP('Données projet'!$B$10,Paramètres!$A$1:$I$89,3,0)*0.475*44/12</f>
        <v>0.64386492667956685</v>
      </c>
      <c r="AW182" s="21">
        <f>EXP(-LN(2)/2)*AW181+(1-EXP(-LN(2)/2))/(LN(2)/2)*AQ182*AT182*VLOOKUP('Données projet'!$B$10,Paramètres!$A$1:$I$89,3,0)*0.475*44/12</f>
        <v>3.0993223017970879E-24</v>
      </c>
      <c r="AX182" s="21">
        <f t="shared" si="166"/>
        <v>17.246952774655465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319</v>
      </c>
      <c r="BE182" s="13">
        <f>BD182*VLOOKUP('Données projet'!$B$11,Paramètres!$A$1:$I$89,3,0)*VLOOKUP('Données projet'!$B$11,Paramètres!$A$1:$I$89,5,0)</f>
        <v>253.79640000000001</v>
      </c>
      <c r="BF182" s="13">
        <f t="shared" si="167"/>
        <v>61.39816832228076</v>
      </c>
      <c r="BG182" s="20">
        <f t="shared" si="168"/>
        <v>548.96387316130563</v>
      </c>
      <c r="BH182" s="59">
        <f t="shared" si="116"/>
        <v>842.29720649463889</v>
      </c>
      <c r="BI182" s="59">
        <f ca="1">AVERAGE(OFFSET($BH$3,0,0,'Données projet'!$E$11+1,1))-AVERAGE(OFFSET($H$3,0,0,'Données projet'!$E$11+1,1))</f>
        <v>279.49721661620544</v>
      </c>
      <c r="BJ182" s="59">
        <f t="shared" si="146"/>
        <v>275.18739333988754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7.4845797492599973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7.4845797492599973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732.99999999999966</v>
      </c>
      <c r="BZ182" s="13">
        <f>BY182*VLOOKUP('Données projet'!$B$12,Paramètres!$A$1:$I$89,3,0)*VLOOKUP('Données projet'!$B$12,Paramètres!$A$1:$I$89,5,0)</f>
        <v>352.57299999999987</v>
      </c>
      <c r="CA182" s="13">
        <f t="shared" si="170"/>
        <v>82.092092597941644</v>
      </c>
      <c r="CB182" s="20">
        <f t="shared" si="171"/>
        <v>757.04170294141477</v>
      </c>
      <c r="CC182" s="59">
        <f t="shared" si="119"/>
        <v>1050.375036274748</v>
      </c>
      <c r="CD182" s="59">
        <f ca="1">AVERAGE(OFFSET($CC$3,0,0,'Données projet'!$E$12+1,1))-AVERAGE(OFFSET($H$3,0,0,'Données projet'!$E$12+1,1))</f>
        <v>349.65790906807746</v>
      </c>
      <c r="CE182" s="59">
        <f t="shared" si="148"/>
        <v>291.88925884278888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17.808851901210122</v>
      </c>
      <c r="CL182" s="21">
        <f>EXP(-LN(2)/25)*CL181+(1-EXP(-LN(2)/25))/(LN(2)/25)*Calculateur!CG182*Calculateur!CI182*VLOOKUP('Données projet'!$B$12,Paramètres!$A$1:$I$89,3,0)*0.475*44/12</f>
        <v>0.6617500635317789</v>
      </c>
      <c r="CM182" s="21">
        <f>EXP(-LN(2)/2)*CM181+(1-EXP(-LN(2)/2))/(LN(2)/2)*CG182*CJ182*VLOOKUP('Données projet'!$B$12,Paramètres!$A$1:$I$89,3,0)*0.475*44/12</f>
        <v>1.9112487527748694E-24</v>
      </c>
      <c r="CN182" s="22">
        <f t="shared" si="172"/>
        <v>18.470601964741903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285.99999999999972</v>
      </c>
      <c r="CU182" s="17">
        <f>CT182*VLOOKUP('Données projet'!$B$13,Paramètres!$A$1:$I$89,3,0)*VLOOKUP('Données projet'!$B$13,Paramètres!$A$1:$I$89,5,0)</f>
        <v>223.07999999999979</v>
      </c>
      <c r="CV182" s="13">
        <f t="shared" si="173"/>
        <v>54.783765878062617</v>
      </c>
      <c r="CW182" s="20">
        <f t="shared" si="174"/>
        <v>483.94605890429199</v>
      </c>
      <c r="CX182" s="59">
        <f t="shared" si="122"/>
        <v>777.2793922376253</v>
      </c>
      <c r="CY182" s="59">
        <f ca="1">AVERAGE(OFFSET($CX$3,0,0,'Données projet'!$E$13+1,1))-AVERAGE(OFFSET($H$3,0,0,'Données projet'!$E$13+1,1))</f>
        <v>215.84581110302656</v>
      </c>
      <c r="CZ182" s="59">
        <f t="shared" si="150"/>
        <v>193.88588526156104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6.7752173565107832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6.7752173565107832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401</v>
      </c>
      <c r="O183" s="13">
        <f>N183*VLOOKUP('Données projet'!$B$9,Paramètres!$A$1:$I$89,3,0)*VLOOKUP('Données projet'!$B$9,Paramètres!$A$1:$I$89,5,0)</f>
        <v>250.22399999999999</v>
      </c>
      <c r="P183" s="13">
        <f t="shared" si="141"/>
        <v>60.633904580527918</v>
      </c>
      <c r="Q183" s="20">
        <f t="shared" si="162"/>
        <v>541.41085047775289</v>
      </c>
      <c r="R183" s="59">
        <f t="shared" si="109"/>
        <v>834.74418381108626</v>
      </c>
      <c r="S183" s="59">
        <f ca="1">AVERAGE(OFFSET($R$3,0,0,'Données projet'!$E$9+1,1))-AVERAGE(OFFSET($H$3,0,0,'Données projet'!$E$9+1,1))</f>
        <v>269.77739619445515</v>
      </c>
      <c r="T183" s="59">
        <f t="shared" si="142"/>
        <v>347.56964743629885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7.1121870931272815</v>
      </c>
      <c r="AA183" s="21">
        <f>EXP(-LN(2)/25)*AA182+(1-EXP(-LN(2)/25))/(LN(2)/25)*Calculateur!V183*Calculateur!X183*VLOOKUP('Données projet'!$B$9,Paramètres!$A$1:$I$89,3,0)*0.475*44/12</f>
        <v>1.4334717493958811</v>
      </c>
      <c r="AB183" s="21">
        <f>EXP(-LN(2)/2)*AB182+(1-EXP(-LN(2)/2))/(LN(2)/2)*V183*Y183*VLOOKUP('Données projet'!$B$9,Paramètres!$A$1:$I$89,3,0)*0.475*44/12</f>
        <v>6.5746554500502552E-25</v>
      </c>
      <c r="AC183" s="22">
        <f t="shared" si="163"/>
        <v>8.5456588425231619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735.00000000000011</v>
      </c>
      <c r="AJ183" s="13">
        <f>AI183*VLOOKUP('Données projet'!$B$10,Paramètres!$A$1:$I$89,3,0)*VLOOKUP('Données projet'!$B$10,Paramètres!$A$1:$I$89,5,0)</f>
        <v>343.98</v>
      </c>
      <c r="AK183" s="13">
        <f t="shared" si="164"/>
        <v>80.321681832084693</v>
      </c>
      <c r="AL183" s="20">
        <f t="shared" si="165"/>
        <v>738.9920958575475</v>
      </c>
      <c r="AM183" s="59">
        <f t="shared" si="113"/>
        <v>1032.3254291908809</v>
      </c>
      <c r="AN183" s="59">
        <f ca="1">AVERAGE(OFFSET($AM$3,0,0,'Données projet'!$E$10+1,1))-AVERAGE(OFFSET($H$3,0,0,'Données projet'!$E$10+1,1))</f>
        <v>342.49944586217674</v>
      </c>
      <c r="AO183" s="59">
        <f t="shared" si="144"/>
        <v>282.29766600872563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16.277511422160732</v>
      </c>
      <c r="AV183" s="21">
        <f>EXP(-LN(2)/25)*AV182+(1-EXP(-LN(2)/25))/(LN(2)/25)*Calculateur!AQ183*Calculateur!AS183*VLOOKUP('Données projet'!$B$10,Paramètres!$A$1:$I$89,3,0)*0.475*44/12</f>
        <v>0.6262584064001292</v>
      </c>
      <c r="AW183" s="21">
        <f>EXP(-LN(2)/2)*AW182+(1-EXP(-LN(2)/2))/(LN(2)/2)*AQ183*AT183*VLOOKUP('Données projet'!$B$10,Paramètres!$A$1:$I$89,3,0)*0.475*44/12</f>
        <v>2.1915518166834202E-24</v>
      </c>
      <c r="AX183" s="21">
        <f t="shared" si="166"/>
        <v>16.903769828560861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319</v>
      </c>
      <c r="BE183" s="13">
        <f>BD183*VLOOKUP('Données projet'!$B$11,Paramètres!$A$1:$I$89,3,0)*VLOOKUP('Données projet'!$B$11,Paramètres!$A$1:$I$89,5,0)</f>
        <v>253.79640000000001</v>
      </c>
      <c r="BF183" s="13">
        <f t="shared" si="167"/>
        <v>61.39816832228076</v>
      </c>
      <c r="BG183" s="20">
        <f t="shared" si="168"/>
        <v>548.96387316130563</v>
      </c>
      <c r="BH183" s="59">
        <f t="shared" si="116"/>
        <v>842.29720649463889</v>
      </c>
      <c r="BI183" s="59">
        <f ca="1">AVERAGE(OFFSET($BH$3,0,0,'Données projet'!$E$11+1,1))-AVERAGE(OFFSET($H$3,0,0,'Données projet'!$E$11+1,1))</f>
        <v>279.49721661620544</v>
      </c>
      <c r="BJ183" s="59">
        <f t="shared" si="146"/>
        <v>275.18739333988754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7.3378117055198855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7.3378117055198855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732.99999999999966</v>
      </c>
      <c r="BZ183" s="13">
        <f>BY183*VLOOKUP('Données projet'!$B$12,Paramètres!$A$1:$I$89,3,0)*VLOOKUP('Données projet'!$B$12,Paramètres!$A$1:$I$89,5,0)</f>
        <v>352.57299999999987</v>
      </c>
      <c r="CA183" s="13">
        <f t="shared" si="170"/>
        <v>82.092092597941644</v>
      </c>
      <c r="CB183" s="20">
        <f t="shared" si="171"/>
        <v>757.04170294141477</v>
      </c>
      <c r="CC183" s="59">
        <f t="shared" si="119"/>
        <v>1050.375036274748</v>
      </c>
      <c r="CD183" s="59">
        <f ca="1">AVERAGE(OFFSET($CC$3,0,0,'Données projet'!$E$12+1,1))-AVERAGE(OFFSET($H$3,0,0,'Données projet'!$E$12+1,1))</f>
        <v>349.65790906807746</v>
      </c>
      <c r="CE183" s="59">
        <f t="shared" si="148"/>
        <v>291.88925884278888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17.459631177754485</v>
      </c>
      <c r="CL183" s="21">
        <f>EXP(-LN(2)/25)*CL182+(1-EXP(-LN(2)/25))/(LN(2)/25)*Calculateur!CG183*Calculateur!CI183*VLOOKUP('Données projet'!$B$12,Paramètres!$A$1:$I$89,3,0)*0.475*44/12</f>
        <v>0.64365447324457903</v>
      </c>
      <c r="CM183" s="21">
        <f>EXP(-LN(2)/2)*CM182+(1-EXP(-LN(2)/2))/(LN(2)/2)*CG183*CJ183*VLOOKUP('Données projet'!$B$12,Paramètres!$A$1:$I$89,3,0)*0.475*44/12</f>
        <v>1.3514569536214415E-24</v>
      </c>
      <c r="CN183" s="22">
        <f t="shared" si="172"/>
        <v>18.103285650999062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285.99999999999972</v>
      </c>
      <c r="CU183" s="17">
        <f>CT183*VLOOKUP('Données projet'!$B$13,Paramètres!$A$1:$I$89,3,0)*VLOOKUP('Données projet'!$B$13,Paramètres!$A$1:$I$89,5,0)</f>
        <v>223.07999999999979</v>
      </c>
      <c r="CV183" s="13">
        <f t="shared" si="173"/>
        <v>54.783765878062617</v>
      </c>
      <c r="CW183" s="20">
        <f t="shared" si="174"/>
        <v>483.94605890429199</v>
      </c>
      <c r="CX183" s="59">
        <f t="shared" si="122"/>
        <v>777.2793922376253</v>
      </c>
      <c r="CY183" s="59">
        <f ca="1">AVERAGE(OFFSET($CX$3,0,0,'Données projet'!$E$13+1,1))-AVERAGE(OFFSET($H$3,0,0,'Données projet'!$E$13+1,1))</f>
        <v>215.84581110302656</v>
      </c>
      <c r="CZ183" s="59">
        <f t="shared" si="150"/>
        <v>193.88588526156104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6.6423594766241463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6.6423594766241463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401</v>
      </c>
      <c r="O184" s="13">
        <f>N184*VLOOKUP('Données projet'!$B$9,Paramètres!$A$1:$I$89,3,0)*VLOOKUP('Données projet'!$B$9,Paramètres!$A$1:$I$89,5,0)</f>
        <v>250.22399999999999</v>
      </c>
      <c r="P184" s="13">
        <f t="shared" si="141"/>
        <v>60.633904580527918</v>
      </c>
      <c r="Q184" s="20">
        <f t="shared" si="162"/>
        <v>541.41085047775289</v>
      </c>
      <c r="R184" s="59">
        <f t="shared" si="109"/>
        <v>834.74418381108626</v>
      </c>
      <c r="S184" s="59">
        <f ca="1">AVERAGE(OFFSET($R$3,0,0,'Données projet'!$E$9+1,1))-AVERAGE(OFFSET($H$3,0,0,'Données projet'!$E$9+1,1))</f>
        <v>269.77739619445515</v>
      </c>
      <c r="T184" s="59">
        <f t="shared" si="142"/>
        <v>347.56964743629885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6.97272144223684</v>
      </c>
      <c r="AA184" s="21">
        <f>EXP(-LN(2)/25)*AA183+(1-EXP(-LN(2)/25))/(LN(2)/25)*Calculateur!V184*Calculateur!X184*VLOOKUP('Données projet'!$B$9,Paramètres!$A$1:$I$89,3,0)*0.475*44/12</f>
        <v>1.3942733890256476</v>
      </c>
      <c r="AB184" s="21">
        <f>EXP(-LN(2)/2)*AB183+(1-EXP(-LN(2)/2))/(LN(2)/2)*V184*Y184*VLOOKUP('Données projet'!$B$9,Paramètres!$A$1:$I$89,3,0)*0.475*44/12</f>
        <v>4.6489834526956278E-25</v>
      </c>
      <c r="AC184" s="22">
        <f t="shared" si="163"/>
        <v>8.3669948312624882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735.00000000000011</v>
      </c>
      <c r="AJ184" s="13">
        <f>AI184*VLOOKUP('Données projet'!$B$10,Paramètres!$A$1:$I$89,3,0)*VLOOKUP('Données projet'!$B$10,Paramètres!$A$1:$I$89,5,0)</f>
        <v>343.98</v>
      </c>
      <c r="AK184" s="13">
        <f t="shared" si="164"/>
        <v>80.321681832084693</v>
      </c>
      <c r="AL184" s="20">
        <f t="shared" si="165"/>
        <v>738.9920958575475</v>
      </c>
      <c r="AM184" s="59">
        <f t="shared" si="113"/>
        <v>1032.3254291908809</v>
      </c>
      <c r="AN184" s="59">
        <f ca="1">AVERAGE(OFFSET($AM$3,0,0,'Données projet'!$E$10+1,1))-AVERAGE(OFFSET($H$3,0,0,'Données projet'!$E$10+1,1))</f>
        <v>342.49944586217674</v>
      </c>
      <c r="AO184" s="59">
        <f t="shared" si="144"/>
        <v>282.29766600872563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15.958319351473788</v>
      </c>
      <c r="AV184" s="21">
        <f>EXP(-LN(2)/25)*AV183+(1-EXP(-LN(2)/25))/(LN(2)/25)*Calculateur!AQ184*Calculateur!AS184*VLOOKUP('Données projet'!$B$10,Paramètres!$A$1:$I$89,3,0)*0.475*44/12</f>
        <v>0.60913333734361941</v>
      </c>
      <c r="AW184" s="21">
        <f>EXP(-LN(2)/2)*AW183+(1-EXP(-LN(2)/2))/(LN(2)/2)*AQ184*AT184*VLOOKUP('Données projet'!$B$10,Paramètres!$A$1:$I$89,3,0)*0.475*44/12</f>
        <v>1.549661150898544E-24</v>
      </c>
      <c r="AX184" s="21">
        <f t="shared" si="166"/>
        <v>16.567452688817408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319</v>
      </c>
      <c r="BE184" s="13">
        <f>BD184*VLOOKUP('Données projet'!$B$11,Paramètres!$A$1:$I$89,3,0)*VLOOKUP('Données projet'!$B$11,Paramètres!$A$1:$I$89,5,0)</f>
        <v>253.79640000000001</v>
      </c>
      <c r="BF184" s="13">
        <f t="shared" si="167"/>
        <v>61.39816832228076</v>
      </c>
      <c r="BG184" s="20">
        <f t="shared" si="168"/>
        <v>548.96387316130563</v>
      </c>
      <c r="BH184" s="59">
        <f t="shared" si="116"/>
        <v>842.29720649463889</v>
      </c>
      <c r="BI184" s="59">
        <f ca="1">AVERAGE(OFFSET($BH$3,0,0,'Données projet'!$E$11+1,1))-AVERAGE(OFFSET($H$3,0,0,'Données projet'!$E$11+1,1))</f>
        <v>279.49721661620544</v>
      </c>
      <c r="BJ184" s="59">
        <f t="shared" si="146"/>
        <v>275.18739333988754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7.1939216935978498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7.1939216935978498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732.99999999999966</v>
      </c>
      <c r="BZ184" s="13">
        <f>BY184*VLOOKUP('Données projet'!$B$12,Paramètres!$A$1:$I$89,3,0)*VLOOKUP('Données projet'!$B$12,Paramètres!$A$1:$I$89,5,0)</f>
        <v>352.57299999999987</v>
      </c>
      <c r="CA184" s="13">
        <f t="shared" si="170"/>
        <v>82.092092597941644</v>
      </c>
      <c r="CB184" s="20">
        <f t="shared" si="171"/>
        <v>757.04170294141477</v>
      </c>
      <c r="CC184" s="59">
        <f t="shared" si="119"/>
        <v>1050.375036274748</v>
      </c>
      <c r="CD184" s="59">
        <f ca="1">AVERAGE(OFFSET($CC$3,0,0,'Données projet'!$E$12+1,1))-AVERAGE(OFFSET($H$3,0,0,'Données projet'!$E$12+1,1))</f>
        <v>349.65790906807746</v>
      </c>
      <c r="CE184" s="59">
        <f t="shared" si="148"/>
        <v>291.88925884278888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17.117258459682205</v>
      </c>
      <c r="CL184" s="21">
        <f>EXP(-LN(2)/25)*CL183+(1-EXP(-LN(2)/25))/(LN(2)/25)*Calculateur!CG184*Calculateur!CI184*VLOOKUP('Données projet'!$B$12,Paramètres!$A$1:$I$89,3,0)*0.475*44/12</f>
        <v>0.62605370782538838</v>
      </c>
      <c r="CM184" s="21">
        <f>EXP(-LN(2)/2)*CM183+(1-EXP(-LN(2)/2))/(LN(2)/2)*CG184*CJ184*VLOOKUP('Données projet'!$B$12,Paramètres!$A$1:$I$89,3,0)*0.475*44/12</f>
        <v>9.5562437638743472E-25</v>
      </c>
      <c r="CN184" s="22">
        <f t="shared" si="172"/>
        <v>17.743312167507593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285.99999999999972</v>
      </c>
      <c r="CU184" s="17">
        <f>CT184*VLOOKUP('Données projet'!$B$13,Paramètres!$A$1:$I$89,3,0)*VLOOKUP('Données projet'!$B$13,Paramètres!$A$1:$I$89,5,0)</f>
        <v>223.07999999999979</v>
      </c>
      <c r="CV184" s="13">
        <f t="shared" si="173"/>
        <v>54.783765878062617</v>
      </c>
      <c r="CW184" s="20">
        <f t="shared" si="174"/>
        <v>483.94605890429199</v>
      </c>
      <c r="CX184" s="59">
        <f t="shared" si="122"/>
        <v>777.2793922376253</v>
      </c>
      <c r="CY184" s="59">
        <f ca="1">AVERAGE(OFFSET($CX$3,0,0,'Données projet'!$E$13+1,1))-AVERAGE(OFFSET($H$3,0,0,'Données projet'!$E$13+1,1))</f>
        <v>215.84581110302656</v>
      </c>
      <c r="CZ184" s="59">
        <f t="shared" si="150"/>
        <v>193.88588526156104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6.5121068587267814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6.5121068587267814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401</v>
      </c>
      <c r="O185" s="13">
        <f>N185*VLOOKUP('Données projet'!$B$9,Paramètres!$A$1:$I$89,3,0)*VLOOKUP('Données projet'!$B$9,Paramètres!$A$1:$I$89,5,0)</f>
        <v>250.22399999999999</v>
      </c>
      <c r="P185" s="13">
        <f t="shared" si="141"/>
        <v>60.633904580527918</v>
      </c>
      <c r="Q185" s="20">
        <f t="shared" si="162"/>
        <v>541.41085047775289</v>
      </c>
      <c r="R185" s="59">
        <f t="shared" si="109"/>
        <v>834.74418381108626</v>
      </c>
      <c r="S185" s="59">
        <f ca="1">AVERAGE(OFFSET($R$3,0,0,'Données projet'!$E$9+1,1))-AVERAGE(OFFSET($H$3,0,0,'Données projet'!$E$9+1,1))</f>
        <v>269.77739619445515</v>
      </c>
      <c r="T185" s="59">
        <f t="shared" si="142"/>
        <v>347.56964743629885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6.835990627694712</v>
      </c>
      <c r="AA185" s="21">
        <f>EXP(-LN(2)/25)*AA184+(1-EXP(-LN(2)/25))/(LN(2)/25)*Calculateur!V185*Calculateur!X185*VLOOKUP('Données projet'!$B$9,Paramètres!$A$1:$I$89,3,0)*0.475*44/12</f>
        <v>1.3561469098810903</v>
      </c>
      <c r="AB185" s="21">
        <f>EXP(-LN(2)/2)*AB184+(1-EXP(-LN(2)/2))/(LN(2)/2)*V185*Y185*VLOOKUP('Données projet'!$B$9,Paramètres!$A$1:$I$89,3,0)*0.475*44/12</f>
        <v>3.2873277250251276E-25</v>
      </c>
      <c r="AC185" s="22">
        <f t="shared" si="163"/>
        <v>8.1921375375758032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735.00000000000011</v>
      </c>
      <c r="AJ185" s="13">
        <f>AI185*VLOOKUP('Données projet'!$B$10,Paramètres!$A$1:$I$89,3,0)*VLOOKUP('Données projet'!$B$10,Paramètres!$A$1:$I$89,5,0)</f>
        <v>343.98</v>
      </c>
      <c r="AK185" s="13">
        <f t="shared" si="164"/>
        <v>80.321681832084693</v>
      </c>
      <c r="AL185" s="20">
        <f t="shared" si="165"/>
        <v>738.9920958575475</v>
      </c>
      <c r="AM185" s="59">
        <f t="shared" si="113"/>
        <v>1032.3254291908809</v>
      </c>
      <c r="AN185" s="59">
        <f ca="1">AVERAGE(OFFSET($AM$3,0,0,'Données projet'!$E$10+1,1))-AVERAGE(OFFSET($H$3,0,0,'Données projet'!$E$10+1,1))</f>
        <v>342.49944586217674</v>
      </c>
      <c r="AO185" s="59">
        <f t="shared" si="144"/>
        <v>282.29766600872563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15.645386442605076</v>
      </c>
      <c r="AV185" s="21">
        <f>EXP(-LN(2)/25)*AV184+(1-EXP(-LN(2)/25))/(LN(2)/25)*Calculateur!AQ185*Calculateur!AS185*VLOOKUP('Données projet'!$B$10,Paramètres!$A$1:$I$89,3,0)*0.475*44/12</f>
        <v>0.59247655420102807</v>
      </c>
      <c r="AW185" s="21">
        <f>EXP(-LN(2)/2)*AW184+(1-EXP(-LN(2)/2))/(LN(2)/2)*AQ185*AT185*VLOOKUP('Données projet'!$B$10,Paramètres!$A$1:$I$89,3,0)*0.475*44/12</f>
        <v>1.0957759083417101E-24</v>
      </c>
      <c r="AX185" s="21">
        <f t="shared" si="166"/>
        <v>16.237862996806104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319</v>
      </c>
      <c r="BE185" s="13">
        <f>BD185*VLOOKUP('Données projet'!$B$11,Paramètres!$A$1:$I$89,3,0)*VLOOKUP('Données projet'!$B$11,Paramètres!$A$1:$I$89,5,0)</f>
        <v>253.79640000000001</v>
      </c>
      <c r="BF185" s="13">
        <f t="shared" si="167"/>
        <v>61.39816832228076</v>
      </c>
      <c r="BG185" s="20">
        <f t="shared" si="168"/>
        <v>548.96387316130563</v>
      </c>
      <c r="BH185" s="59">
        <f t="shared" si="116"/>
        <v>842.29720649463889</v>
      </c>
      <c r="BI185" s="59">
        <f ca="1">AVERAGE(OFFSET($BH$3,0,0,'Données projet'!$E$11+1,1))-AVERAGE(OFFSET($H$3,0,0,'Données projet'!$E$11+1,1))</f>
        <v>279.49721661620544</v>
      </c>
      <c r="BJ185" s="59">
        <f t="shared" si="146"/>
        <v>275.18739333988754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7.0528532770453642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7.0528532770453642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732.99999999999966</v>
      </c>
      <c r="BZ185" s="13">
        <f>BY185*VLOOKUP('Données projet'!$B$12,Paramètres!$A$1:$I$89,3,0)*VLOOKUP('Données projet'!$B$12,Paramètres!$A$1:$I$89,5,0)</f>
        <v>352.57299999999987</v>
      </c>
      <c r="CA185" s="13">
        <f t="shared" si="170"/>
        <v>82.092092597941644</v>
      </c>
      <c r="CB185" s="20">
        <f t="shared" si="171"/>
        <v>757.04170294141477</v>
      </c>
      <c r="CC185" s="59">
        <f t="shared" si="119"/>
        <v>1050.375036274748</v>
      </c>
      <c r="CD185" s="59">
        <f ca="1">AVERAGE(OFFSET($CC$3,0,0,'Données projet'!$E$12+1,1))-AVERAGE(OFFSET($H$3,0,0,'Données projet'!$E$12+1,1))</f>
        <v>349.65790906807746</v>
      </c>
      <c r="CE185" s="59">
        <f t="shared" si="148"/>
        <v>291.88925884278888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16.781599461784584</v>
      </c>
      <c r="CL185" s="21">
        <f>EXP(-LN(2)/25)*CL184+(1-EXP(-LN(2)/25))/(LN(2)/25)*Calculateur!CG185*Calculateur!CI185*VLOOKUP('Données projet'!$B$12,Paramètres!$A$1:$I$89,3,0)*0.475*44/12</f>
        <v>0.60893423626216947</v>
      </c>
      <c r="CM185" s="21">
        <f>EXP(-LN(2)/2)*CM184+(1-EXP(-LN(2)/2))/(LN(2)/2)*CG185*CJ185*VLOOKUP('Données projet'!$B$12,Paramètres!$A$1:$I$89,3,0)*0.475*44/12</f>
        <v>6.7572847681072074E-25</v>
      </c>
      <c r="CN185" s="22">
        <f t="shared" si="172"/>
        <v>17.390533698046752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285.99999999999972</v>
      </c>
      <c r="CU185" s="17">
        <f>CT185*VLOOKUP('Données projet'!$B$13,Paramètres!$A$1:$I$89,3,0)*VLOOKUP('Données projet'!$B$13,Paramètres!$A$1:$I$89,5,0)</f>
        <v>223.07999999999979</v>
      </c>
      <c r="CV185" s="13">
        <f t="shared" si="173"/>
        <v>54.783765878062617</v>
      </c>
      <c r="CW185" s="20">
        <f t="shared" si="174"/>
        <v>483.94605890429199</v>
      </c>
      <c r="CX185" s="59">
        <f t="shared" si="122"/>
        <v>777.2793922376253</v>
      </c>
      <c r="CY185" s="59">
        <f ca="1">AVERAGE(OFFSET($CX$3,0,0,'Données projet'!$E$13+1,1))-AVERAGE(OFFSET($H$3,0,0,'Données projet'!$E$13+1,1))</f>
        <v>215.84581110302656</v>
      </c>
      <c r="CZ185" s="59">
        <f t="shared" si="150"/>
        <v>193.88588526156104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6.3844084152201317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6.3844084152201317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401</v>
      </c>
      <c r="O186" s="13">
        <f>N186*VLOOKUP('Données projet'!$B$9,Paramètres!$A$1:$I$89,3,0)*VLOOKUP('Données projet'!$B$9,Paramètres!$A$1:$I$89,5,0)</f>
        <v>250.22399999999999</v>
      </c>
      <c r="P186" s="13">
        <f t="shared" si="141"/>
        <v>60.633904580527918</v>
      </c>
      <c r="Q186" s="20">
        <f t="shared" si="162"/>
        <v>541.41085047775289</v>
      </c>
      <c r="R186" s="59">
        <f t="shared" si="109"/>
        <v>834.74418381108626</v>
      </c>
      <c r="S186" s="59">
        <f ca="1">AVERAGE(OFFSET($R$3,0,0,'Données projet'!$E$9+1,1))-AVERAGE(OFFSET($H$3,0,0,'Données projet'!$E$9+1,1))</f>
        <v>269.77739619445515</v>
      </c>
      <c r="T186" s="59">
        <f t="shared" si="142"/>
        <v>347.56964743629885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6.7019410210281931</v>
      </c>
      <c r="AA186" s="21">
        <f>EXP(-LN(2)/25)*AA185+(1-EXP(-LN(2)/25))/(LN(2)/25)*Calculateur!V186*Calculateur!X186*VLOOKUP('Données projet'!$B$9,Paramètres!$A$1:$I$89,3,0)*0.475*44/12</f>
        <v>1.3190630013137254</v>
      </c>
      <c r="AB186" s="21">
        <f>EXP(-LN(2)/2)*AB185+(1-EXP(-LN(2)/2))/(LN(2)/2)*V186*Y186*VLOOKUP('Données projet'!$B$9,Paramètres!$A$1:$I$89,3,0)*0.475*44/12</f>
        <v>2.3244917263478139E-25</v>
      </c>
      <c r="AC186" s="22">
        <f t="shared" si="163"/>
        <v>8.0210040223419181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735.00000000000011</v>
      </c>
      <c r="AJ186" s="13">
        <f>AI186*VLOOKUP('Données projet'!$B$10,Paramètres!$A$1:$I$89,3,0)*VLOOKUP('Données projet'!$B$10,Paramètres!$A$1:$I$89,5,0)</f>
        <v>343.98</v>
      </c>
      <c r="AK186" s="13">
        <f t="shared" si="164"/>
        <v>80.321681832084693</v>
      </c>
      <c r="AL186" s="20">
        <f t="shared" si="165"/>
        <v>738.9920958575475</v>
      </c>
      <c r="AM186" s="59">
        <f t="shared" si="113"/>
        <v>1032.3254291908809</v>
      </c>
      <c r="AN186" s="59">
        <f ca="1">AVERAGE(OFFSET($AM$3,0,0,'Données projet'!$E$10+1,1))-AVERAGE(OFFSET($H$3,0,0,'Données projet'!$E$10+1,1))</f>
        <v>342.49944586217674</v>
      </c>
      <c r="AO186" s="59">
        <f t="shared" si="144"/>
        <v>282.29766600872563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15.338589957209054</v>
      </c>
      <c r="AV186" s="21">
        <f>EXP(-LN(2)/25)*AV185+(1-EXP(-LN(2)/25))/(LN(2)/25)*Calculateur!AQ186*Calculateur!AS186*VLOOKUP('Données projet'!$B$10,Paramètres!$A$1:$I$89,3,0)*0.475*44/12</f>
        <v>0.57627525166941307</v>
      </c>
      <c r="AW186" s="21">
        <f>EXP(-LN(2)/2)*AW185+(1-EXP(-LN(2)/2))/(LN(2)/2)*AQ186*AT186*VLOOKUP('Données projet'!$B$10,Paramètres!$A$1:$I$89,3,0)*0.475*44/12</f>
        <v>7.7483057544927198E-25</v>
      </c>
      <c r="AX186" s="21">
        <f t="shared" si="166"/>
        <v>15.914865208878467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319</v>
      </c>
      <c r="BE186" s="13">
        <f>BD186*VLOOKUP('Données projet'!$B$11,Paramètres!$A$1:$I$89,3,0)*VLOOKUP('Données projet'!$B$11,Paramètres!$A$1:$I$89,5,0)</f>
        <v>253.79640000000001</v>
      </c>
      <c r="BF186" s="13">
        <f t="shared" si="167"/>
        <v>61.39816832228076</v>
      </c>
      <c r="BG186" s="20">
        <f t="shared" si="168"/>
        <v>548.96387316130563</v>
      </c>
      <c r="BH186" s="59">
        <f t="shared" si="116"/>
        <v>842.29720649463889</v>
      </c>
      <c r="BI186" s="59">
        <f ca="1">AVERAGE(OFFSET($BH$3,0,0,'Données projet'!$E$11+1,1))-AVERAGE(OFFSET($H$3,0,0,'Données projet'!$E$11+1,1))</f>
        <v>279.49721661620544</v>
      </c>
      <c r="BJ186" s="59">
        <f t="shared" si="146"/>
        <v>275.18739333988754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6.9145511260982344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6.9145511260982344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732.99999999999966</v>
      </c>
      <c r="BZ186" s="13">
        <f>BY186*VLOOKUP('Données projet'!$B$12,Paramètres!$A$1:$I$89,3,0)*VLOOKUP('Données projet'!$B$12,Paramètres!$A$1:$I$89,5,0)</f>
        <v>352.57299999999987</v>
      </c>
      <c r="CA186" s="13">
        <f t="shared" si="170"/>
        <v>82.092092597941644</v>
      </c>
      <c r="CB186" s="20">
        <f t="shared" si="171"/>
        <v>757.04170294141477</v>
      </c>
      <c r="CC186" s="59">
        <f t="shared" si="119"/>
        <v>1050.375036274748</v>
      </c>
      <c r="CD186" s="59">
        <f ca="1">AVERAGE(OFFSET($CC$3,0,0,'Données projet'!$E$12+1,1))-AVERAGE(OFFSET($H$3,0,0,'Données projet'!$E$12+1,1))</f>
        <v>349.65790906807746</v>
      </c>
      <c r="CE186" s="59">
        <f t="shared" si="148"/>
        <v>291.88925884278888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16.452522532103963</v>
      </c>
      <c r="CL186" s="21">
        <f>EXP(-LN(2)/25)*CL185+(1-EXP(-LN(2)/25))/(LN(2)/25)*Calculateur!CG186*Calculateur!CI186*VLOOKUP('Données projet'!$B$12,Paramètres!$A$1:$I$89,3,0)*0.475*44/12</f>
        <v>0.59228289754912067</v>
      </c>
      <c r="CM186" s="21">
        <f>EXP(-LN(2)/2)*CM185+(1-EXP(-LN(2)/2))/(LN(2)/2)*CG186*CJ186*VLOOKUP('Données projet'!$B$12,Paramètres!$A$1:$I$89,3,0)*0.475*44/12</f>
        <v>4.7781218819371736E-25</v>
      </c>
      <c r="CN186" s="22">
        <f t="shared" si="172"/>
        <v>17.044805429653085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285.99999999999972</v>
      </c>
      <c r="CU186" s="17">
        <f>CT186*VLOOKUP('Données projet'!$B$13,Paramètres!$A$1:$I$89,3,0)*VLOOKUP('Données projet'!$B$13,Paramètres!$A$1:$I$89,5,0)</f>
        <v>223.07999999999979</v>
      </c>
      <c r="CV186" s="13">
        <f t="shared" si="173"/>
        <v>54.783765878062617</v>
      </c>
      <c r="CW186" s="20">
        <f t="shared" si="174"/>
        <v>483.94605890429199</v>
      </c>
      <c r="CX186" s="59">
        <f t="shared" si="122"/>
        <v>777.2793922376253</v>
      </c>
      <c r="CY186" s="59">
        <f ca="1">AVERAGE(OFFSET($CX$3,0,0,'Données projet'!$E$13+1,1))-AVERAGE(OFFSET($H$3,0,0,'Données projet'!$E$13+1,1))</f>
        <v>215.84581110302656</v>
      </c>
      <c r="CZ186" s="59">
        <f t="shared" si="150"/>
        <v>193.88588526156104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6.2592140603022877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6.2592140603022877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401</v>
      </c>
      <c r="O187" s="13">
        <f>N187*VLOOKUP('Données projet'!$B$9,Paramètres!$A$1:$I$89,3,0)*VLOOKUP('Données projet'!$B$9,Paramètres!$A$1:$I$89,5,0)</f>
        <v>250.22399999999999</v>
      </c>
      <c r="P187" s="13">
        <f t="shared" si="141"/>
        <v>60.633904580527918</v>
      </c>
      <c r="Q187" s="20">
        <f t="shared" si="162"/>
        <v>541.41085047775289</v>
      </c>
      <c r="R187" s="59">
        <f t="shared" si="109"/>
        <v>834.74418381108626</v>
      </c>
      <c r="S187" s="59">
        <f ca="1">AVERAGE(OFFSET($R$3,0,0,'Données projet'!$E$9+1,1))-AVERAGE(OFFSET($H$3,0,0,'Données projet'!$E$9+1,1))</f>
        <v>269.77739619445515</v>
      </c>
      <c r="T187" s="59">
        <f t="shared" si="142"/>
        <v>347.56964743629885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6.5705200453862185</v>
      </c>
      <c r="AA187" s="21">
        <f>EXP(-LN(2)/25)*AA186+(1-EXP(-LN(2)/25))/(LN(2)/25)*Calculateur!V187*Calculateur!X187*VLOOKUP('Données projet'!$B$9,Paramètres!$A$1:$I$89,3,0)*0.475*44/12</f>
        <v>1.2829931541762931</v>
      </c>
      <c r="AB187" s="21">
        <f>EXP(-LN(2)/2)*AB186+(1-EXP(-LN(2)/2))/(LN(2)/2)*V187*Y187*VLOOKUP('Données projet'!$B$9,Paramètres!$A$1:$I$89,3,0)*0.475*44/12</f>
        <v>1.6436638625125638E-25</v>
      </c>
      <c r="AC187" s="22">
        <f t="shared" si="163"/>
        <v>7.8535131995625118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735.00000000000011</v>
      </c>
      <c r="AJ187" s="13">
        <f>AI187*VLOOKUP('Données projet'!$B$10,Paramètres!$A$1:$I$89,3,0)*VLOOKUP('Données projet'!$B$10,Paramètres!$A$1:$I$89,5,0)</f>
        <v>343.98</v>
      </c>
      <c r="AK187" s="13">
        <f t="shared" si="164"/>
        <v>80.321681832084693</v>
      </c>
      <c r="AL187" s="20">
        <f t="shared" si="165"/>
        <v>738.9920958575475</v>
      </c>
      <c r="AM187" s="59">
        <f t="shared" si="113"/>
        <v>1032.3254291908809</v>
      </c>
      <c r="AN187" s="59">
        <f ca="1">AVERAGE(OFFSET($AM$3,0,0,'Données projet'!$E$10+1,1))-AVERAGE(OFFSET($H$3,0,0,'Données projet'!$E$10+1,1))</f>
        <v>342.49944586217674</v>
      </c>
      <c r="AO187" s="59">
        <f t="shared" si="144"/>
        <v>282.29766600872563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15.037809563764268</v>
      </c>
      <c r="AV187" s="21">
        <f>EXP(-LN(2)/25)*AV186+(1-EXP(-LN(2)/25))/(LN(2)/25)*Calculateur!AQ187*Calculateur!AS187*VLOOKUP('Données projet'!$B$10,Paramètres!$A$1:$I$89,3,0)*0.475*44/12</f>
        <v>0.5605169746075146</v>
      </c>
      <c r="AW187" s="21">
        <f>EXP(-LN(2)/2)*AW186+(1-EXP(-LN(2)/2))/(LN(2)/2)*AQ187*AT187*VLOOKUP('Données projet'!$B$10,Paramètres!$A$1:$I$89,3,0)*0.475*44/12</f>
        <v>5.4788795417085506E-25</v>
      </c>
      <c r="AX187" s="21">
        <f t="shared" si="166"/>
        <v>15.598326538371783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319</v>
      </c>
      <c r="BE187" s="13">
        <f>BD187*VLOOKUP('Données projet'!$B$11,Paramètres!$A$1:$I$89,3,0)*VLOOKUP('Données projet'!$B$11,Paramètres!$A$1:$I$89,5,0)</f>
        <v>253.79640000000001</v>
      </c>
      <c r="BF187" s="13">
        <f t="shared" si="167"/>
        <v>61.39816832228076</v>
      </c>
      <c r="BG187" s="20">
        <f t="shared" si="168"/>
        <v>548.96387316130563</v>
      </c>
      <c r="BH187" s="59">
        <f t="shared" si="116"/>
        <v>842.29720649463889</v>
      </c>
      <c r="BI187" s="59">
        <f ca="1">AVERAGE(OFFSET($BH$3,0,0,'Données projet'!$E$11+1,1))-AVERAGE(OFFSET($H$3,0,0,'Données projet'!$E$11+1,1))</f>
        <v>279.49721661620544</v>
      </c>
      <c r="BJ187" s="59">
        <f t="shared" si="146"/>
        <v>275.18739333988754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6.7789609959751953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6.7789609959751953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732.99999999999966</v>
      </c>
      <c r="BZ187" s="13">
        <f>BY187*VLOOKUP('Données projet'!$B$12,Paramètres!$A$1:$I$89,3,0)*VLOOKUP('Données projet'!$B$12,Paramètres!$A$1:$I$89,5,0)</f>
        <v>352.57299999999987</v>
      </c>
      <c r="CA187" s="13">
        <f t="shared" si="170"/>
        <v>82.092092597941644</v>
      </c>
      <c r="CB187" s="20">
        <f t="shared" si="171"/>
        <v>757.04170294141477</v>
      </c>
      <c r="CC187" s="59">
        <f t="shared" si="119"/>
        <v>1050.375036274748</v>
      </c>
      <c r="CD187" s="59">
        <f ca="1">AVERAGE(OFFSET($CC$3,0,0,'Données projet'!$E$12+1,1))-AVERAGE(OFFSET($H$3,0,0,'Données projet'!$E$12+1,1))</f>
        <v>349.65790906807746</v>
      </c>
      <c r="CE187" s="59">
        <f t="shared" si="148"/>
        <v>291.88925884278888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16.12989860029727</v>
      </c>
      <c r="CL187" s="21">
        <f>EXP(-LN(2)/25)*CL186+(1-EXP(-LN(2)/25))/(LN(2)/25)*Calculateur!CG187*Calculateur!CI187*VLOOKUP('Données projet'!$B$12,Paramètres!$A$1:$I$89,3,0)*0.475*44/12</f>
        <v>0.57608689056883611</v>
      </c>
      <c r="CM187" s="21">
        <f>EXP(-LN(2)/2)*CM186+(1-EXP(-LN(2)/2))/(LN(2)/2)*CG187*CJ187*VLOOKUP('Données projet'!$B$12,Paramètres!$A$1:$I$89,3,0)*0.475*44/12</f>
        <v>3.3786423840536037E-25</v>
      </c>
      <c r="CN187" s="22">
        <f t="shared" si="172"/>
        <v>16.705985490866105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285.99999999999972</v>
      </c>
      <c r="CU187" s="17">
        <f>CT187*VLOOKUP('Données projet'!$B$13,Paramètres!$A$1:$I$89,3,0)*VLOOKUP('Données projet'!$B$13,Paramètres!$A$1:$I$89,5,0)</f>
        <v>223.07999999999979</v>
      </c>
      <c r="CV187" s="13">
        <f t="shared" si="173"/>
        <v>54.783765878062617</v>
      </c>
      <c r="CW187" s="20">
        <f t="shared" si="174"/>
        <v>483.94605890429199</v>
      </c>
      <c r="CX187" s="59">
        <f t="shared" si="122"/>
        <v>777.2793922376253</v>
      </c>
      <c r="CY187" s="59">
        <f ca="1">AVERAGE(OFFSET($CX$3,0,0,'Données projet'!$E$13+1,1))-AVERAGE(OFFSET($H$3,0,0,'Données projet'!$E$13+1,1))</f>
        <v>215.84581110302656</v>
      </c>
      <c r="CZ187" s="59">
        <f t="shared" si="150"/>
        <v>193.88588526156104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6.1364746903233653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6.1364746903233653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401</v>
      </c>
      <c r="O188" s="13">
        <f>N188*VLOOKUP('Données projet'!$B$9,Paramètres!$A$1:$I$89,3,0)*VLOOKUP('Données projet'!$B$9,Paramètres!$A$1:$I$89,5,0)</f>
        <v>250.22399999999999</v>
      </c>
      <c r="P188" s="13">
        <f t="shared" si="141"/>
        <v>60.633904580527918</v>
      </c>
      <c r="Q188" s="20">
        <f t="shared" si="162"/>
        <v>541.41085047775289</v>
      </c>
      <c r="R188" s="59">
        <f t="shared" si="109"/>
        <v>834.74418381108626</v>
      </c>
      <c r="S188" s="59">
        <f ca="1">AVERAGE(OFFSET($R$3,0,0,'Données projet'!$E$9+1,1))-AVERAGE(OFFSET($H$3,0,0,'Données projet'!$E$9+1,1))</f>
        <v>269.77739619445515</v>
      </c>
      <c r="T188" s="59">
        <f t="shared" si="142"/>
        <v>347.56964743629885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6.4416761549177028</v>
      </c>
      <c r="AA188" s="21">
        <f>EXP(-LN(2)/25)*AA187+(1-EXP(-LN(2)/25))/(LN(2)/25)*Calculateur!V188*Calculateur!X188*VLOOKUP('Données projet'!$B$9,Paramètres!$A$1:$I$89,3,0)*0.475*44/12</f>
        <v>1.2479096389056648</v>
      </c>
      <c r="AB188" s="21">
        <f>EXP(-LN(2)/2)*AB187+(1-EXP(-LN(2)/2))/(LN(2)/2)*V188*Y188*VLOOKUP('Données projet'!$B$9,Paramètres!$A$1:$I$89,3,0)*0.475*44/12</f>
        <v>1.162245863173907E-25</v>
      </c>
      <c r="AC188" s="22">
        <f t="shared" si="163"/>
        <v>7.6895857938233672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735.00000000000011</v>
      </c>
      <c r="AJ188" s="13">
        <f>AI188*VLOOKUP('Données projet'!$B$10,Paramètres!$A$1:$I$89,3,0)*VLOOKUP('Données projet'!$B$10,Paramètres!$A$1:$I$89,5,0)</f>
        <v>343.98</v>
      </c>
      <c r="AK188" s="13">
        <f t="shared" si="164"/>
        <v>80.321681832084693</v>
      </c>
      <c r="AL188" s="20">
        <f t="shared" si="165"/>
        <v>738.9920958575475</v>
      </c>
      <c r="AM188" s="59">
        <f t="shared" si="113"/>
        <v>1032.3254291908809</v>
      </c>
      <c r="AN188" s="59">
        <f ca="1">AVERAGE(OFFSET($AM$3,0,0,'Données projet'!$E$10+1,1))-AVERAGE(OFFSET($H$3,0,0,'Données projet'!$E$10+1,1))</f>
        <v>342.49944586217674</v>
      </c>
      <c r="AO188" s="59">
        <f t="shared" si="144"/>
        <v>282.29766600872563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14.742927290377009</v>
      </c>
      <c r="AV188" s="21">
        <f>EXP(-LN(2)/25)*AV187+(1-EXP(-LN(2)/25))/(LN(2)/25)*Calculateur!AQ188*Calculateur!AS188*VLOOKUP('Données projet'!$B$10,Paramètres!$A$1:$I$89,3,0)*0.475*44/12</f>
        <v>0.54518960846056552</v>
      </c>
      <c r="AW188" s="21">
        <f>EXP(-LN(2)/2)*AW187+(1-EXP(-LN(2)/2))/(LN(2)/2)*AQ188*AT188*VLOOKUP('Données projet'!$B$10,Paramètres!$A$1:$I$89,3,0)*0.475*44/12</f>
        <v>3.8741528772463599E-25</v>
      </c>
      <c r="AX188" s="21">
        <f t="shared" si="166"/>
        <v>15.288116898837576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319</v>
      </c>
      <c r="BE188" s="13">
        <f>BD188*VLOOKUP('Données projet'!$B$11,Paramètres!$A$1:$I$89,3,0)*VLOOKUP('Données projet'!$B$11,Paramètres!$A$1:$I$89,5,0)</f>
        <v>253.79640000000001</v>
      </c>
      <c r="BF188" s="13">
        <f t="shared" si="167"/>
        <v>61.39816832228076</v>
      </c>
      <c r="BG188" s="20">
        <f t="shared" si="168"/>
        <v>548.96387316130563</v>
      </c>
      <c r="BH188" s="59">
        <f t="shared" si="116"/>
        <v>842.29720649463889</v>
      </c>
      <c r="BI188" s="59">
        <f ca="1">AVERAGE(OFFSET($BH$3,0,0,'Données projet'!$E$11+1,1))-AVERAGE(OFFSET($H$3,0,0,'Données projet'!$E$11+1,1))</f>
        <v>279.49721661620544</v>
      </c>
      <c r="BJ188" s="59">
        <f t="shared" si="146"/>
        <v>275.18739333988754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6.6460297056020554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6.6460297056020554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732.99999999999966</v>
      </c>
      <c r="BZ188" s="13">
        <f>BY188*VLOOKUP('Données projet'!$B$12,Paramètres!$A$1:$I$89,3,0)*VLOOKUP('Données projet'!$B$12,Paramètres!$A$1:$I$89,5,0)</f>
        <v>352.57299999999987</v>
      </c>
      <c r="CA188" s="13">
        <f t="shared" si="170"/>
        <v>82.092092597941644</v>
      </c>
      <c r="CB188" s="20">
        <f t="shared" si="171"/>
        <v>757.04170294141477</v>
      </c>
      <c r="CC188" s="59">
        <f t="shared" si="119"/>
        <v>1050.375036274748</v>
      </c>
      <c r="CD188" s="59">
        <f ca="1">AVERAGE(OFFSET($CC$3,0,0,'Données projet'!$E$12+1,1))-AVERAGE(OFFSET($H$3,0,0,'Données projet'!$E$12+1,1))</f>
        <v>349.65790906807746</v>
      </c>
      <c r="CE188" s="59">
        <f t="shared" si="148"/>
        <v>291.88925884278888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15.81360112701214</v>
      </c>
      <c r="CL188" s="21">
        <f>EXP(-LN(2)/25)*CL187+(1-EXP(-LN(2)/25))/(LN(2)/25)*Calculateur!CG188*Calculateur!CI188*VLOOKUP('Données projet'!$B$12,Paramètres!$A$1:$I$89,3,0)*0.475*44/12</f>
        <v>0.56033376425113834</v>
      </c>
      <c r="CM188" s="21">
        <f>EXP(-LN(2)/2)*CM187+(1-EXP(-LN(2)/2))/(LN(2)/2)*CG188*CJ188*VLOOKUP('Données projet'!$B$12,Paramètres!$A$1:$I$89,3,0)*0.475*44/12</f>
        <v>2.3890609409685868E-25</v>
      </c>
      <c r="CN188" s="22">
        <f t="shared" si="172"/>
        <v>16.373934891263279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285.99999999999972</v>
      </c>
      <c r="CU188" s="17">
        <f>CT188*VLOOKUP('Données projet'!$B$13,Paramètres!$A$1:$I$89,3,0)*VLOOKUP('Données projet'!$B$13,Paramètres!$A$1:$I$89,5,0)</f>
        <v>223.07999999999979</v>
      </c>
      <c r="CV188" s="13">
        <f t="shared" si="173"/>
        <v>54.783765878062617</v>
      </c>
      <c r="CW188" s="20">
        <f t="shared" si="174"/>
        <v>483.94605890429199</v>
      </c>
      <c r="CX188" s="59">
        <f t="shared" si="122"/>
        <v>777.2793922376253</v>
      </c>
      <c r="CY188" s="59">
        <f ca="1">AVERAGE(OFFSET($CX$3,0,0,'Données projet'!$E$13+1,1))-AVERAGE(OFFSET($H$3,0,0,'Données projet'!$E$13+1,1))</f>
        <v>215.84581110302656</v>
      </c>
      <c r="CZ188" s="59">
        <f t="shared" si="150"/>
        <v>193.88588526156104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6.0161421645261068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6.0161421645261068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401</v>
      </c>
      <c r="O189" s="13">
        <f>N189*VLOOKUP('Données projet'!$B$9,Paramètres!$A$1:$I$89,3,0)*VLOOKUP('Données projet'!$B$9,Paramètres!$A$1:$I$89,5,0)</f>
        <v>250.22399999999999</v>
      </c>
      <c r="P189" s="13">
        <f t="shared" si="141"/>
        <v>60.633904580527918</v>
      </c>
      <c r="Q189" s="20">
        <f t="shared" si="162"/>
        <v>541.41085047775289</v>
      </c>
      <c r="R189" s="59">
        <f t="shared" si="109"/>
        <v>834.74418381108626</v>
      </c>
      <c r="S189" s="59">
        <f ca="1">AVERAGE(OFFSET($R$3,0,0,'Données projet'!$E$9+1,1))-AVERAGE(OFFSET($H$3,0,0,'Données projet'!$E$9+1,1))</f>
        <v>269.77739619445515</v>
      </c>
      <c r="T189" s="59">
        <f t="shared" si="142"/>
        <v>347.56964743629885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6.3153588145542612</v>
      </c>
      <c r="AA189" s="21">
        <f>EXP(-LN(2)/25)*AA188+(1-EXP(-LN(2)/25))/(LN(2)/25)*Calculateur!V189*Calculateur!X189*VLOOKUP('Données projet'!$B$9,Paramètres!$A$1:$I$89,3,0)*0.475*44/12</f>
        <v>1.2137854842050735</v>
      </c>
      <c r="AB189" s="21">
        <f>EXP(-LN(2)/2)*AB188+(1-EXP(-LN(2)/2))/(LN(2)/2)*V189*Y189*VLOOKUP('Données projet'!$B$9,Paramètres!$A$1:$I$89,3,0)*0.475*44/12</f>
        <v>8.218319312562819E-26</v>
      </c>
      <c r="AC189" s="22">
        <f t="shared" si="163"/>
        <v>7.5291442987593342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735.00000000000011</v>
      </c>
      <c r="AJ189" s="13">
        <f>AI189*VLOOKUP('Données projet'!$B$10,Paramètres!$A$1:$I$89,3,0)*VLOOKUP('Données projet'!$B$10,Paramètres!$A$1:$I$89,5,0)</f>
        <v>343.98</v>
      </c>
      <c r="AK189" s="13">
        <f t="shared" si="164"/>
        <v>80.321681832084693</v>
      </c>
      <c r="AL189" s="20">
        <f t="shared" si="165"/>
        <v>738.9920958575475</v>
      </c>
      <c r="AM189" s="59">
        <f t="shared" si="113"/>
        <v>1032.3254291908809</v>
      </c>
      <c r="AN189" s="59">
        <f ca="1">AVERAGE(OFFSET($AM$3,0,0,'Données projet'!$E$10+1,1))-AVERAGE(OFFSET($H$3,0,0,'Données projet'!$E$10+1,1))</f>
        <v>342.49944586217674</v>
      </c>
      <c r="AO189" s="59">
        <f t="shared" si="144"/>
        <v>282.29766600872563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14.453827478510448</v>
      </c>
      <c r="AV189" s="21">
        <f>EXP(-LN(2)/25)*AV188+(1-EXP(-LN(2)/25))/(LN(2)/25)*Calculateur!AQ189*Calculateur!AS189*VLOOKUP('Données projet'!$B$10,Paramètres!$A$1:$I$89,3,0)*0.475*44/12</f>
        <v>0.53028136994693587</v>
      </c>
      <c r="AW189" s="21">
        <f>EXP(-LN(2)/2)*AW188+(1-EXP(-LN(2)/2))/(LN(2)/2)*AQ189*AT189*VLOOKUP('Données projet'!$B$10,Paramètres!$A$1:$I$89,3,0)*0.475*44/12</f>
        <v>2.7394397708542753E-25</v>
      </c>
      <c r="AX189" s="21">
        <f t="shared" si="166"/>
        <v>14.984108848457383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319</v>
      </c>
      <c r="BE189" s="13">
        <f>BD189*VLOOKUP('Données projet'!$B$11,Paramètres!$A$1:$I$89,3,0)*VLOOKUP('Données projet'!$B$11,Paramètres!$A$1:$I$89,5,0)</f>
        <v>253.79640000000001</v>
      </c>
      <c r="BF189" s="13">
        <f t="shared" si="167"/>
        <v>61.39816832228076</v>
      </c>
      <c r="BG189" s="20">
        <f t="shared" si="168"/>
        <v>548.96387316130563</v>
      </c>
      <c r="BH189" s="59">
        <f t="shared" si="116"/>
        <v>842.29720649463889</v>
      </c>
      <c r="BI189" s="59">
        <f ca="1">AVERAGE(OFFSET($BH$3,0,0,'Données projet'!$E$11+1,1))-AVERAGE(OFFSET($H$3,0,0,'Données projet'!$E$11+1,1))</f>
        <v>279.49721661620544</v>
      </c>
      <c r="BJ189" s="59">
        <f t="shared" si="146"/>
        <v>275.18739333988754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6.5157051167530522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6.5157051167530522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732.99999999999966</v>
      </c>
      <c r="BZ189" s="13">
        <f>BY189*VLOOKUP('Données projet'!$B$12,Paramètres!$A$1:$I$89,3,0)*VLOOKUP('Données projet'!$B$12,Paramètres!$A$1:$I$89,5,0)</f>
        <v>352.57299999999987</v>
      </c>
      <c r="CA189" s="13">
        <f t="shared" si="170"/>
        <v>82.092092597941644</v>
      </c>
      <c r="CB189" s="20">
        <f t="shared" si="171"/>
        <v>757.04170294141477</v>
      </c>
      <c r="CC189" s="59">
        <f t="shared" si="119"/>
        <v>1050.375036274748</v>
      </c>
      <c r="CD189" s="59">
        <f ca="1">AVERAGE(OFFSET($CC$3,0,0,'Données projet'!$E$12+1,1))-AVERAGE(OFFSET($H$3,0,0,'Données projet'!$E$12+1,1))</f>
        <v>349.65790906807746</v>
      </c>
      <c r="CE189" s="59">
        <f t="shared" si="148"/>
        <v>291.88925884278888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15.50350605425572</v>
      </c>
      <c r="CL189" s="21">
        <f>EXP(-LN(2)/25)*CL188+(1-EXP(-LN(2)/25))/(LN(2)/25)*Calculateur!CG189*Calculateur!CI189*VLOOKUP('Données projet'!$B$12,Paramètres!$A$1:$I$89,3,0)*0.475*44/12</f>
        <v>0.54501140800101899</v>
      </c>
      <c r="CM189" s="21">
        <f>EXP(-LN(2)/2)*CM188+(1-EXP(-LN(2)/2))/(LN(2)/2)*CG189*CJ189*VLOOKUP('Données projet'!$B$12,Paramètres!$A$1:$I$89,3,0)*0.475*44/12</f>
        <v>1.6893211920268018E-25</v>
      </c>
      <c r="CN189" s="22">
        <f t="shared" si="172"/>
        <v>16.04851746225674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285.99999999999972</v>
      </c>
      <c r="CU189" s="17">
        <f>CT189*VLOOKUP('Données projet'!$B$13,Paramètres!$A$1:$I$89,3,0)*VLOOKUP('Données projet'!$B$13,Paramètres!$A$1:$I$89,5,0)</f>
        <v>223.07999999999979</v>
      </c>
      <c r="CV189" s="13">
        <f t="shared" si="173"/>
        <v>54.783765878062617</v>
      </c>
      <c r="CW189" s="20">
        <f t="shared" si="174"/>
        <v>483.94605890429199</v>
      </c>
      <c r="CX189" s="59">
        <f t="shared" si="122"/>
        <v>777.2793922376253</v>
      </c>
      <c r="CY189" s="59">
        <f ca="1">AVERAGE(OFFSET($CX$3,0,0,'Données projet'!$E$13+1,1))-AVERAGE(OFFSET($H$3,0,0,'Données projet'!$E$13+1,1))</f>
        <v>215.84581110302656</v>
      </c>
      <c r="CZ189" s="59">
        <f t="shared" si="150"/>
        <v>193.88588526156104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5.8981692861641388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5.8981692861641388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401</v>
      </c>
      <c r="O190" s="13">
        <f>N190*VLOOKUP('Données projet'!$B$9,Paramètres!$A$1:$I$89,3,0)*VLOOKUP('Données projet'!$B$9,Paramètres!$A$1:$I$89,5,0)</f>
        <v>250.22399999999999</v>
      </c>
      <c r="P190" s="13">
        <f t="shared" si="141"/>
        <v>60.633904580527918</v>
      </c>
      <c r="Q190" s="20">
        <f t="shared" si="162"/>
        <v>541.41085047775289</v>
      </c>
      <c r="R190" s="59">
        <f t="shared" si="109"/>
        <v>834.74418381108626</v>
      </c>
      <c r="S190" s="59">
        <f ca="1">AVERAGE(OFFSET($R$3,0,0,'Données projet'!$E$9+1,1))-AVERAGE(OFFSET($H$3,0,0,'Données projet'!$E$9+1,1))</f>
        <v>269.77739619445515</v>
      </c>
      <c r="T190" s="59">
        <f t="shared" si="142"/>
        <v>347.56964743629885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6.1915184801893766</v>
      </c>
      <c r="AA190" s="21">
        <f>EXP(-LN(2)/25)*AA189+(1-EXP(-LN(2)/25))/(LN(2)/25)*Calculateur!V190*Calculateur!X190*VLOOKUP('Données projet'!$B$9,Paramètres!$A$1:$I$89,3,0)*0.475*44/12</f>
        <v>1.1805944563092812</v>
      </c>
      <c r="AB190" s="21">
        <f>EXP(-LN(2)/2)*AB189+(1-EXP(-LN(2)/2))/(LN(2)/2)*V190*Y190*VLOOKUP('Données projet'!$B$9,Paramètres!$A$1:$I$89,3,0)*0.475*44/12</f>
        <v>5.8112293158695348E-26</v>
      </c>
      <c r="AC190" s="22">
        <f t="shared" si="163"/>
        <v>7.3721129364986577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735.00000000000011</v>
      </c>
      <c r="AJ190" s="13">
        <f>AI190*VLOOKUP('Données projet'!$B$10,Paramètres!$A$1:$I$89,3,0)*VLOOKUP('Données projet'!$B$10,Paramètres!$A$1:$I$89,5,0)</f>
        <v>343.98</v>
      </c>
      <c r="AK190" s="13">
        <f t="shared" si="164"/>
        <v>80.321681832084693</v>
      </c>
      <c r="AL190" s="20">
        <f t="shared" si="165"/>
        <v>738.9920958575475</v>
      </c>
      <c r="AM190" s="59">
        <f t="shared" si="113"/>
        <v>1032.3254291908809</v>
      </c>
      <c r="AN190" s="59">
        <f ca="1">AVERAGE(OFFSET($AM$3,0,0,'Données projet'!$E$10+1,1))-AVERAGE(OFFSET($H$3,0,0,'Données projet'!$E$10+1,1))</f>
        <v>342.49944586217674</v>
      </c>
      <c r="AO190" s="59">
        <f t="shared" si="144"/>
        <v>282.29766600872563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14.170396737621116</v>
      </c>
      <c r="AV190" s="21">
        <f>EXP(-LN(2)/25)*AV189+(1-EXP(-LN(2)/25))/(LN(2)/25)*Calculateur!AQ190*Calculateur!AS190*VLOOKUP('Données projet'!$B$10,Paramètres!$A$1:$I$89,3,0)*0.475*44/12</f>
        <v>0.51578079799945165</v>
      </c>
      <c r="AW190" s="21">
        <f>EXP(-LN(2)/2)*AW189+(1-EXP(-LN(2)/2))/(LN(2)/2)*AQ190*AT190*VLOOKUP('Données projet'!$B$10,Paramètres!$A$1:$I$89,3,0)*0.475*44/12</f>
        <v>1.93707643862318E-25</v>
      </c>
      <c r="AX190" s="21">
        <f t="shared" si="166"/>
        <v>14.686177535620567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319</v>
      </c>
      <c r="BE190" s="13">
        <f>BD190*VLOOKUP('Données projet'!$B$11,Paramètres!$A$1:$I$89,3,0)*VLOOKUP('Données projet'!$B$11,Paramètres!$A$1:$I$89,5,0)</f>
        <v>253.79640000000001</v>
      </c>
      <c r="BF190" s="13">
        <f t="shared" si="167"/>
        <v>61.39816832228076</v>
      </c>
      <c r="BG190" s="20">
        <f t="shared" si="168"/>
        <v>548.96387316130563</v>
      </c>
      <c r="BH190" s="59">
        <f t="shared" si="116"/>
        <v>842.29720649463889</v>
      </c>
      <c r="BI190" s="59">
        <f ca="1">AVERAGE(OFFSET($BH$3,0,0,'Données projet'!$E$11+1,1))-AVERAGE(OFFSET($H$3,0,0,'Données projet'!$E$11+1,1))</f>
        <v>279.49721661620544</v>
      </c>
      <c r="BJ190" s="59">
        <f t="shared" si="146"/>
        <v>275.18739333988754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6.3879361136012278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6.3879361136012278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732.99999999999966</v>
      </c>
      <c r="BZ190" s="13">
        <f>BY190*VLOOKUP('Données projet'!$B$12,Paramètres!$A$1:$I$89,3,0)*VLOOKUP('Données projet'!$B$12,Paramètres!$A$1:$I$89,5,0)</f>
        <v>352.57299999999987</v>
      </c>
      <c r="CA190" s="13">
        <f t="shared" si="170"/>
        <v>82.092092597941644</v>
      </c>
      <c r="CB190" s="20">
        <f t="shared" si="171"/>
        <v>757.04170294141477</v>
      </c>
      <c r="CC190" s="59">
        <f t="shared" si="119"/>
        <v>1050.375036274748</v>
      </c>
      <c r="CD190" s="59">
        <f ca="1">AVERAGE(OFFSET($CC$3,0,0,'Données projet'!$E$12+1,1))-AVERAGE(OFFSET($H$3,0,0,'Données projet'!$E$12+1,1))</f>
        <v>349.65790906807746</v>
      </c>
      <c r="CE190" s="59">
        <f t="shared" si="148"/>
        <v>291.88925884278888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15.199491756736736</v>
      </c>
      <c r="CL190" s="21">
        <f>EXP(-LN(2)/25)*CL189+(1-EXP(-LN(2)/25))/(LN(2)/25)*Calculateur!CG190*Calculateur!CI190*VLOOKUP('Données projet'!$B$12,Paramètres!$A$1:$I$89,3,0)*0.475*44/12</f>
        <v>0.53010804238832687</v>
      </c>
      <c r="CM190" s="21">
        <f>EXP(-LN(2)/2)*CM189+(1-EXP(-LN(2)/2))/(LN(2)/2)*CG190*CJ190*VLOOKUP('Données projet'!$B$12,Paramètres!$A$1:$I$89,3,0)*0.475*44/12</f>
        <v>1.1945304704842934E-25</v>
      </c>
      <c r="CN190" s="22">
        <f t="shared" si="172"/>
        <v>15.729599799125062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285.99999999999972</v>
      </c>
      <c r="CU190" s="17">
        <f>CT190*VLOOKUP('Données projet'!$B$13,Paramètres!$A$1:$I$89,3,0)*VLOOKUP('Données projet'!$B$13,Paramètres!$A$1:$I$89,5,0)</f>
        <v>223.07999999999979</v>
      </c>
      <c r="CV190" s="13">
        <f t="shared" si="173"/>
        <v>54.783765878062617</v>
      </c>
      <c r="CW190" s="20">
        <f t="shared" si="174"/>
        <v>483.94605890429199</v>
      </c>
      <c r="CX190" s="59">
        <f t="shared" si="122"/>
        <v>777.2793922376253</v>
      </c>
      <c r="CY190" s="59">
        <f ca="1">AVERAGE(OFFSET($CX$3,0,0,'Données projet'!$E$13+1,1))-AVERAGE(OFFSET($H$3,0,0,'Données projet'!$E$13+1,1))</f>
        <v>215.84581110302656</v>
      </c>
      <c r="CZ190" s="59">
        <f t="shared" si="150"/>
        <v>193.88588526156104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5.7825097839904984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5.7825097839904984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401</v>
      </c>
      <c r="O191" s="13">
        <f>N191*VLOOKUP('Données projet'!$B$9,Paramètres!$A$1:$I$89,3,0)*VLOOKUP('Données projet'!$B$9,Paramètres!$A$1:$I$89,5,0)</f>
        <v>250.22399999999999</v>
      </c>
      <c r="P191" s="13">
        <f t="shared" si="141"/>
        <v>60.633904580527918</v>
      </c>
      <c r="Q191" s="20">
        <f t="shared" si="162"/>
        <v>541.41085047775289</v>
      </c>
      <c r="R191" s="59">
        <f t="shared" si="109"/>
        <v>834.74418381108626</v>
      </c>
      <c r="S191" s="59">
        <f ca="1">AVERAGE(OFFSET($R$3,0,0,'Données projet'!$E$9+1,1))-AVERAGE(OFFSET($H$3,0,0,'Données projet'!$E$9+1,1))</f>
        <v>269.77739619445515</v>
      </c>
      <c r="T191" s="59">
        <f t="shared" si="142"/>
        <v>347.56964743629885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6.0701065792462421</v>
      </c>
      <c r="AA191" s="21">
        <f>EXP(-LN(2)/25)*AA190+(1-EXP(-LN(2)/25))/(LN(2)/25)*Calculateur!V191*Calculateur!X191*VLOOKUP('Données projet'!$B$9,Paramètres!$A$1:$I$89,3,0)*0.475*44/12</f>
        <v>1.1483110388167397</v>
      </c>
      <c r="AB191" s="21">
        <f>EXP(-LN(2)/2)*AB190+(1-EXP(-LN(2)/2))/(LN(2)/2)*V191*Y191*VLOOKUP('Données projet'!$B$9,Paramètres!$A$1:$I$89,3,0)*0.475*44/12</f>
        <v>4.1091596562814095E-26</v>
      </c>
      <c r="AC191" s="22">
        <f t="shared" si="163"/>
        <v>7.2184176180629818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735.00000000000011</v>
      </c>
      <c r="AJ191" s="13">
        <f>AI191*VLOOKUP('Données projet'!$B$10,Paramètres!$A$1:$I$89,3,0)*VLOOKUP('Données projet'!$B$10,Paramètres!$A$1:$I$89,5,0)</f>
        <v>343.98</v>
      </c>
      <c r="AK191" s="13">
        <f t="shared" si="164"/>
        <v>80.321681832084693</v>
      </c>
      <c r="AL191" s="20">
        <f t="shared" si="165"/>
        <v>738.9920958575475</v>
      </c>
      <c r="AM191" s="59">
        <f t="shared" si="113"/>
        <v>1032.3254291908809</v>
      </c>
      <c r="AN191" s="59">
        <f ca="1">AVERAGE(OFFSET($AM$3,0,0,'Données projet'!$E$10+1,1))-AVERAGE(OFFSET($H$3,0,0,'Données projet'!$E$10+1,1))</f>
        <v>342.49944586217674</v>
      </c>
      <c r="AO191" s="59">
        <f t="shared" si="144"/>
        <v>282.29766600872563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13.892523900684942</v>
      </c>
      <c r="AV191" s="21">
        <f>EXP(-LN(2)/25)*AV190+(1-EXP(-LN(2)/25))/(LN(2)/25)*Calculateur!AQ191*Calculateur!AS191*VLOOKUP('Données projet'!$B$10,Paramètres!$A$1:$I$89,3,0)*0.475*44/12</f>
        <v>0.50167674495442327</v>
      </c>
      <c r="AW191" s="21">
        <f>EXP(-LN(2)/2)*AW190+(1-EXP(-LN(2)/2))/(LN(2)/2)*AQ191*AT191*VLOOKUP('Données projet'!$B$10,Paramètres!$A$1:$I$89,3,0)*0.475*44/12</f>
        <v>1.3697198854271377E-25</v>
      </c>
      <c r="AX191" s="21">
        <f t="shared" si="166"/>
        <v>14.394200645639366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319</v>
      </c>
      <c r="BE191" s="13">
        <f>BD191*VLOOKUP('Données projet'!$B$11,Paramètres!$A$1:$I$89,3,0)*VLOOKUP('Données projet'!$B$11,Paramètres!$A$1:$I$89,5,0)</f>
        <v>253.79640000000001</v>
      </c>
      <c r="BF191" s="13">
        <f t="shared" si="167"/>
        <v>61.39816832228076</v>
      </c>
      <c r="BG191" s="20">
        <f t="shared" si="168"/>
        <v>548.96387316130563</v>
      </c>
      <c r="BH191" s="59">
        <f t="shared" si="116"/>
        <v>842.29720649463889</v>
      </c>
      <c r="BI191" s="59">
        <f ca="1">AVERAGE(OFFSET($BH$3,0,0,'Données projet'!$E$11+1,1))-AVERAGE(OFFSET($H$3,0,0,'Données projet'!$E$11+1,1))</f>
        <v>279.49721661620544</v>
      </c>
      <c r="BJ191" s="59">
        <f t="shared" si="146"/>
        <v>275.18739333988754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6.262672582669814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6.262672582669814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732.99999999999966</v>
      </c>
      <c r="BZ191" s="13">
        <f>BY191*VLOOKUP('Données projet'!$B$12,Paramètres!$A$1:$I$89,3,0)*VLOOKUP('Données projet'!$B$12,Paramètres!$A$1:$I$89,5,0)</f>
        <v>352.57299999999987</v>
      </c>
      <c r="CA191" s="13">
        <f t="shared" si="170"/>
        <v>82.092092597941644</v>
      </c>
      <c r="CB191" s="20">
        <f t="shared" si="171"/>
        <v>757.04170294141477</v>
      </c>
      <c r="CC191" s="59">
        <f t="shared" si="119"/>
        <v>1050.375036274748</v>
      </c>
      <c r="CD191" s="59">
        <f ca="1">AVERAGE(OFFSET($CC$3,0,0,'Données projet'!$E$12+1,1))-AVERAGE(OFFSET($H$3,0,0,'Données projet'!$E$12+1,1))</f>
        <v>349.65790906807746</v>
      </c>
      <c r="CE191" s="59">
        <f t="shared" si="148"/>
        <v>291.88925884278888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14.901438994161687</v>
      </c>
      <c r="CL191" s="21">
        <f>EXP(-LN(2)/25)*CL190+(1-EXP(-LN(2)/25))/(LN(2)/25)*Calculateur!CG191*Calculateur!CI191*VLOOKUP('Données projet'!$B$12,Paramètres!$A$1:$I$89,3,0)*0.475*44/12</f>
        <v>0.51561221009204772</v>
      </c>
      <c r="CM191" s="21">
        <f>EXP(-LN(2)/2)*CM190+(1-EXP(-LN(2)/2))/(LN(2)/2)*CG191*CJ191*VLOOKUP('Données projet'!$B$12,Paramètres!$A$1:$I$89,3,0)*0.475*44/12</f>
        <v>8.4466059601340092E-26</v>
      </c>
      <c r="CN191" s="22">
        <f t="shared" si="172"/>
        <v>15.417051204253735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285.99999999999972</v>
      </c>
      <c r="CU191" s="17">
        <f>CT191*VLOOKUP('Données projet'!$B$13,Paramètres!$A$1:$I$89,3,0)*VLOOKUP('Données projet'!$B$13,Paramètres!$A$1:$I$89,5,0)</f>
        <v>223.07999999999979</v>
      </c>
      <c r="CV191" s="13">
        <f t="shared" si="173"/>
        <v>54.783765878062617</v>
      </c>
      <c r="CW191" s="20">
        <f t="shared" si="174"/>
        <v>483.94605890429199</v>
      </c>
      <c r="CX191" s="59">
        <f t="shared" si="122"/>
        <v>777.2793922376253</v>
      </c>
      <c r="CY191" s="59">
        <f ca="1">AVERAGE(OFFSET($CX$3,0,0,'Données projet'!$E$13+1,1))-AVERAGE(OFFSET($H$3,0,0,'Données projet'!$E$13+1,1))</f>
        <v>215.84581110302656</v>
      </c>
      <c r="CZ191" s="59">
        <f t="shared" si="150"/>
        <v>193.88588526156104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5.6691182941091522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5.6691182941091522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401</v>
      </c>
      <c r="O192" s="13">
        <f>N192*VLOOKUP('Données projet'!$B$9,Paramètres!$A$1:$I$89,3,0)*VLOOKUP('Données projet'!$B$9,Paramètres!$A$1:$I$89,5,0)</f>
        <v>250.22399999999999</v>
      </c>
      <c r="P192" s="13">
        <f t="shared" si="141"/>
        <v>60.633904580527918</v>
      </c>
      <c r="Q192" s="20">
        <f t="shared" si="162"/>
        <v>541.41085047775289</v>
      </c>
      <c r="R192" s="59">
        <f t="shared" si="109"/>
        <v>834.74418381108626</v>
      </c>
      <c r="S192" s="59">
        <f ca="1">AVERAGE(OFFSET($R$3,0,0,'Données projet'!$E$9+1,1))-AVERAGE(OFFSET($H$3,0,0,'Données projet'!$E$9+1,1))</f>
        <v>269.77739619445515</v>
      </c>
      <c r="T192" s="59">
        <f t="shared" si="142"/>
        <v>347.56964743629885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5.9510754916266553</v>
      </c>
      <c r="AA192" s="21">
        <f>EXP(-LN(2)/25)*AA191+(1-EXP(-LN(2)/25))/(LN(2)/25)*Calculateur!V192*Calculateur!X192*VLOOKUP('Données projet'!$B$9,Paramètres!$A$1:$I$89,3,0)*0.475*44/12</f>
        <v>1.116910413073243</v>
      </c>
      <c r="AB192" s="21">
        <f>EXP(-LN(2)/2)*AB191+(1-EXP(-LN(2)/2))/(LN(2)/2)*V192*Y192*VLOOKUP('Données projet'!$B$9,Paramètres!$A$1:$I$89,3,0)*0.475*44/12</f>
        <v>2.9056146579347674E-26</v>
      </c>
      <c r="AC192" s="22">
        <f t="shared" si="163"/>
        <v>7.0679859046998983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735.00000000000011</v>
      </c>
      <c r="AJ192" s="13">
        <f>AI192*VLOOKUP('Données projet'!$B$10,Paramètres!$A$1:$I$89,3,0)*VLOOKUP('Données projet'!$B$10,Paramètres!$A$1:$I$89,5,0)</f>
        <v>343.98</v>
      </c>
      <c r="AK192" s="13">
        <f t="shared" si="164"/>
        <v>80.321681832084693</v>
      </c>
      <c r="AL192" s="20">
        <f t="shared" si="165"/>
        <v>738.9920958575475</v>
      </c>
      <c r="AM192" s="59">
        <f t="shared" si="113"/>
        <v>1032.3254291908809</v>
      </c>
      <c r="AN192" s="59">
        <f ca="1">AVERAGE(OFFSET($AM$3,0,0,'Données projet'!$E$10+1,1))-AVERAGE(OFFSET($H$3,0,0,'Données projet'!$E$10+1,1))</f>
        <v>342.49944586217674</v>
      </c>
      <c r="AO192" s="59">
        <f t="shared" si="144"/>
        <v>282.29766600872563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13.620099980595391</v>
      </c>
      <c r="AV192" s="21">
        <f>EXP(-LN(2)/25)*AV191+(1-EXP(-LN(2)/25))/(LN(2)/25)*Calculateur!AQ192*Calculateur!AS192*VLOOKUP('Données projet'!$B$10,Paramètres!$A$1:$I$89,3,0)*0.475*44/12</f>
        <v>0.48795836798161113</v>
      </c>
      <c r="AW192" s="21">
        <f>EXP(-LN(2)/2)*AW191+(1-EXP(-LN(2)/2))/(LN(2)/2)*AQ192*AT192*VLOOKUP('Données projet'!$B$10,Paramètres!$A$1:$I$89,3,0)*0.475*44/12</f>
        <v>9.6853821931158998E-26</v>
      </c>
      <c r="AX192" s="21">
        <f t="shared" si="166"/>
        <v>14.108058348577002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319</v>
      </c>
      <c r="BE192" s="13">
        <f>BD192*VLOOKUP('Données projet'!$B$11,Paramètres!$A$1:$I$89,3,0)*VLOOKUP('Données projet'!$B$11,Paramètres!$A$1:$I$89,5,0)</f>
        <v>253.79640000000001</v>
      </c>
      <c r="BF192" s="13">
        <f t="shared" si="167"/>
        <v>61.39816832228076</v>
      </c>
      <c r="BG192" s="20">
        <f t="shared" si="168"/>
        <v>548.96387316130563</v>
      </c>
      <c r="BH192" s="59">
        <f t="shared" si="116"/>
        <v>842.29720649463889</v>
      </c>
      <c r="BI192" s="59">
        <f ca="1">AVERAGE(OFFSET($BH$3,0,0,'Données projet'!$E$11+1,1))-AVERAGE(OFFSET($H$3,0,0,'Données projet'!$E$11+1,1))</f>
        <v>279.49721661620544</v>
      </c>
      <c r="BJ192" s="59">
        <f t="shared" si="146"/>
        <v>275.18739333988754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6.1398653931767555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6.1398653931767555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732.99999999999966</v>
      </c>
      <c r="BZ192" s="13">
        <f>BY192*VLOOKUP('Données projet'!$B$12,Paramètres!$A$1:$I$89,3,0)*VLOOKUP('Données projet'!$B$12,Paramètres!$A$1:$I$89,5,0)</f>
        <v>352.57299999999987</v>
      </c>
      <c r="CA192" s="13">
        <f t="shared" si="170"/>
        <v>82.092092597941644</v>
      </c>
      <c r="CB192" s="20">
        <f t="shared" si="171"/>
        <v>757.04170294141477</v>
      </c>
      <c r="CC192" s="59">
        <f t="shared" si="119"/>
        <v>1050.375036274748</v>
      </c>
      <c r="CD192" s="59">
        <f ca="1">AVERAGE(OFFSET($CC$3,0,0,'Données projet'!$E$12+1,1))-AVERAGE(OFFSET($H$3,0,0,'Données projet'!$E$12+1,1))</f>
        <v>349.65790906807746</v>
      </c>
      <c r="CE192" s="59">
        <f t="shared" si="148"/>
        <v>291.88925884278888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14.6092308644665</v>
      </c>
      <c r="CL192" s="21">
        <f>EXP(-LN(2)/25)*CL191+(1-EXP(-LN(2)/25))/(LN(2)/25)*Calculateur!CG192*Calculateur!CI192*VLOOKUP('Données projet'!$B$12,Paramètres!$A$1:$I$89,3,0)*0.475*44/12</f>
        <v>0.50151276709221304</v>
      </c>
      <c r="CM192" s="21">
        <f>EXP(-LN(2)/2)*CM191+(1-EXP(-LN(2)/2))/(LN(2)/2)*CG192*CJ192*VLOOKUP('Données projet'!$B$12,Paramètres!$A$1:$I$89,3,0)*0.475*44/12</f>
        <v>5.972652352421467E-26</v>
      </c>
      <c r="CN192" s="22">
        <f t="shared" si="172"/>
        <v>15.110743631558714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285.99999999999972</v>
      </c>
      <c r="CU192" s="17">
        <f>CT192*VLOOKUP('Données projet'!$B$13,Paramètres!$A$1:$I$89,3,0)*VLOOKUP('Données projet'!$B$13,Paramètres!$A$1:$I$89,5,0)</f>
        <v>223.07999999999979</v>
      </c>
      <c r="CV192" s="13">
        <f t="shared" si="173"/>
        <v>54.783765878062617</v>
      </c>
      <c r="CW192" s="20">
        <f t="shared" si="174"/>
        <v>483.94605890429199</v>
      </c>
      <c r="CX192" s="59">
        <f t="shared" si="122"/>
        <v>777.2793922376253</v>
      </c>
      <c r="CY192" s="59">
        <f ca="1">AVERAGE(OFFSET($CX$3,0,0,'Données projet'!$E$13+1,1))-AVERAGE(OFFSET($H$3,0,0,'Données projet'!$E$13+1,1))</f>
        <v>215.84581110302656</v>
      </c>
      <c r="CZ192" s="59">
        <f t="shared" si="150"/>
        <v>193.88588526156104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5.5579503421823997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5.5579503421823997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401</v>
      </c>
      <c r="O193" s="13">
        <f>N193*VLOOKUP('Données projet'!$B$9,Paramètres!$A$1:$I$89,3,0)*VLOOKUP('Données projet'!$B$9,Paramètres!$A$1:$I$89,5,0)</f>
        <v>250.22399999999999</v>
      </c>
      <c r="P193" s="13">
        <f t="shared" si="141"/>
        <v>60.633904580527918</v>
      </c>
      <c r="Q193" s="20">
        <f t="shared" si="162"/>
        <v>541.41085047775289</v>
      </c>
      <c r="R193" s="59">
        <f t="shared" si="109"/>
        <v>834.74418381108626</v>
      </c>
      <c r="S193" s="59">
        <f ca="1">AVERAGE(OFFSET($R$3,0,0,'Données projet'!$E$9+1,1))-AVERAGE(OFFSET($H$3,0,0,'Données projet'!$E$9+1,1))</f>
        <v>269.77739619445515</v>
      </c>
      <c r="T193" s="59">
        <f t="shared" si="142"/>
        <v>347.56964743629885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5.8343785310334937</v>
      </c>
      <c r="AA193" s="21">
        <f>EXP(-LN(2)/25)*AA192+(1-EXP(-LN(2)/25))/(LN(2)/25)*Calculateur!V193*Calculateur!X193*VLOOKUP('Données projet'!$B$9,Paramètres!$A$1:$I$89,3,0)*0.475*44/12</f>
        <v>1.0863684390919892</v>
      </c>
      <c r="AB193" s="21">
        <f>EXP(-LN(2)/2)*AB192+(1-EXP(-LN(2)/2))/(LN(2)/2)*V193*Y193*VLOOKUP('Données projet'!$B$9,Paramètres!$A$1:$I$89,3,0)*0.475*44/12</f>
        <v>2.0545798281407048E-26</v>
      </c>
      <c r="AC193" s="22">
        <f t="shared" si="163"/>
        <v>6.9207469701254833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735.00000000000011</v>
      </c>
      <c r="AJ193" s="13">
        <f>AI193*VLOOKUP('Données projet'!$B$10,Paramètres!$A$1:$I$89,3,0)*VLOOKUP('Données projet'!$B$10,Paramètres!$A$1:$I$89,5,0)</f>
        <v>343.98</v>
      </c>
      <c r="AK193" s="13">
        <f t="shared" si="164"/>
        <v>80.321681832084693</v>
      </c>
      <c r="AL193" s="20">
        <f t="shared" si="165"/>
        <v>738.9920958575475</v>
      </c>
      <c r="AM193" s="59">
        <f t="shared" si="113"/>
        <v>1032.3254291908809</v>
      </c>
      <c r="AN193" s="59">
        <f ca="1">AVERAGE(OFFSET($AM$3,0,0,'Données projet'!$E$10+1,1))-AVERAGE(OFFSET($H$3,0,0,'Données projet'!$E$10+1,1))</f>
        <v>342.49944586217674</v>
      </c>
      <c r="AO193" s="59">
        <f t="shared" si="144"/>
        <v>282.29766600872563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13.353018127416613</v>
      </c>
      <c r="AV193" s="21">
        <f>EXP(-LN(2)/25)*AV192+(1-EXP(-LN(2)/25))/(LN(2)/25)*Calculateur!AQ193*Calculateur!AS193*VLOOKUP('Données projet'!$B$10,Paramètres!$A$1:$I$89,3,0)*0.475*44/12</f>
        <v>0.47461512074853862</v>
      </c>
      <c r="AW193" s="21">
        <f>EXP(-LN(2)/2)*AW192+(1-EXP(-LN(2)/2))/(LN(2)/2)*AQ193*AT193*VLOOKUP('Données projet'!$B$10,Paramètres!$A$1:$I$89,3,0)*0.475*44/12</f>
        <v>6.8485994271356883E-26</v>
      </c>
      <c r="AX193" s="21">
        <f t="shared" si="166"/>
        <v>13.827633248165151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319</v>
      </c>
      <c r="BE193" s="13">
        <f>BD193*VLOOKUP('Données projet'!$B$11,Paramètres!$A$1:$I$89,3,0)*VLOOKUP('Données projet'!$B$11,Paramètres!$A$1:$I$89,5,0)</f>
        <v>253.79640000000001</v>
      </c>
      <c r="BF193" s="13">
        <f t="shared" si="167"/>
        <v>61.39816832228076</v>
      </c>
      <c r="BG193" s="20">
        <f t="shared" si="168"/>
        <v>548.96387316130563</v>
      </c>
      <c r="BH193" s="59">
        <f t="shared" si="116"/>
        <v>842.29720649463889</v>
      </c>
      <c r="BI193" s="59">
        <f ca="1">AVERAGE(OFFSET($BH$3,0,0,'Données projet'!$E$11+1,1))-AVERAGE(OFFSET($H$3,0,0,'Données projet'!$E$11+1,1))</f>
        <v>279.49721661620544</v>
      </c>
      <c r="BJ193" s="59">
        <f t="shared" si="146"/>
        <v>275.18739333988754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6.0194663777646662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6.0194663777646662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732.99999999999966</v>
      </c>
      <c r="BZ193" s="13">
        <f>BY193*VLOOKUP('Données projet'!$B$12,Paramètres!$A$1:$I$89,3,0)*VLOOKUP('Données projet'!$B$12,Paramètres!$A$1:$I$89,5,0)</f>
        <v>352.57299999999987</v>
      </c>
      <c r="CA193" s="13">
        <f t="shared" si="170"/>
        <v>82.092092597941644</v>
      </c>
      <c r="CB193" s="20">
        <f t="shared" si="171"/>
        <v>757.04170294141477</v>
      </c>
      <c r="CC193" s="59">
        <f t="shared" si="119"/>
        <v>1050.375036274748</v>
      </c>
      <c r="CD193" s="59">
        <f ca="1">AVERAGE(OFFSET($CC$3,0,0,'Données projet'!$E$12+1,1))-AVERAGE(OFFSET($H$3,0,0,'Données projet'!$E$12+1,1))</f>
        <v>349.65790906807746</v>
      </c>
      <c r="CE193" s="59">
        <f t="shared" si="148"/>
        <v>291.88925884278888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14.322752757965276</v>
      </c>
      <c r="CL193" s="21">
        <f>EXP(-LN(2)/25)*CL192+(1-EXP(-LN(2)/25))/(LN(2)/25)*Calculateur!CG193*Calculateur!CI193*VLOOKUP('Données projet'!$B$12,Paramètres!$A$1:$I$89,3,0)*0.475*44/12</f>
        <v>0.48779887410266626</v>
      </c>
      <c r="CM193" s="21">
        <f>EXP(-LN(2)/2)*CM192+(1-EXP(-LN(2)/2))/(LN(2)/2)*CG193*CJ193*VLOOKUP('Données projet'!$B$12,Paramètres!$A$1:$I$89,3,0)*0.475*44/12</f>
        <v>4.2233029800670046E-26</v>
      </c>
      <c r="CN193" s="22">
        <f t="shared" si="172"/>
        <v>14.810551632067941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285.99999999999972</v>
      </c>
      <c r="CU193" s="17">
        <f>CT193*VLOOKUP('Données projet'!$B$13,Paramètres!$A$1:$I$89,3,0)*VLOOKUP('Données projet'!$B$13,Paramètres!$A$1:$I$89,5,0)</f>
        <v>223.07999999999979</v>
      </c>
      <c r="CV193" s="13">
        <f t="shared" si="173"/>
        <v>54.783765878062617</v>
      </c>
      <c r="CW193" s="20">
        <f t="shared" si="174"/>
        <v>483.94605890429199</v>
      </c>
      <c r="CX193" s="59">
        <f t="shared" si="122"/>
        <v>777.2793922376253</v>
      </c>
      <c r="CY193" s="59">
        <f ca="1">AVERAGE(OFFSET($CX$3,0,0,'Données projet'!$E$13+1,1))-AVERAGE(OFFSET($H$3,0,0,'Données projet'!$E$13+1,1))</f>
        <v>215.84581110302656</v>
      </c>
      <c r="CZ193" s="59">
        <f t="shared" si="150"/>
        <v>193.88588526156104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5.4489623259871758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5.4489623259871758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401</v>
      </c>
      <c r="O194" s="13">
        <f>N194*VLOOKUP('Données projet'!$B$9,Paramètres!$A$1:$I$89,3,0)*VLOOKUP('Données projet'!$B$9,Paramètres!$A$1:$I$89,5,0)</f>
        <v>250.22399999999999</v>
      </c>
      <c r="P194" s="13">
        <f t="shared" si="141"/>
        <v>60.633904580527918</v>
      </c>
      <c r="Q194" s="20">
        <f t="shared" si="162"/>
        <v>541.41085047775289</v>
      </c>
      <c r="R194" s="59">
        <f t="shared" si="109"/>
        <v>834.74418381108626</v>
      </c>
      <c r="S194" s="59">
        <f ca="1">AVERAGE(OFFSET($R$3,0,0,'Données projet'!$E$9+1,1))-AVERAGE(OFFSET($H$3,0,0,'Données projet'!$E$9+1,1))</f>
        <v>269.77739619445515</v>
      </c>
      <c r="T194" s="59">
        <f t="shared" si="142"/>
        <v>347.56964743629885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5.7199699266594459</v>
      </c>
      <c r="AA194" s="21">
        <f>EXP(-LN(2)/25)*AA193+(1-EXP(-LN(2)/25))/(LN(2)/25)*Calculateur!V194*Calculateur!X194*VLOOKUP('Données projet'!$B$9,Paramètres!$A$1:$I$89,3,0)*0.475*44/12</f>
        <v>1.0566616369953854</v>
      </c>
      <c r="AB194" s="21">
        <f>EXP(-LN(2)/2)*AB193+(1-EXP(-LN(2)/2))/(LN(2)/2)*V194*Y194*VLOOKUP('Données projet'!$B$9,Paramètres!$A$1:$I$89,3,0)*0.475*44/12</f>
        <v>1.4528073289673837E-26</v>
      </c>
      <c r="AC194" s="22">
        <f t="shared" si="163"/>
        <v>6.7766315636548313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735.00000000000011</v>
      </c>
      <c r="AJ194" s="13">
        <f>AI194*VLOOKUP('Données projet'!$B$10,Paramètres!$A$1:$I$89,3,0)*VLOOKUP('Données projet'!$B$10,Paramètres!$A$1:$I$89,5,0)</f>
        <v>343.98</v>
      </c>
      <c r="AK194" s="13">
        <f t="shared" si="164"/>
        <v>80.321681832084693</v>
      </c>
      <c r="AL194" s="20">
        <f t="shared" si="165"/>
        <v>738.9920958575475</v>
      </c>
      <c r="AM194" s="59">
        <f t="shared" si="113"/>
        <v>1032.3254291908809</v>
      </c>
      <c r="AN194" s="59">
        <f ca="1">AVERAGE(OFFSET($AM$3,0,0,'Données projet'!$E$10+1,1))-AVERAGE(OFFSET($H$3,0,0,'Données projet'!$E$10+1,1))</f>
        <v>342.49944586217674</v>
      </c>
      <c r="AO194" s="59">
        <f t="shared" si="144"/>
        <v>282.29766600872563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13.091173586474824</v>
      </c>
      <c r="AV194" s="21">
        <f>EXP(-LN(2)/25)*AV193+(1-EXP(-LN(2)/25))/(LN(2)/25)*Calculateur!AQ194*Calculateur!AS194*VLOOKUP('Données projet'!$B$10,Paramètres!$A$1:$I$89,3,0)*0.475*44/12</f>
        <v>0.4616367453127454</v>
      </c>
      <c r="AW194" s="21">
        <f>EXP(-LN(2)/2)*AW193+(1-EXP(-LN(2)/2))/(LN(2)/2)*AQ194*AT194*VLOOKUP('Données projet'!$B$10,Paramètres!$A$1:$I$89,3,0)*0.475*44/12</f>
        <v>4.8426910965579499E-26</v>
      </c>
      <c r="AX194" s="21">
        <f t="shared" si="166"/>
        <v>13.552810331787569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319</v>
      </c>
      <c r="BE194" s="13">
        <f>BD194*VLOOKUP('Données projet'!$B$11,Paramètres!$A$1:$I$89,3,0)*VLOOKUP('Données projet'!$B$11,Paramètres!$A$1:$I$89,5,0)</f>
        <v>253.79640000000001</v>
      </c>
      <c r="BF194" s="13">
        <f t="shared" si="167"/>
        <v>61.39816832228076</v>
      </c>
      <c r="BG194" s="20">
        <f t="shared" si="168"/>
        <v>548.96387316130563</v>
      </c>
      <c r="BH194" s="59">
        <f t="shared" si="116"/>
        <v>842.29720649463889</v>
      </c>
      <c r="BI194" s="59">
        <f ca="1">AVERAGE(OFFSET($BH$3,0,0,'Données projet'!$E$11+1,1))-AVERAGE(OFFSET($H$3,0,0,'Données projet'!$E$11+1,1))</f>
        <v>279.49721661620544</v>
      </c>
      <c r="BJ194" s="59">
        <f t="shared" si="146"/>
        <v>275.18739333988754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5.90142831360866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5.90142831360866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732.99999999999966</v>
      </c>
      <c r="BZ194" s="13">
        <f>BY194*VLOOKUP('Données projet'!$B$12,Paramètres!$A$1:$I$89,3,0)*VLOOKUP('Données projet'!$B$12,Paramètres!$A$1:$I$89,5,0)</f>
        <v>352.57299999999987</v>
      </c>
      <c r="CA194" s="13">
        <f t="shared" si="170"/>
        <v>82.092092597941644</v>
      </c>
      <c r="CB194" s="20">
        <f t="shared" si="171"/>
        <v>757.04170294141477</v>
      </c>
      <c r="CC194" s="59">
        <f t="shared" si="119"/>
        <v>1050.375036274748</v>
      </c>
      <c r="CD194" s="59">
        <f ca="1">AVERAGE(OFFSET($CC$3,0,0,'Données projet'!$E$12+1,1))-AVERAGE(OFFSET($H$3,0,0,'Données projet'!$E$12+1,1))</f>
        <v>349.65790906807746</v>
      </c>
      <c r="CE194" s="59">
        <f t="shared" si="148"/>
        <v>291.88925884278888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14.041892312398149</v>
      </c>
      <c r="CL194" s="21">
        <f>EXP(-LN(2)/25)*CL193+(1-EXP(-LN(2)/25))/(LN(2)/25)*Calculateur!CG194*Calculateur!CI194*VLOOKUP('Données projet'!$B$12,Paramètres!$A$1:$I$89,3,0)*0.475*44/12</f>
        <v>0.47445998823810093</v>
      </c>
      <c r="CM194" s="21">
        <f>EXP(-LN(2)/2)*CM193+(1-EXP(-LN(2)/2))/(LN(2)/2)*CG194*CJ194*VLOOKUP('Données projet'!$B$12,Paramètres!$A$1:$I$89,3,0)*0.475*44/12</f>
        <v>2.9863261762107335E-26</v>
      </c>
      <c r="CN194" s="22">
        <f t="shared" si="172"/>
        <v>14.51635230063625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285.99999999999972</v>
      </c>
      <c r="CU194" s="17">
        <f>CT194*VLOOKUP('Données projet'!$B$13,Paramètres!$A$1:$I$89,3,0)*VLOOKUP('Données projet'!$B$13,Paramètres!$A$1:$I$89,5,0)</f>
        <v>223.07999999999979</v>
      </c>
      <c r="CV194" s="13">
        <f t="shared" si="173"/>
        <v>54.783765878062617</v>
      </c>
      <c r="CW194" s="20">
        <f t="shared" si="174"/>
        <v>483.94605890429199</v>
      </c>
      <c r="CX194" s="59">
        <f t="shared" si="122"/>
        <v>777.2793922376253</v>
      </c>
      <c r="CY194" s="59">
        <f ca="1">AVERAGE(OFFSET($CX$3,0,0,'Données projet'!$E$13+1,1))-AVERAGE(OFFSET($H$3,0,0,'Données projet'!$E$13+1,1))</f>
        <v>215.84581110302656</v>
      </c>
      <c r="CZ194" s="59">
        <f t="shared" si="150"/>
        <v>193.88588526156104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5.3421114983134137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5.3421114983134137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401</v>
      </c>
      <c r="O195" s="13">
        <f>N195*VLOOKUP('Données projet'!$B$9,Paramètres!$A$1:$I$89,3,0)*VLOOKUP('Données projet'!$B$9,Paramètres!$A$1:$I$89,5,0)</f>
        <v>250.22399999999999</v>
      </c>
      <c r="P195" s="13">
        <f t="shared" si="141"/>
        <v>60.633904580527918</v>
      </c>
      <c r="Q195" s="20">
        <f t="shared" si="162"/>
        <v>541.41085047775289</v>
      </c>
      <c r="R195" s="59">
        <f t="shared" ref="R195:R203" si="191">Q195+(I195+J195)*44/12</f>
        <v>834.74418381108626</v>
      </c>
      <c r="S195" s="59">
        <f ca="1">AVERAGE(OFFSET($R$3,0,0,'Données projet'!$E$9+1,1))-AVERAGE(OFFSET($H$3,0,0,'Données projet'!$E$9+1,1))</f>
        <v>269.77739619445515</v>
      </c>
      <c r="T195" s="59">
        <f t="shared" si="142"/>
        <v>347.56964743629885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5.6078048052348155</v>
      </c>
      <c r="AA195" s="21">
        <f>EXP(-LN(2)/25)*AA194+(1-EXP(-LN(2)/25))/(LN(2)/25)*Calculateur!V195*Calculateur!X195*VLOOKUP('Données projet'!$B$9,Paramètres!$A$1:$I$89,3,0)*0.475*44/12</f>
        <v>1.0277671689643262</v>
      </c>
      <c r="AB195" s="21">
        <f>EXP(-LN(2)/2)*AB194+(1-EXP(-LN(2)/2))/(LN(2)/2)*V195*Y195*VLOOKUP('Données projet'!$B$9,Paramètres!$A$1:$I$89,3,0)*0.475*44/12</f>
        <v>1.0272899140703524E-26</v>
      </c>
      <c r="AC195" s="22">
        <f t="shared" si="163"/>
        <v>6.6355719741991415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735.00000000000011</v>
      </c>
      <c r="AJ195" s="13">
        <f>AI195*VLOOKUP('Données projet'!$B$10,Paramètres!$A$1:$I$89,3,0)*VLOOKUP('Données projet'!$B$10,Paramètres!$A$1:$I$89,5,0)</f>
        <v>343.98</v>
      </c>
      <c r="AK195" s="13">
        <f t="shared" si="164"/>
        <v>80.321681832084693</v>
      </c>
      <c r="AL195" s="20">
        <f t="shared" si="165"/>
        <v>738.9920958575475</v>
      </c>
      <c r="AM195" s="59">
        <f t="shared" si="113"/>
        <v>1032.3254291908809</v>
      </c>
      <c r="AN195" s="59">
        <f ca="1">AVERAGE(OFFSET($AM$3,0,0,'Données projet'!$E$10+1,1))-AVERAGE(OFFSET($H$3,0,0,'Données projet'!$E$10+1,1))</f>
        <v>342.49944586217674</v>
      </c>
      <c r="AO195" s="59">
        <f t="shared" si="144"/>
        <v>282.29766600872563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12.834463657271504</v>
      </c>
      <c r="AV195" s="21">
        <f>EXP(-LN(2)/25)*AV194+(1-EXP(-LN(2)/25))/(LN(2)/25)*Calculateur!AQ195*Calculateur!AS195*VLOOKUP('Données projet'!$B$10,Paramètres!$A$1:$I$89,3,0)*0.475*44/12</f>
        <v>0.449013264235747</v>
      </c>
      <c r="AW195" s="21">
        <f>EXP(-LN(2)/2)*AW194+(1-EXP(-LN(2)/2))/(LN(2)/2)*AQ195*AT195*VLOOKUP('Données projet'!$B$10,Paramètres!$A$1:$I$89,3,0)*0.475*44/12</f>
        <v>3.4242997135678441E-26</v>
      </c>
      <c r="AX195" s="21">
        <f t="shared" si="166"/>
        <v>13.283476921507251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319</v>
      </c>
      <c r="BE195" s="13">
        <f>BD195*VLOOKUP('Données projet'!$B$11,Paramètres!$A$1:$I$89,3,0)*VLOOKUP('Données projet'!$B$11,Paramètres!$A$1:$I$89,5,0)</f>
        <v>253.79640000000001</v>
      </c>
      <c r="BF195" s="13">
        <f t="shared" si="167"/>
        <v>61.39816832228076</v>
      </c>
      <c r="BG195" s="20">
        <f t="shared" si="168"/>
        <v>548.96387316130563</v>
      </c>
      <c r="BH195" s="59">
        <f t="shared" si="116"/>
        <v>842.29720649463889</v>
      </c>
      <c r="BI195" s="59">
        <f ca="1">AVERAGE(OFFSET($BH$3,0,0,'Données projet'!$E$11+1,1))-AVERAGE(OFFSET($H$3,0,0,'Données projet'!$E$11+1,1))</f>
        <v>279.49721661620544</v>
      </c>
      <c r="BJ195" s="59">
        <f t="shared" si="146"/>
        <v>275.18739333988754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5.7857049038946426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5.7857049038946426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732.99999999999966</v>
      </c>
      <c r="BZ195" s="13">
        <f>BY195*VLOOKUP('Données projet'!$B$12,Paramètres!$A$1:$I$89,3,0)*VLOOKUP('Données projet'!$B$12,Paramètres!$A$1:$I$89,5,0)</f>
        <v>352.57299999999987</v>
      </c>
      <c r="CA195" s="13">
        <f t="shared" si="170"/>
        <v>82.092092597941644</v>
      </c>
      <c r="CB195" s="20">
        <f t="shared" si="171"/>
        <v>757.04170294141477</v>
      </c>
      <c r="CC195" s="59">
        <f t="shared" si="119"/>
        <v>1050.375036274748</v>
      </c>
      <c r="CD195" s="59">
        <f ca="1">AVERAGE(OFFSET($CC$3,0,0,'Données projet'!$E$12+1,1))-AVERAGE(OFFSET($H$3,0,0,'Données projet'!$E$12+1,1))</f>
        <v>349.65790906807746</v>
      </c>
      <c r="CE195" s="59">
        <f t="shared" si="148"/>
        <v>291.88925884278888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13.766539368860638</v>
      </c>
      <c r="CL195" s="21">
        <f>EXP(-LN(2)/25)*CL194+(1-EXP(-LN(2)/25))/(LN(2)/25)*Calculateur!CG195*Calculateur!CI195*VLOOKUP('Données projet'!$B$12,Paramètres!$A$1:$I$89,3,0)*0.475*44/12</f>
        <v>0.46148585490896366</v>
      </c>
      <c r="CM195" s="21">
        <f>EXP(-LN(2)/2)*CM194+(1-EXP(-LN(2)/2))/(LN(2)/2)*CG195*CJ195*VLOOKUP('Données projet'!$B$12,Paramètres!$A$1:$I$89,3,0)*0.475*44/12</f>
        <v>2.1116514900335023E-26</v>
      </c>
      <c r="CN195" s="22">
        <f t="shared" si="172"/>
        <v>14.228025223769601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285.99999999999972</v>
      </c>
      <c r="CU195" s="17">
        <f>CT195*VLOOKUP('Données projet'!$B$13,Paramètres!$A$1:$I$89,3,0)*VLOOKUP('Données projet'!$B$13,Paramètres!$A$1:$I$89,5,0)</f>
        <v>223.07999999999979</v>
      </c>
      <c r="CV195" s="13">
        <f t="shared" si="173"/>
        <v>54.783765878062617</v>
      </c>
      <c r="CW195" s="20">
        <f t="shared" si="174"/>
        <v>483.94605890429199</v>
      </c>
      <c r="CX195" s="59">
        <f t="shared" si="122"/>
        <v>777.2793922376253</v>
      </c>
      <c r="CY195" s="59">
        <f ca="1">AVERAGE(OFFSET($CX$3,0,0,'Données projet'!$E$13+1,1))-AVERAGE(OFFSET($H$3,0,0,'Données projet'!$E$13+1,1))</f>
        <v>215.84581110302656</v>
      </c>
      <c r="CZ195" s="59">
        <f t="shared" si="150"/>
        <v>193.88588526156104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5.2373559501977649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5.2373559501977649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401</v>
      </c>
      <c r="O196" s="13">
        <f>N196*VLOOKUP('Données projet'!$B$9,Paramètres!$A$1:$I$89,3,0)*VLOOKUP('Données projet'!$B$9,Paramètres!$A$1:$I$89,5,0)</f>
        <v>250.22399999999999</v>
      </c>
      <c r="P196" s="13">
        <f t="shared" si="141"/>
        <v>60.633904580527918</v>
      </c>
      <c r="Q196" s="20">
        <f t="shared" si="162"/>
        <v>541.41085047775289</v>
      </c>
      <c r="R196" s="59">
        <f t="shared" si="191"/>
        <v>834.74418381108626</v>
      </c>
      <c r="S196" s="59">
        <f ca="1">AVERAGE(OFFSET($R$3,0,0,'Données projet'!$E$9+1,1))-AVERAGE(OFFSET($H$3,0,0,'Données projet'!$E$9+1,1))</f>
        <v>269.77739619445515</v>
      </c>
      <c r="T196" s="59">
        <f t="shared" si="142"/>
        <v>347.56964743629885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5.4978391734273533</v>
      </c>
      <c r="AA196" s="21">
        <f>EXP(-LN(2)/25)*AA195+(1-EXP(-LN(2)/25))/(LN(2)/25)*Calculateur!V196*Calculateur!X196*VLOOKUP('Données projet'!$B$9,Paramètres!$A$1:$I$89,3,0)*0.475*44/12</f>
        <v>0.99966282168107023</v>
      </c>
      <c r="AB196" s="21">
        <f>EXP(-LN(2)/2)*AB195+(1-EXP(-LN(2)/2))/(LN(2)/2)*V196*Y196*VLOOKUP('Données projet'!$B$9,Paramètres!$A$1:$I$89,3,0)*0.475*44/12</f>
        <v>7.2640366448369185E-27</v>
      </c>
      <c r="AC196" s="22">
        <f t="shared" si="163"/>
        <v>6.4975019951084239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735.00000000000011</v>
      </c>
      <c r="AJ196" s="13">
        <f>AI196*VLOOKUP('Données projet'!$B$10,Paramètres!$A$1:$I$89,3,0)*VLOOKUP('Données projet'!$B$10,Paramètres!$A$1:$I$89,5,0)</f>
        <v>343.98</v>
      </c>
      <c r="AK196" s="13">
        <f t="shared" si="164"/>
        <v>80.321681832084693</v>
      </c>
      <c r="AL196" s="20">
        <f t="shared" si="165"/>
        <v>738.9920958575475</v>
      </c>
      <c r="AM196" s="59">
        <f t="shared" ref="AM196:AM203" si="193">AL196+(AD196+AE196)*44/12</f>
        <v>1032.3254291908809</v>
      </c>
      <c r="AN196" s="59">
        <f ca="1">AVERAGE(OFFSET($AM$3,0,0,'Données projet'!$E$10+1,1))-AVERAGE(OFFSET($H$3,0,0,'Données projet'!$E$10+1,1))</f>
        <v>342.49944586217674</v>
      </c>
      <c r="AO196" s="59">
        <f t="shared" si="144"/>
        <v>282.29766600872563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12.582787653202265</v>
      </c>
      <c r="AV196" s="21">
        <f>EXP(-LN(2)/25)*AV195+(1-EXP(-LN(2)/25))/(LN(2)/25)*Calculateur!AQ196*Calculateur!AS196*VLOOKUP('Données projet'!$B$10,Paramètres!$A$1:$I$89,3,0)*0.475*44/12</f>
        <v>0.43673497291263919</v>
      </c>
      <c r="AW196" s="21">
        <f>EXP(-LN(2)/2)*AW195+(1-EXP(-LN(2)/2))/(LN(2)/2)*AQ196*AT196*VLOOKUP('Données projet'!$B$10,Paramètres!$A$1:$I$89,3,0)*0.475*44/12</f>
        <v>2.4213455482789749E-26</v>
      </c>
      <c r="AX196" s="21">
        <f t="shared" si="166"/>
        <v>13.019522626114904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319</v>
      </c>
      <c r="BE196" s="13">
        <f>BD196*VLOOKUP('Données projet'!$B$11,Paramètres!$A$1:$I$89,3,0)*VLOOKUP('Données projet'!$B$11,Paramètres!$A$1:$I$89,5,0)</f>
        <v>253.79640000000001</v>
      </c>
      <c r="BF196" s="13">
        <f t="shared" si="167"/>
        <v>61.39816832228076</v>
      </c>
      <c r="BG196" s="20">
        <f t="shared" si="168"/>
        <v>548.96387316130563</v>
      </c>
      <c r="BH196" s="59">
        <f t="shared" ref="BH196:BH203" si="194">BG196+(AY196+AZ196)*44/12</f>
        <v>842.29720649463889</v>
      </c>
      <c r="BI196" s="59">
        <f ca="1">AVERAGE(OFFSET($BH$3,0,0,'Données projet'!$E$11+1,1))-AVERAGE(OFFSET($H$3,0,0,'Données projet'!$E$11+1,1))</f>
        <v>279.49721661620544</v>
      </c>
      <c r="BJ196" s="59">
        <f t="shared" si="146"/>
        <v>275.18739333988754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5.6722507596608072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5.6722507596608072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732.99999999999966</v>
      </c>
      <c r="BZ196" s="13">
        <f>BY196*VLOOKUP('Données projet'!$B$12,Paramètres!$A$1:$I$89,3,0)*VLOOKUP('Données projet'!$B$12,Paramètres!$A$1:$I$89,5,0)</f>
        <v>352.57299999999987</v>
      </c>
      <c r="CA196" s="13">
        <f t="shared" si="170"/>
        <v>82.092092597941644</v>
      </c>
      <c r="CB196" s="20">
        <f t="shared" si="171"/>
        <v>757.04170294141477</v>
      </c>
      <c r="CC196" s="59">
        <f t="shared" ref="CC196:CC203" si="195">CB196+(BT196+BU196)*44/12</f>
        <v>1050.375036274748</v>
      </c>
      <c r="CD196" s="59">
        <f ca="1">AVERAGE(OFFSET($CC$3,0,0,'Données projet'!$E$12+1,1))-AVERAGE(OFFSET($H$3,0,0,'Données projet'!$E$12+1,1))</f>
        <v>349.65790906807746</v>
      </c>
      <c r="CE196" s="59">
        <f t="shared" si="148"/>
        <v>291.88925884278888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13.496585928597185</v>
      </c>
      <c r="CL196" s="21">
        <f>EXP(-LN(2)/25)*CL195+(1-EXP(-LN(2)/25))/(LN(2)/25)*Calculateur!CG196*Calculateur!CI196*VLOOKUP('Données projet'!$B$12,Paramètres!$A$1:$I$89,3,0)*0.475*44/12</f>
        <v>0.44886649993799166</v>
      </c>
      <c r="CM196" s="21">
        <f>EXP(-LN(2)/2)*CM195+(1-EXP(-LN(2)/2))/(LN(2)/2)*CG196*CJ196*VLOOKUP('Données projet'!$B$12,Paramètres!$A$1:$I$89,3,0)*0.475*44/12</f>
        <v>1.4931630881053667E-26</v>
      </c>
      <c r="CN196" s="22">
        <f t="shared" si="172"/>
        <v>13.945452428535177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285.99999999999972</v>
      </c>
      <c r="CU196" s="17">
        <f>CT196*VLOOKUP('Données projet'!$B$13,Paramètres!$A$1:$I$89,3,0)*VLOOKUP('Données projet'!$B$13,Paramètres!$A$1:$I$89,5,0)</f>
        <v>223.07999999999979</v>
      </c>
      <c r="CV196" s="13">
        <f t="shared" si="173"/>
        <v>54.783765878062617</v>
      </c>
      <c r="CW196" s="20">
        <f t="shared" si="174"/>
        <v>483.94605890429199</v>
      </c>
      <c r="CX196" s="59">
        <f t="shared" ref="CX196:CX203" si="196">CW196+(CO196+CP196)*44/12</f>
        <v>777.2793922376253</v>
      </c>
      <c r="CY196" s="59">
        <f ca="1">AVERAGE(OFFSET($CX$3,0,0,'Données projet'!$E$13+1,1))-AVERAGE(OFFSET($H$3,0,0,'Données projet'!$E$13+1,1))</f>
        <v>215.84581110302656</v>
      </c>
      <c r="CZ196" s="59">
        <f t="shared" si="150"/>
        <v>193.88588526156104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5.1346545944860882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5.1346545944860882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401</v>
      </c>
      <c r="O197" s="13">
        <f>N197*VLOOKUP('Données projet'!$B$9,Paramètres!$A$1:$I$89,3,0)*VLOOKUP('Données projet'!$B$9,Paramètres!$A$1:$I$89,5,0)</f>
        <v>250.22399999999999</v>
      </c>
      <c r="P197" s="13">
        <f t="shared" ref="P197:P203" si="203">EXP(-1.0587+0.8836*LN(O197)+0.284)</f>
        <v>60.633904580527918</v>
      </c>
      <c r="Q197" s="20">
        <f t="shared" si="162"/>
        <v>541.41085047775289</v>
      </c>
      <c r="R197" s="59">
        <f t="shared" si="191"/>
        <v>834.74418381108626</v>
      </c>
      <c r="S197" s="59">
        <f ca="1">AVERAGE(OFFSET($R$3,0,0,'Données projet'!$E$9+1,1))-AVERAGE(OFFSET($H$3,0,0,'Données projet'!$E$9+1,1))</f>
        <v>269.77739619445515</v>
      </c>
      <c r="T197" s="59">
        <f t="shared" ref="T197:T203" si="204">$T$3</f>
        <v>347.56964743629885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5.3900299005872228</v>
      </c>
      <c r="AA197" s="21">
        <f>EXP(-LN(2)/25)*AA196+(1-EXP(-LN(2)/25))/(LN(2)/25)*Calculateur!V197*Calculateur!X197*VLOOKUP('Données projet'!$B$9,Paramètres!$A$1:$I$89,3,0)*0.475*44/12</f>
        <v>0.97232698925221839</v>
      </c>
      <c r="AB197" s="21">
        <f>EXP(-LN(2)/2)*AB196+(1-EXP(-LN(2)/2))/(LN(2)/2)*V197*Y197*VLOOKUP('Données projet'!$B$9,Paramètres!$A$1:$I$89,3,0)*0.475*44/12</f>
        <v>5.1364495703517619E-27</v>
      </c>
      <c r="AC197" s="22">
        <f t="shared" si="163"/>
        <v>6.3623568898394414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735.00000000000011</v>
      </c>
      <c r="AJ197" s="13">
        <f>AI197*VLOOKUP('Données projet'!$B$10,Paramètres!$A$1:$I$89,3,0)*VLOOKUP('Données projet'!$B$10,Paramètres!$A$1:$I$89,5,0)</f>
        <v>343.98</v>
      </c>
      <c r="AK197" s="13">
        <f t="shared" si="164"/>
        <v>80.321681832084693</v>
      </c>
      <c r="AL197" s="20">
        <f t="shared" si="165"/>
        <v>738.9920958575475</v>
      </c>
      <c r="AM197" s="59">
        <f t="shared" si="193"/>
        <v>1032.3254291908809</v>
      </c>
      <c r="AN197" s="59">
        <f ca="1">AVERAGE(OFFSET($AM$3,0,0,'Données projet'!$E$10+1,1))-AVERAGE(OFFSET($H$3,0,0,'Données projet'!$E$10+1,1))</f>
        <v>342.49944586217674</v>
      </c>
      <c r="AO197" s="59">
        <f t="shared" ref="AO197:AO203" si="205">$AO$3</f>
        <v>282.29766600872563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12.33604686206562</v>
      </c>
      <c r="AV197" s="21">
        <f>EXP(-LN(2)/25)*AV196+(1-EXP(-LN(2)/25))/(LN(2)/25)*Calculateur!AQ197*Calculateur!AS197*VLOOKUP('Données projet'!$B$10,Paramètres!$A$1:$I$89,3,0)*0.475*44/12</f>
        <v>0.42479243211144901</v>
      </c>
      <c r="AW197" s="21">
        <f>EXP(-LN(2)/2)*AW196+(1-EXP(-LN(2)/2))/(LN(2)/2)*AQ197*AT197*VLOOKUP('Données projet'!$B$10,Paramètres!$A$1:$I$89,3,0)*0.475*44/12</f>
        <v>1.7121498567839221E-26</v>
      </c>
      <c r="AX197" s="21">
        <f t="shared" si="166"/>
        <v>12.760839294177069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319</v>
      </c>
      <c r="BE197" s="13">
        <f>BD197*VLOOKUP('Données projet'!$B$11,Paramètres!$A$1:$I$89,3,0)*VLOOKUP('Données projet'!$B$11,Paramètres!$A$1:$I$89,5,0)</f>
        <v>253.79640000000001</v>
      </c>
      <c r="BF197" s="13">
        <f t="shared" si="167"/>
        <v>61.39816832228076</v>
      </c>
      <c r="BG197" s="20">
        <f t="shared" si="168"/>
        <v>548.96387316130563</v>
      </c>
      <c r="BH197" s="59">
        <f t="shared" si="194"/>
        <v>842.29720649463889</v>
      </c>
      <c r="BI197" s="59">
        <f ca="1">AVERAGE(OFFSET($BH$3,0,0,'Données projet'!$E$11+1,1))-AVERAGE(OFFSET($H$3,0,0,'Données projet'!$E$11+1,1))</f>
        <v>279.49721661620544</v>
      </c>
      <c r="BJ197" s="59">
        <f t="shared" ref="BJ197:BJ203" si="206">$BJ$3</f>
        <v>275.18739333988754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5.5610213819952019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5.5610213819952019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732.99999999999966</v>
      </c>
      <c r="BZ197" s="13">
        <f>BY197*VLOOKUP('Données projet'!$B$12,Paramètres!$A$1:$I$89,3,0)*VLOOKUP('Données projet'!$B$12,Paramètres!$A$1:$I$89,5,0)</f>
        <v>352.57299999999987</v>
      </c>
      <c r="CA197" s="13">
        <f t="shared" si="170"/>
        <v>82.092092597941644</v>
      </c>
      <c r="CB197" s="20">
        <f t="shared" si="171"/>
        <v>757.04170294141477</v>
      </c>
      <c r="CC197" s="59">
        <f t="shared" si="195"/>
        <v>1050.375036274748</v>
      </c>
      <c r="CD197" s="59">
        <f ca="1">AVERAGE(OFFSET($CC$3,0,0,'Données projet'!$E$12+1,1))-AVERAGE(OFFSET($H$3,0,0,'Données projet'!$E$12+1,1))</f>
        <v>349.65790906807746</v>
      </c>
      <c r="CE197" s="59">
        <f t="shared" ref="CE197:CE203" si="207">$CE$3</f>
        <v>291.88925884278888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13.231926110641957</v>
      </c>
      <c r="CL197" s="21">
        <f>EXP(-LN(2)/25)*CL196+(1-EXP(-LN(2)/25))/(LN(2)/25)*Calculateur!CG197*Calculateur!CI197*VLOOKUP('Données projet'!$B$12,Paramètres!$A$1:$I$89,3,0)*0.475*44/12</f>
        <v>0.43659222189232394</v>
      </c>
      <c r="CM197" s="21">
        <f>EXP(-LN(2)/2)*CM196+(1-EXP(-LN(2)/2))/(LN(2)/2)*CG197*CJ197*VLOOKUP('Données projet'!$B$12,Paramètres!$A$1:$I$89,3,0)*0.475*44/12</f>
        <v>1.0558257450167511E-26</v>
      </c>
      <c r="CN197" s="22">
        <f t="shared" si="172"/>
        <v>13.668518332534282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285.99999999999972</v>
      </c>
      <c r="CU197" s="17">
        <f>CT197*VLOOKUP('Données projet'!$B$13,Paramètres!$A$1:$I$89,3,0)*VLOOKUP('Données projet'!$B$13,Paramètres!$A$1:$I$89,5,0)</f>
        <v>223.07999999999979</v>
      </c>
      <c r="CV197" s="13">
        <f t="shared" si="173"/>
        <v>54.783765878062617</v>
      </c>
      <c r="CW197" s="20">
        <f t="shared" si="174"/>
        <v>483.94605890429199</v>
      </c>
      <c r="CX197" s="59">
        <f t="shared" si="196"/>
        <v>777.2793922376253</v>
      </c>
      <c r="CY197" s="59">
        <f ca="1">AVERAGE(OFFSET($CX$3,0,0,'Données projet'!$E$13+1,1))-AVERAGE(OFFSET($H$3,0,0,'Données projet'!$E$13+1,1))</f>
        <v>215.84581110302656</v>
      </c>
      <c r="CZ197" s="59">
        <f t="shared" ref="CZ197:CZ203" si="208">$CZ$3</f>
        <v>193.88588526156104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5.0339671497182765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5.0339671497182765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401</v>
      </c>
      <c r="O198" s="13">
        <f>N198*VLOOKUP('Données projet'!$B$9,Paramètres!$A$1:$I$89,3,0)*VLOOKUP('Données projet'!$B$9,Paramètres!$A$1:$I$89,5,0)</f>
        <v>250.22399999999999</v>
      </c>
      <c r="P198" s="13">
        <f t="shared" si="203"/>
        <v>60.633904580527918</v>
      </c>
      <c r="Q198" s="20">
        <f t="shared" si="162"/>
        <v>541.41085047775289</v>
      </c>
      <c r="R198" s="59">
        <f t="shared" si="191"/>
        <v>834.74418381108626</v>
      </c>
      <c r="S198" s="59">
        <f ca="1">AVERAGE(OFFSET($R$3,0,0,'Données projet'!$E$9+1,1))-AVERAGE(OFFSET($H$3,0,0,'Données projet'!$E$9+1,1))</f>
        <v>269.77739619445515</v>
      </c>
      <c r="T198" s="59">
        <f t="shared" si="204"/>
        <v>347.56964743629885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5.2843347018303239</v>
      </c>
      <c r="AA198" s="21">
        <f>EXP(-LN(2)/25)*AA197+(1-EXP(-LN(2)/25))/(LN(2)/25)*Calculateur!V198*Calculateur!X198*VLOOKUP('Données projet'!$B$9,Paramètres!$A$1:$I$89,3,0)*0.475*44/12</f>
        <v>0.94573865659866241</v>
      </c>
      <c r="AB198" s="21">
        <f>EXP(-LN(2)/2)*AB197+(1-EXP(-LN(2)/2))/(LN(2)/2)*V198*Y198*VLOOKUP('Données projet'!$B$9,Paramètres!$A$1:$I$89,3,0)*0.475*44/12</f>
        <v>3.6320183224184593E-27</v>
      </c>
      <c r="AC198" s="22">
        <f t="shared" si="163"/>
        <v>6.230073358428986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735.00000000000011</v>
      </c>
      <c r="AJ198" s="13">
        <f>AI198*VLOOKUP('Données projet'!$B$10,Paramètres!$A$1:$I$89,3,0)*VLOOKUP('Données projet'!$B$10,Paramètres!$A$1:$I$89,5,0)</f>
        <v>343.98</v>
      </c>
      <c r="AK198" s="13">
        <f t="shared" si="164"/>
        <v>80.321681832084693</v>
      </c>
      <c r="AL198" s="20">
        <f t="shared" si="165"/>
        <v>738.9920958575475</v>
      </c>
      <c r="AM198" s="59">
        <f t="shared" si="193"/>
        <v>1032.3254291908809</v>
      </c>
      <c r="AN198" s="59">
        <f ca="1">AVERAGE(OFFSET($AM$3,0,0,'Données projet'!$E$10+1,1))-AVERAGE(OFFSET($H$3,0,0,'Données projet'!$E$10+1,1))</f>
        <v>342.49944586217674</v>
      </c>
      <c r="AO198" s="59">
        <f t="shared" si="205"/>
        <v>282.29766600872563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12.094144507346142</v>
      </c>
      <c r="AV198" s="21">
        <f>EXP(-LN(2)/25)*AV197+(1-EXP(-LN(2)/25))/(LN(2)/25)*Calculateur!AQ198*Calculateur!AS198*VLOOKUP('Données projet'!$B$10,Paramètres!$A$1:$I$89,3,0)*0.475*44/12</f>
        <v>0.41317646071649833</v>
      </c>
      <c r="AW198" s="21">
        <f>EXP(-LN(2)/2)*AW197+(1-EXP(-LN(2)/2))/(LN(2)/2)*AQ198*AT198*VLOOKUP('Données projet'!$B$10,Paramètres!$A$1:$I$89,3,0)*0.475*44/12</f>
        <v>1.2106727741394875E-26</v>
      </c>
      <c r="AX198" s="21">
        <f t="shared" si="166"/>
        <v>12.50732096806264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319</v>
      </c>
      <c r="BE198" s="13">
        <f>BD198*VLOOKUP('Données projet'!$B$11,Paramètres!$A$1:$I$89,3,0)*VLOOKUP('Données projet'!$B$11,Paramètres!$A$1:$I$89,5,0)</f>
        <v>253.79640000000001</v>
      </c>
      <c r="BF198" s="13">
        <f t="shared" si="167"/>
        <v>61.39816832228076</v>
      </c>
      <c r="BG198" s="20">
        <f t="shared" si="168"/>
        <v>548.96387316130563</v>
      </c>
      <c r="BH198" s="59">
        <f t="shared" si="194"/>
        <v>842.29720649463889</v>
      </c>
      <c r="BI198" s="59">
        <f ca="1">AVERAGE(OFFSET($BH$3,0,0,'Données projet'!$E$11+1,1))-AVERAGE(OFFSET($H$3,0,0,'Données projet'!$E$11+1,1))</f>
        <v>279.49721661620544</v>
      </c>
      <c r="BJ198" s="59">
        <f t="shared" si="206"/>
        <v>275.18739333988754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5.4519731445823982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5.4519731445823982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732.99999999999966</v>
      </c>
      <c r="BZ198" s="13">
        <f>BY198*VLOOKUP('Données projet'!$B$12,Paramètres!$A$1:$I$89,3,0)*VLOOKUP('Données projet'!$B$12,Paramètres!$A$1:$I$89,5,0)</f>
        <v>352.57299999999987</v>
      </c>
      <c r="CA198" s="13">
        <f t="shared" si="170"/>
        <v>82.092092597941644</v>
      </c>
      <c r="CB198" s="20">
        <f t="shared" si="171"/>
        <v>757.04170294141477</v>
      </c>
      <c r="CC198" s="59">
        <f t="shared" si="195"/>
        <v>1050.375036274748</v>
      </c>
      <c r="CD198" s="59">
        <f ca="1">AVERAGE(OFFSET($CC$3,0,0,'Données projet'!$E$12+1,1))-AVERAGE(OFFSET($H$3,0,0,'Données projet'!$E$12+1,1))</f>
        <v>349.65790906807746</v>
      </c>
      <c r="CE198" s="59">
        <f t="shared" si="207"/>
        <v>291.88925884278888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12.972456110290283</v>
      </c>
      <c r="CL198" s="21">
        <f>EXP(-LN(2)/25)*CL197+(1-EXP(-LN(2)/25))/(LN(2)/25)*Calculateur!CG198*Calculateur!CI198*VLOOKUP('Données projet'!$B$12,Paramètres!$A$1:$I$89,3,0)*0.475*44/12</f>
        <v>0.42465358462529124</v>
      </c>
      <c r="CM198" s="21">
        <f>EXP(-LN(2)/2)*CM197+(1-EXP(-LN(2)/2))/(LN(2)/2)*CG198*CJ198*VLOOKUP('Données projet'!$B$12,Paramètres!$A$1:$I$89,3,0)*0.475*44/12</f>
        <v>7.4658154405268337E-27</v>
      </c>
      <c r="CN198" s="22">
        <f t="shared" si="172"/>
        <v>13.397109694915574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285.99999999999972</v>
      </c>
      <c r="CU198" s="17">
        <f>CT198*VLOOKUP('Données projet'!$B$13,Paramètres!$A$1:$I$89,3,0)*VLOOKUP('Données projet'!$B$13,Paramètres!$A$1:$I$89,5,0)</f>
        <v>223.07999999999979</v>
      </c>
      <c r="CV198" s="13">
        <f t="shared" si="173"/>
        <v>54.783765878062617</v>
      </c>
      <c r="CW198" s="20">
        <f t="shared" si="174"/>
        <v>483.94605890429199</v>
      </c>
      <c r="CX198" s="59">
        <f t="shared" si="196"/>
        <v>777.2793922376253</v>
      </c>
      <c r="CY198" s="59">
        <f ca="1">AVERAGE(OFFSET($CX$3,0,0,'Données projet'!$E$13+1,1))-AVERAGE(OFFSET($H$3,0,0,'Données projet'!$E$13+1,1))</f>
        <v>215.84581110302656</v>
      </c>
      <c r="CZ198" s="59">
        <f t="shared" si="208"/>
        <v>193.88588526156104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4.9352541243290844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4.9352541243290844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401</v>
      </c>
      <c r="O199" s="13">
        <f>N199*VLOOKUP('Données projet'!$B$9,Paramètres!$A$1:$I$89,3,0)*VLOOKUP('Données projet'!$B$9,Paramètres!$A$1:$I$89,5,0)</f>
        <v>250.22399999999999</v>
      </c>
      <c r="P199" s="13">
        <f t="shared" si="203"/>
        <v>60.633904580527918</v>
      </c>
      <c r="Q199" s="20">
        <f t="shared" si="162"/>
        <v>541.41085047775289</v>
      </c>
      <c r="R199" s="59">
        <f t="shared" si="191"/>
        <v>834.74418381108626</v>
      </c>
      <c r="S199" s="59">
        <f ca="1">AVERAGE(OFFSET($R$3,0,0,'Données projet'!$E$9+1,1))-AVERAGE(OFFSET($H$3,0,0,'Données projet'!$E$9+1,1))</f>
        <v>269.77739619445515</v>
      </c>
      <c r="T199" s="59">
        <f t="shared" si="204"/>
        <v>347.56964743629885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5.1807121214533423</v>
      </c>
      <c r="AA199" s="21">
        <f>EXP(-LN(2)/25)*AA198+(1-EXP(-LN(2)/25))/(LN(2)/25)*Calculateur!V199*Calculateur!X199*VLOOKUP('Données projet'!$B$9,Paramètres!$A$1:$I$89,3,0)*0.475*44/12</f>
        <v>0.91987738329973756</v>
      </c>
      <c r="AB199" s="21">
        <f>EXP(-LN(2)/2)*AB198+(1-EXP(-LN(2)/2))/(LN(2)/2)*V199*Y199*VLOOKUP('Données projet'!$B$9,Paramètres!$A$1:$I$89,3,0)*0.475*44/12</f>
        <v>2.5682247851758809E-27</v>
      </c>
      <c r="AC199" s="22">
        <f t="shared" si="163"/>
        <v>6.1005895047530796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735.00000000000011</v>
      </c>
      <c r="AJ199" s="13">
        <f>AI199*VLOOKUP('Données projet'!$B$10,Paramètres!$A$1:$I$89,3,0)*VLOOKUP('Données projet'!$B$10,Paramètres!$A$1:$I$89,5,0)</f>
        <v>343.98</v>
      </c>
      <c r="AK199" s="13">
        <f t="shared" si="164"/>
        <v>80.321681832084693</v>
      </c>
      <c r="AL199" s="20">
        <f t="shared" si="165"/>
        <v>738.9920958575475</v>
      </c>
      <c r="AM199" s="59">
        <f t="shared" si="193"/>
        <v>1032.3254291908809</v>
      </c>
      <c r="AN199" s="59">
        <f ca="1">AVERAGE(OFFSET($AM$3,0,0,'Données projet'!$E$10+1,1))-AVERAGE(OFFSET($H$3,0,0,'Données projet'!$E$10+1,1))</f>
        <v>342.49944586217674</v>
      </c>
      <c r="AO199" s="59">
        <f t="shared" si="205"/>
        <v>282.29766600872563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11.856985710256845</v>
      </c>
      <c r="AV199" s="21">
        <f>EXP(-LN(2)/25)*AV198+(1-EXP(-LN(2)/25))/(LN(2)/25)*Calculateur!AQ199*Calculateur!AS199*VLOOKUP('Données projet'!$B$10,Paramètres!$A$1:$I$89,3,0)*0.475*44/12</f>
        <v>0.40187812867019995</v>
      </c>
      <c r="AW199" s="21">
        <f>EXP(-LN(2)/2)*AW198+(1-EXP(-LN(2)/2))/(LN(2)/2)*AQ199*AT199*VLOOKUP('Données projet'!$B$10,Paramètres!$A$1:$I$89,3,0)*0.475*44/12</f>
        <v>8.5607492839196103E-27</v>
      </c>
      <c r="AX199" s="21">
        <f t="shared" si="166"/>
        <v>12.258863838927045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319</v>
      </c>
      <c r="BE199" s="13">
        <f>BD199*VLOOKUP('Données projet'!$B$11,Paramètres!$A$1:$I$89,3,0)*VLOOKUP('Données projet'!$B$11,Paramètres!$A$1:$I$89,5,0)</f>
        <v>253.79640000000001</v>
      </c>
      <c r="BF199" s="13">
        <f t="shared" si="167"/>
        <v>61.39816832228076</v>
      </c>
      <c r="BG199" s="20">
        <f t="shared" si="168"/>
        <v>548.96387316130563</v>
      </c>
      <c r="BH199" s="59">
        <f t="shared" si="194"/>
        <v>842.29720649463889</v>
      </c>
      <c r="BI199" s="59">
        <f ca="1">AVERAGE(OFFSET($BH$3,0,0,'Données projet'!$E$11+1,1))-AVERAGE(OFFSET($H$3,0,0,'Données projet'!$E$11+1,1))</f>
        <v>279.49721661620544</v>
      </c>
      <c r="BJ199" s="59">
        <f t="shared" si="206"/>
        <v>275.18739333988754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5.345063276592402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5.345063276592402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732.99999999999966</v>
      </c>
      <c r="BZ199" s="13">
        <f>BY199*VLOOKUP('Données projet'!$B$12,Paramètres!$A$1:$I$89,3,0)*VLOOKUP('Données projet'!$B$12,Paramètres!$A$1:$I$89,5,0)</f>
        <v>352.57299999999987</v>
      </c>
      <c r="CA199" s="13">
        <f t="shared" si="170"/>
        <v>82.092092597941644</v>
      </c>
      <c r="CB199" s="20">
        <f t="shared" si="171"/>
        <v>757.04170294141477</v>
      </c>
      <c r="CC199" s="59">
        <f t="shared" si="195"/>
        <v>1050.375036274748</v>
      </c>
      <c r="CD199" s="59">
        <f ca="1">AVERAGE(OFFSET($CC$3,0,0,'Données projet'!$E$12+1,1))-AVERAGE(OFFSET($H$3,0,0,'Données projet'!$E$12+1,1))</f>
        <v>349.65790906807746</v>
      </c>
      <c r="CE199" s="59">
        <f t="shared" si="207"/>
        <v>291.88925884278888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12.718074158384431</v>
      </c>
      <c r="CL199" s="21">
        <f>EXP(-LN(2)/25)*CL198+(1-EXP(-LN(2)/25))/(LN(2)/25)*Calculateur!CG199*Calculateur!CI199*VLOOKUP('Données projet'!$B$12,Paramètres!$A$1:$I$89,3,0)*0.475*44/12</f>
        <v>0.41304141002215117</v>
      </c>
      <c r="CM199" s="21">
        <f>EXP(-LN(2)/2)*CM198+(1-EXP(-LN(2)/2))/(LN(2)/2)*CG199*CJ199*VLOOKUP('Données projet'!$B$12,Paramètres!$A$1:$I$89,3,0)*0.475*44/12</f>
        <v>5.2791287250837557E-27</v>
      </c>
      <c r="CN199" s="22">
        <f t="shared" si="172"/>
        <v>13.131115568406582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285.99999999999972</v>
      </c>
      <c r="CU199" s="17">
        <f>CT199*VLOOKUP('Données projet'!$B$13,Paramètres!$A$1:$I$89,3,0)*VLOOKUP('Données projet'!$B$13,Paramètres!$A$1:$I$89,5,0)</f>
        <v>223.07999999999979</v>
      </c>
      <c r="CV199" s="13">
        <f t="shared" si="173"/>
        <v>54.783765878062617</v>
      </c>
      <c r="CW199" s="20">
        <f t="shared" si="174"/>
        <v>483.94605890429199</v>
      </c>
      <c r="CX199" s="59">
        <f t="shared" si="196"/>
        <v>777.2793922376253</v>
      </c>
      <c r="CY199" s="59">
        <f ca="1">AVERAGE(OFFSET($CX$3,0,0,'Données projet'!$E$13+1,1))-AVERAGE(OFFSET($H$3,0,0,'Données projet'!$E$13+1,1))</f>
        <v>215.84581110302656</v>
      </c>
      <c r="CZ199" s="59">
        <f t="shared" si="208"/>
        <v>193.88588526156104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4.838476801158774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4.838476801158774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401</v>
      </c>
      <c r="O200" s="13">
        <f>N200*VLOOKUP('Données projet'!$B$9,Paramètres!$A$1:$I$89,3,0)*VLOOKUP('Données projet'!$B$9,Paramètres!$A$1:$I$89,5,0)</f>
        <v>250.22399999999999</v>
      </c>
      <c r="P200" s="13">
        <f t="shared" si="203"/>
        <v>60.633904580527918</v>
      </c>
      <c r="Q200" s="20">
        <f t="shared" si="162"/>
        <v>541.41085047775289</v>
      </c>
      <c r="R200" s="59">
        <f t="shared" si="191"/>
        <v>834.74418381108626</v>
      </c>
      <c r="S200" s="59">
        <f ca="1">AVERAGE(OFFSET($R$3,0,0,'Données projet'!$E$9+1,1))-AVERAGE(OFFSET($H$3,0,0,'Données projet'!$E$9+1,1))</f>
        <v>269.77739619445515</v>
      </c>
      <c r="T200" s="59">
        <f t="shared" si="204"/>
        <v>347.56964743629885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5.0791215166740198</v>
      </c>
      <c r="AA200" s="21">
        <f>EXP(-LN(2)/25)*AA199+(1-EXP(-LN(2)/25))/(LN(2)/25)*Calculateur!V200*Calculateur!X200*VLOOKUP('Données projet'!$B$9,Paramètres!$A$1:$I$89,3,0)*0.475*44/12</f>
        <v>0.894723287879157</v>
      </c>
      <c r="AB200" s="21">
        <f>EXP(-LN(2)/2)*AB199+(1-EXP(-LN(2)/2))/(LN(2)/2)*V200*Y200*VLOOKUP('Données projet'!$B$9,Paramètres!$A$1:$I$89,3,0)*0.475*44/12</f>
        <v>1.8160091612092296E-27</v>
      </c>
      <c r="AC200" s="22">
        <f t="shared" si="163"/>
        <v>5.9738448045531767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735.00000000000011</v>
      </c>
      <c r="AJ200" s="13">
        <f>AI200*VLOOKUP('Données projet'!$B$10,Paramètres!$A$1:$I$89,3,0)*VLOOKUP('Données projet'!$B$10,Paramètres!$A$1:$I$89,5,0)</f>
        <v>343.98</v>
      </c>
      <c r="AK200" s="13">
        <f t="shared" si="164"/>
        <v>80.321681832084693</v>
      </c>
      <c r="AL200" s="20">
        <f t="shared" si="165"/>
        <v>738.9920958575475</v>
      </c>
      <c r="AM200" s="59">
        <f t="shared" si="193"/>
        <v>1032.3254291908809</v>
      </c>
      <c r="AN200" s="59">
        <f ca="1">AVERAGE(OFFSET($AM$3,0,0,'Données projet'!$E$10+1,1))-AVERAGE(OFFSET($H$3,0,0,'Données projet'!$E$10+1,1))</f>
        <v>342.49944586217674</v>
      </c>
      <c r="AO200" s="59">
        <f t="shared" si="205"/>
        <v>282.29766600872563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11.624477452525886</v>
      </c>
      <c r="AV200" s="21">
        <f>EXP(-LN(2)/25)*AV199+(1-EXP(-LN(2)/25))/(LN(2)/25)*Calculateur!AQ200*Calculateur!AS200*VLOOKUP('Données projet'!$B$10,Paramètres!$A$1:$I$89,3,0)*0.475*44/12</f>
        <v>0.39088875010786106</v>
      </c>
      <c r="AW200" s="21">
        <f>EXP(-LN(2)/2)*AW199+(1-EXP(-LN(2)/2))/(LN(2)/2)*AQ200*AT200*VLOOKUP('Données projet'!$B$10,Paramètres!$A$1:$I$89,3,0)*0.475*44/12</f>
        <v>6.0533638706974374E-27</v>
      </c>
      <c r="AX200" s="21">
        <f t="shared" si="166"/>
        <v>12.015366202633746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319</v>
      </c>
      <c r="BE200" s="13">
        <f>BD200*VLOOKUP('Données projet'!$B$11,Paramètres!$A$1:$I$89,3,0)*VLOOKUP('Données projet'!$B$11,Paramètres!$A$1:$I$89,5,0)</f>
        <v>253.79640000000001</v>
      </c>
      <c r="BF200" s="13">
        <f t="shared" si="167"/>
        <v>61.39816832228076</v>
      </c>
      <c r="BG200" s="20">
        <f t="shared" si="168"/>
        <v>548.96387316130563</v>
      </c>
      <c r="BH200" s="59">
        <f t="shared" si="194"/>
        <v>842.29720649463889</v>
      </c>
      <c r="BI200" s="59">
        <f ca="1">AVERAGE(OFFSET($BH$3,0,0,'Données projet'!$E$11+1,1))-AVERAGE(OFFSET($H$3,0,0,'Données projet'!$E$11+1,1))</f>
        <v>279.49721661620544</v>
      </c>
      <c r="BJ200" s="59">
        <f t="shared" si="206"/>
        <v>275.18739333988754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5.240249845905109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5.240249845905109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732.99999999999966</v>
      </c>
      <c r="BZ200" s="13">
        <f>BY200*VLOOKUP('Données projet'!$B$12,Paramètres!$A$1:$I$89,3,0)*VLOOKUP('Données projet'!$B$12,Paramètres!$A$1:$I$89,5,0)</f>
        <v>352.57299999999987</v>
      </c>
      <c r="CA200" s="13">
        <f t="shared" si="170"/>
        <v>82.092092597941644</v>
      </c>
      <c r="CB200" s="20">
        <f t="shared" si="171"/>
        <v>757.04170294141477</v>
      </c>
      <c r="CC200" s="59">
        <f t="shared" si="195"/>
        <v>1050.375036274748</v>
      </c>
      <c r="CD200" s="59">
        <f ca="1">AVERAGE(OFFSET($CC$3,0,0,'Données projet'!$E$12+1,1))-AVERAGE(OFFSET($H$3,0,0,'Données projet'!$E$12+1,1))</f>
        <v>349.65790906807746</v>
      </c>
      <c r="CE200" s="59">
        <f t="shared" si="207"/>
        <v>291.88925884278888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12.468680481397783</v>
      </c>
      <c r="CL200" s="21">
        <f>EXP(-LN(2)/25)*CL199+(1-EXP(-LN(2)/25))/(LN(2)/25)*Calculateur!CG200*Calculateur!CI200*VLOOKUP('Données projet'!$B$12,Paramètres!$A$1:$I$89,3,0)*0.475*44/12</f>
        <v>0.4017467709441917</v>
      </c>
      <c r="CM200" s="21">
        <f>EXP(-LN(2)/2)*CM199+(1-EXP(-LN(2)/2))/(LN(2)/2)*CG200*CJ200*VLOOKUP('Données projet'!$B$12,Paramètres!$A$1:$I$89,3,0)*0.475*44/12</f>
        <v>3.7329077202634169E-27</v>
      </c>
      <c r="CN200" s="22">
        <f t="shared" si="172"/>
        <v>12.870427252341974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285.99999999999972</v>
      </c>
      <c r="CU200" s="17">
        <f>CT200*VLOOKUP('Données projet'!$B$13,Paramètres!$A$1:$I$89,3,0)*VLOOKUP('Données projet'!$B$13,Paramètres!$A$1:$I$89,5,0)</f>
        <v>223.07999999999979</v>
      </c>
      <c r="CV200" s="13">
        <f t="shared" si="173"/>
        <v>54.783765878062617</v>
      </c>
      <c r="CW200" s="20">
        <f t="shared" si="174"/>
        <v>483.94605890429199</v>
      </c>
      <c r="CX200" s="59">
        <f t="shared" si="196"/>
        <v>777.2793922376253</v>
      </c>
      <c r="CY200" s="59">
        <f ca="1">AVERAGE(OFFSET($CX$3,0,0,'Données projet'!$E$13+1,1))-AVERAGE(OFFSET($H$3,0,0,'Données projet'!$E$13+1,1))</f>
        <v>215.84581110302656</v>
      </c>
      <c r="CZ200" s="59">
        <f t="shared" si="208"/>
        <v>193.88588526156104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4.7435972222674945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4.7435972222674945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401</v>
      </c>
      <c r="O201" s="13">
        <f>N201*VLOOKUP('Données projet'!$B$9,Paramètres!$A$1:$I$89,3,0)*VLOOKUP('Données projet'!$B$9,Paramètres!$A$1:$I$89,5,0)</f>
        <v>250.22399999999999</v>
      </c>
      <c r="P201" s="13">
        <f t="shared" si="203"/>
        <v>60.633904580527918</v>
      </c>
      <c r="Q201" s="20">
        <f t="shared" si="162"/>
        <v>541.41085047775289</v>
      </c>
      <c r="R201" s="59">
        <f t="shared" si="191"/>
        <v>834.74418381108626</v>
      </c>
      <c r="S201" s="59">
        <f ca="1">AVERAGE(OFFSET($R$3,0,0,'Données projet'!$E$9+1,1))-AVERAGE(OFFSET($H$3,0,0,'Données projet'!$E$9+1,1))</f>
        <v>269.77739619445515</v>
      </c>
      <c r="T201" s="59">
        <f t="shared" si="204"/>
        <v>347.56964743629885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4.9795230416902694</v>
      </c>
      <c r="AA201" s="21">
        <f>EXP(-LN(2)/25)*AA200+(1-EXP(-LN(2)/25))/(LN(2)/25)*Calculateur!V201*Calculateur!X201*VLOOKUP('Données projet'!$B$9,Paramètres!$A$1:$I$89,3,0)*0.475*44/12</f>
        <v>0.87025703252064868</v>
      </c>
      <c r="AB201" s="21">
        <f>EXP(-LN(2)/2)*AB200+(1-EXP(-LN(2)/2))/(LN(2)/2)*V201*Y201*VLOOKUP('Données projet'!$B$9,Paramètres!$A$1:$I$89,3,0)*0.475*44/12</f>
        <v>1.2841123925879405E-27</v>
      </c>
      <c r="AC201" s="22">
        <f t="shared" si="163"/>
        <v>5.8497800742109183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735.00000000000011</v>
      </c>
      <c r="AJ201" s="13">
        <f>AI201*VLOOKUP('Données projet'!$B$10,Paramètres!$A$1:$I$89,3,0)*VLOOKUP('Données projet'!$B$10,Paramètres!$A$1:$I$89,5,0)</f>
        <v>343.98</v>
      </c>
      <c r="AK201" s="13">
        <f t="shared" si="164"/>
        <v>80.321681832084693</v>
      </c>
      <c r="AL201" s="20">
        <f t="shared" si="165"/>
        <v>738.9920958575475</v>
      </c>
      <c r="AM201" s="59">
        <f t="shared" si="193"/>
        <v>1032.3254291908809</v>
      </c>
      <c r="AN201" s="59">
        <f ca="1">AVERAGE(OFFSET($AM$3,0,0,'Données projet'!$E$10+1,1))-AVERAGE(OFFSET($H$3,0,0,'Données projet'!$E$10+1,1))</f>
        <v>342.49944586217674</v>
      </c>
      <c r="AO201" s="59">
        <f t="shared" si="205"/>
        <v>282.29766600872563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11.396528539912998</v>
      </c>
      <c r="AV201" s="21">
        <f>EXP(-LN(2)/25)*AV200+(1-EXP(-LN(2)/25))/(LN(2)/25)*Calculateur!AQ201*Calculateur!AS201*VLOOKUP('Données projet'!$B$10,Paramètres!$A$1:$I$89,3,0)*0.475*44/12</f>
        <v>0.3801998766802156</v>
      </c>
      <c r="AW201" s="21">
        <f>EXP(-LN(2)/2)*AW200+(1-EXP(-LN(2)/2))/(LN(2)/2)*AQ201*AT201*VLOOKUP('Données projet'!$B$10,Paramètres!$A$1:$I$89,3,0)*0.475*44/12</f>
        <v>4.2803746419598052E-27</v>
      </c>
      <c r="AX201" s="21">
        <f t="shared" si="166"/>
        <v>11.776728416593214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319</v>
      </c>
      <c r="BE201" s="13">
        <f>BD201*VLOOKUP('Données projet'!$B$11,Paramètres!$A$1:$I$89,3,0)*VLOOKUP('Données projet'!$B$11,Paramètres!$A$1:$I$89,5,0)</f>
        <v>253.79640000000001</v>
      </c>
      <c r="BF201" s="13">
        <f t="shared" si="167"/>
        <v>61.39816832228076</v>
      </c>
      <c r="BG201" s="20">
        <f t="shared" si="168"/>
        <v>548.96387316130563</v>
      </c>
      <c r="BH201" s="59">
        <f t="shared" si="194"/>
        <v>842.29720649463889</v>
      </c>
      <c r="BI201" s="59">
        <f ca="1">AVERAGE(OFFSET($BH$3,0,0,'Données projet'!$E$11+1,1))-AVERAGE(OFFSET($H$3,0,0,'Données projet'!$E$11+1,1))</f>
        <v>279.49721661620544</v>
      </c>
      <c r="BJ201" s="59">
        <f t="shared" si="206"/>
        <v>275.18739333988754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5.1374917426637134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5.1374917426637134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732.99999999999966</v>
      </c>
      <c r="BZ201" s="13">
        <f>BY201*VLOOKUP('Données projet'!$B$12,Paramètres!$A$1:$I$89,3,0)*VLOOKUP('Données projet'!$B$12,Paramètres!$A$1:$I$89,5,0)</f>
        <v>352.57299999999987</v>
      </c>
      <c r="CA201" s="13">
        <f t="shared" si="170"/>
        <v>82.092092597941644</v>
      </c>
      <c r="CB201" s="20">
        <f t="shared" si="171"/>
        <v>757.04170294141477</v>
      </c>
      <c r="CC201" s="59">
        <f t="shared" si="195"/>
        <v>1050.375036274748</v>
      </c>
      <c r="CD201" s="59">
        <f ca="1">AVERAGE(OFFSET($CC$3,0,0,'Données projet'!$E$12+1,1))-AVERAGE(OFFSET($H$3,0,0,'Données projet'!$E$12+1,1))</f>
        <v>349.65790906807746</v>
      </c>
      <c r="CE201" s="59">
        <f t="shared" si="207"/>
        <v>291.88925884278888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12.224177262301721</v>
      </c>
      <c r="CL201" s="21">
        <f>EXP(-LN(2)/25)*CL200+(1-EXP(-LN(2)/25))/(LN(2)/25)*Calculateur!CG201*Calculateur!CI201*VLOOKUP('Données projet'!$B$12,Paramètres!$A$1:$I$89,3,0)*0.475*44/12</f>
        <v>0.39076098436577827</v>
      </c>
      <c r="CM201" s="21">
        <f>EXP(-LN(2)/2)*CM200+(1-EXP(-LN(2)/2))/(LN(2)/2)*CG201*CJ201*VLOOKUP('Données projet'!$B$12,Paramètres!$A$1:$I$89,3,0)*0.475*44/12</f>
        <v>2.6395643625418779E-27</v>
      </c>
      <c r="CN201" s="22">
        <f t="shared" si="172"/>
        <v>12.614938246667499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285.99999999999972</v>
      </c>
      <c r="CU201" s="17">
        <f>CT201*VLOOKUP('Données projet'!$B$13,Paramètres!$A$1:$I$89,3,0)*VLOOKUP('Données projet'!$B$13,Paramètres!$A$1:$I$89,5,0)</f>
        <v>223.07999999999979</v>
      </c>
      <c r="CV201" s="13">
        <f t="shared" si="173"/>
        <v>54.783765878062617</v>
      </c>
      <c r="CW201" s="20">
        <f t="shared" si="174"/>
        <v>483.94605890429199</v>
      </c>
      <c r="CX201" s="59">
        <f t="shared" si="196"/>
        <v>777.2793922376253</v>
      </c>
      <c r="CY201" s="59">
        <f ca="1">AVERAGE(OFFSET($CX$3,0,0,'Données projet'!$E$13+1,1))-AVERAGE(OFFSET($H$3,0,0,'Données projet'!$E$13+1,1))</f>
        <v>215.84581110302656</v>
      </c>
      <c r="CZ201" s="59">
        <f t="shared" si="208"/>
        <v>193.88588526156104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4.6505781740474443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4.6505781740474443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401</v>
      </c>
      <c r="O202" s="13">
        <f>N202*VLOOKUP('Données projet'!$B$9,Paramètres!$A$1:$I$89,3,0)*VLOOKUP('Données projet'!$B$9,Paramètres!$A$1:$I$89,5,0)</f>
        <v>250.22399999999999</v>
      </c>
      <c r="P202" s="13">
        <f t="shared" si="203"/>
        <v>60.633904580527918</v>
      </c>
      <c r="Q202" s="20">
        <f t="shared" si="162"/>
        <v>541.41085047775289</v>
      </c>
      <c r="R202" s="59">
        <f t="shared" si="191"/>
        <v>834.74418381108626</v>
      </c>
      <c r="S202" s="59">
        <f ca="1">AVERAGE(OFFSET($R$3,0,0,'Données projet'!$E$9+1,1))-AVERAGE(OFFSET($H$3,0,0,'Données projet'!$E$9+1,1))</f>
        <v>269.77739619445515</v>
      </c>
      <c r="T202" s="59">
        <f t="shared" si="204"/>
        <v>347.56964743629885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4.8818776320518795</v>
      </c>
      <c r="AA202" s="21">
        <f>EXP(-LN(2)/25)*AA201+(1-EXP(-LN(2)/25))/(LN(2)/25)*Calculateur!V202*Calculateur!X202*VLOOKUP('Données projet'!$B$9,Paramètres!$A$1:$I$89,3,0)*0.475*44/12</f>
        <v>0.84645980820154321</v>
      </c>
      <c r="AB202" s="21">
        <f>EXP(-LN(2)/2)*AB201+(1-EXP(-LN(2)/2))/(LN(2)/2)*V202*Y202*VLOOKUP('Données projet'!$B$9,Paramètres!$A$1:$I$89,3,0)*0.475*44/12</f>
        <v>9.0800458060461481E-28</v>
      </c>
      <c r="AC202" s="22">
        <f t="shared" si="163"/>
        <v>5.7283374402534228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735.00000000000011</v>
      </c>
      <c r="AJ202" s="13">
        <f>AI202*VLOOKUP('Données projet'!$B$10,Paramètres!$A$1:$I$89,3,0)*VLOOKUP('Données projet'!$B$10,Paramètres!$A$1:$I$89,5,0)</f>
        <v>343.98</v>
      </c>
      <c r="AK202" s="13">
        <f t="shared" si="164"/>
        <v>80.321681832084693</v>
      </c>
      <c r="AL202" s="20">
        <f t="shared" si="165"/>
        <v>738.9920958575475</v>
      </c>
      <c r="AM202" s="59">
        <f t="shared" si="193"/>
        <v>1032.3254291908809</v>
      </c>
      <c r="AN202" s="59">
        <f ca="1">AVERAGE(OFFSET($AM$3,0,0,'Données projet'!$E$10+1,1))-AVERAGE(OFFSET($H$3,0,0,'Données projet'!$E$10+1,1))</f>
        <v>342.49944586217674</v>
      </c>
      <c r="AO202" s="59">
        <f t="shared" si="205"/>
        <v>282.29766600872563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11.173049566441339</v>
      </c>
      <c r="AV202" s="21">
        <f>EXP(-LN(2)/25)*AV201+(1-EXP(-LN(2)/25))/(LN(2)/25)*Calculateur!AQ202*Calculateur!AS202*VLOOKUP('Données projet'!$B$10,Paramètres!$A$1:$I$89,3,0)*0.475*44/12</f>
        <v>0.36980329105855253</v>
      </c>
      <c r="AW202" s="21">
        <f>EXP(-LN(2)/2)*AW201+(1-EXP(-LN(2)/2))/(LN(2)/2)*AQ202*AT202*VLOOKUP('Données projet'!$B$10,Paramètres!$A$1:$I$89,3,0)*0.475*44/12</f>
        <v>3.0266819353487187E-27</v>
      </c>
      <c r="AX202" s="21">
        <f t="shared" si="166"/>
        <v>11.542852857499891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319</v>
      </c>
      <c r="BE202" s="13">
        <f>BD202*VLOOKUP('Données projet'!$B$11,Paramètres!$A$1:$I$89,3,0)*VLOOKUP('Données projet'!$B$11,Paramètres!$A$1:$I$89,5,0)</f>
        <v>253.79640000000001</v>
      </c>
      <c r="BF202" s="13">
        <f t="shared" si="167"/>
        <v>61.39816832228076</v>
      </c>
      <c r="BG202" s="20">
        <f t="shared" si="168"/>
        <v>548.96387316130563</v>
      </c>
      <c r="BH202" s="59">
        <f t="shared" si="194"/>
        <v>842.29720649463889</v>
      </c>
      <c r="BI202" s="59">
        <f ca="1">AVERAGE(OFFSET($BH$3,0,0,'Données projet'!$E$11+1,1))-AVERAGE(OFFSET($H$3,0,0,'Données projet'!$E$11+1,1))</f>
        <v>279.49721661620544</v>
      </c>
      <c r="BJ202" s="59">
        <f t="shared" si="206"/>
        <v>275.18739333988754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5.036748663150628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5.036748663150628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732.99999999999966</v>
      </c>
      <c r="BZ202" s="13">
        <f>BY202*VLOOKUP('Données projet'!$B$12,Paramètres!$A$1:$I$89,3,0)*VLOOKUP('Données projet'!$B$12,Paramètres!$A$1:$I$89,5,0)</f>
        <v>352.57299999999987</v>
      </c>
      <c r="CA202" s="13">
        <f t="shared" si="170"/>
        <v>82.092092597941644</v>
      </c>
      <c r="CB202" s="20">
        <f t="shared" si="171"/>
        <v>757.04170294141477</v>
      </c>
      <c r="CC202" s="59">
        <f t="shared" si="195"/>
        <v>1050.375036274748</v>
      </c>
      <c r="CD202" s="59">
        <f ca="1">AVERAGE(OFFSET($CC$3,0,0,'Données projet'!$E$12+1,1))-AVERAGE(OFFSET($H$3,0,0,'Données projet'!$E$12+1,1))</f>
        <v>349.65790906807746</v>
      </c>
      <c r="CE202" s="59">
        <f t="shared" si="207"/>
        <v>291.88925884278888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11.984468602199895</v>
      </c>
      <c r="CL202" s="21">
        <f>EXP(-LN(2)/25)*CL201+(1-EXP(-LN(2)/25))/(LN(2)/25)*Calculateur!CG202*Calculateur!CI202*VLOOKUP('Données projet'!$B$12,Paramètres!$A$1:$I$89,3,0)*0.475*44/12</f>
        <v>0.38007560469906898</v>
      </c>
      <c r="CM202" s="21">
        <f>EXP(-LN(2)/2)*CM201+(1-EXP(-LN(2)/2))/(LN(2)/2)*CG202*CJ202*VLOOKUP('Données projet'!$B$12,Paramètres!$A$1:$I$89,3,0)*0.475*44/12</f>
        <v>1.8664538601317084E-27</v>
      </c>
      <c r="CN202" s="22">
        <f t="shared" si="172"/>
        <v>12.364544206898964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285.99999999999972</v>
      </c>
      <c r="CU202" s="17">
        <f>CT202*VLOOKUP('Données projet'!$B$13,Paramètres!$A$1:$I$89,3,0)*VLOOKUP('Données projet'!$B$13,Paramètres!$A$1:$I$89,5,0)</f>
        <v>223.07999999999979</v>
      </c>
      <c r="CV202" s="13">
        <f t="shared" si="173"/>
        <v>54.783765878062617</v>
      </c>
      <c r="CW202" s="20">
        <f t="shared" si="174"/>
        <v>483.94605890429199</v>
      </c>
      <c r="CX202" s="59">
        <f t="shared" si="196"/>
        <v>777.2793922376253</v>
      </c>
      <c r="CY202" s="59">
        <f ca="1">AVERAGE(OFFSET($CX$3,0,0,'Données projet'!$E$13+1,1))-AVERAGE(OFFSET($H$3,0,0,'Données projet'!$E$13+1,1))</f>
        <v>215.84581110302656</v>
      </c>
      <c r="CZ202" s="59">
        <f t="shared" si="208"/>
        <v>193.88588526156104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4.5593831726269718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4.5593831726269718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401</v>
      </c>
      <c r="O203" s="13">
        <f>N203*VLOOKUP('Données projet'!$B$9,Paramètres!$A$1:$I$89,3,0)*VLOOKUP('Données projet'!$B$9,Paramètres!$A$1:$I$89,5,0)</f>
        <v>250.22399999999999</v>
      </c>
      <c r="P203" s="13">
        <f t="shared" si="203"/>
        <v>60.633904580527918</v>
      </c>
      <c r="Q203" s="20">
        <f t="shared" si="162"/>
        <v>541.41085047775289</v>
      </c>
      <c r="R203" s="59">
        <f t="shared" si="191"/>
        <v>834.74418381108626</v>
      </c>
      <c r="S203" s="59">
        <f ca="1">AVERAGE(OFFSET($R$3,0,0,'Données projet'!$E$9+1,1))-AVERAGE(OFFSET($H$3,0,0,'Données projet'!$E$9+1,1))</f>
        <v>269.77739619445515</v>
      </c>
      <c r="T203" s="59">
        <f t="shared" si="204"/>
        <v>347.56964743629885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4.786146989338679</v>
      </c>
      <c r="AA203" s="21">
        <f>EXP(-LN(2)/25)*AA202+(1-EXP(-LN(2)/25))/(LN(2)/25)*Calculateur!V203*Calculateur!X203*VLOOKUP('Données projet'!$B$9,Paramètres!$A$1:$I$89,3,0)*0.475*44/12</f>
        <v>0.82331332023288528</v>
      </c>
      <c r="AB203" s="21">
        <f>EXP(-LN(2)/2)*AB202+(1-EXP(-LN(2)/2))/(LN(2)/2)*V203*Y203*VLOOKUP('Données projet'!$B$9,Paramètres!$A$1:$I$89,3,0)*0.475*44/12</f>
        <v>6.4205619629397024E-28</v>
      </c>
      <c r="AC203" s="22">
        <f t="shared" si="163"/>
        <v>5.6094603095715643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735.00000000000011</v>
      </c>
      <c r="AJ203" s="13">
        <f>AI203*VLOOKUP('Données projet'!$B$10,Paramètres!$A$1:$I$89,3,0)*VLOOKUP('Données projet'!$B$10,Paramètres!$A$1:$I$89,5,0)</f>
        <v>343.98</v>
      </c>
      <c r="AK203" s="13">
        <f t="shared" si="164"/>
        <v>80.321681832084693</v>
      </c>
      <c r="AL203" s="20">
        <f t="shared" si="165"/>
        <v>738.9920958575475</v>
      </c>
      <c r="AM203" s="59">
        <f t="shared" si="193"/>
        <v>1032.3254291908809</v>
      </c>
      <c r="AN203" s="59">
        <f ca="1">AVERAGE(OFFSET($AM$3,0,0,'Données projet'!$E$10+1,1))-AVERAGE(OFFSET($H$3,0,0,'Données projet'!$E$10+1,1))</f>
        <v>342.49944586217674</v>
      </c>
      <c r="AO203" s="59">
        <f t="shared" si="205"/>
        <v>282.29766600872563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10.953952879330746</v>
      </c>
      <c r="AV203" s="21">
        <f>EXP(-LN(2)/25)*AV202+(1-EXP(-LN(2)/25))/(LN(2)/25)*Calculateur!AQ203*Calculateur!AS203*VLOOKUP('Données projet'!$B$10,Paramètres!$A$1:$I$89,3,0)*0.475*44/12</f>
        <v>0.35969100061744652</v>
      </c>
      <c r="AW203" s="21">
        <f>EXP(-LN(2)/2)*AW202+(1-EXP(-LN(2)/2))/(LN(2)/2)*AQ203*AT203*VLOOKUP('Données projet'!$B$10,Paramètres!$A$1:$I$89,3,0)*0.475*44/12</f>
        <v>2.1401873209799026E-27</v>
      </c>
      <c r="AX203" s="21">
        <f t="shared" si="166"/>
        <v>11.313643879948193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319</v>
      </c>
      <c r="BE203" s="13">
        <f>BD203*VLOOKUP('Données projet'!$B$11,Paramètres!$A$1:$I$89,3,0)*VLOOKUP('Données projet'!$B$11,Paramètres!$A$1:$I$89,5,0)</f>
        <v>253.79640000000001</v>
      </c>
      <c r="BF203" s="13">
        <f t="shared" si="167"/>
        <v>61.39816832228076</v>
      </c>
      <c r="BG203" s="20">
        <f t="shared" si="168"/>
        <v>548.96387316130563</v>
      </c>
      <c r="BH203" s="59">
        <f t="shared" si="194"/>
        <v>842.29720649463889</v>
      </c>
      <c r="BI203" s="59">
        <f ca="1">AVERAGE(OFFSET($BH$3,0,0,'Données projet'!$E$11+1,1))-AVERAGE(OFFSET($H$3,0,0,'Données projet'!$E$11+1,1))</f>
        <v>279.49721661620544</v>
      </c>
      <c r="BJ203" s="59">
        <f t="shared" si="206"/>
        <v>275.18739333988754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4.937981093979583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4.937981093979583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732.99999999999966</v>
      </c>
      <c r="BZ203" s="13">
        <f>BY203*VLOOKUP('Données projet'!$B$12,Paramètres!$A$1:$I$89,3,0)*VLOOKUP('Données projet'!$B$12,Paramètres!$A$1:$I$89,5,0)</f>
        <v>352.57299999999987</v>
      </c>
      <c r="CA203" s="13">
        <f t="shared" si="170"/>
        <v>82.092092597941644</v>
      </c>
      <c r="CB203" s="20">
        <f t="shared" si="171"/>
        <v>757.04170294141477</v>
      </c>
      <c r="CC203" s="59">
        <f t="shared" si="195"/>
        <v>1050.375036274748</v>
      </c>
      <c r="CD203" s="59">
        <f ca="1">AVERAGE(OFFSET($CC$3,0,0,'Données projet'!$E$12+1,1))-AVERAGE(OFFSET($H$3,0,0,'Données projet'!$E$12+1,1))</f>
        <v>349.65790906807746</v>
      </c>
      <c r="CE203" s="59">
        <f t="shared" si="207"/>
        <v>291.88925884278888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11.749460482714818</v>
      </c>
      <c r="CL203" s="21">
        <f>EXP(-LN(2)/25)*CL202+(1-EXP(-LN(2)/25))/(LN(2)/25)*Calculateur!CG203*Calculateur!CI203*VLOOKUP('Données projet'!$B$12,Paramètres!$A$1:$I$89,3,0)*0.475*44/12</f>
        <v>0.36968241730126555</v>
      </c>
      <c r="CM203" s="21">
        <f>EXP(-LN(2)/2)*CM202+(1-EXP(-LN(2)/2))/(LN(2)/2)*CG203*CJ203*VLOOKUP('Données projet'!$B$12,Paramètres!$A$1:$I$89,3,0)*0.475*44/12</f>
        <v>1.3197821812709389E-27</v>
      </c>
      <c r="CN203" s="22">
        <f t="shared" si="172"/>
        <v>12.119142900016083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285.99999999999972</v>
      </c>
      <c r="CU203" s="17">
        <f>CT203*VLOOKUP('Données projet'!$B$13,Paramètres!$A$1:$I$89,3,0)*VLOOKUP('Données projet'!$B$13,Paramètres!$A$1:$I$89,5,0)</f>
        <v>223.07999999999979</v>
      </c>
      <c r="CV203" s="13">
        <f t="shared" si="173"/>
        <v>54.783765878062617</v>
      </c>
      <c r="CW203" s="20">
        <f t="shared" si="174"/>
        <v>483.94605890429199</v>
      </c>
      <c r="CX203" s="59">
        <f t="shared" si="196"/>
        <v>777.2793922376253</v>
      </c>
      <c r="CY203" s="59">
        <f ca="1">AVERAGE(OFFSET($CX$3,0,0,'Données projet'!$E$13+1,1))-AVERAGE(OFFSET($H$3,0,0,'Données projet'!$E$13+1,1))</f>
        <v>215.84581110302656</v>
      </c>
      <c r="CZ203" s="59">
        <f t="shared" si="208"/>
        <v>193.88588526156104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4.469976449560896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4.469976449560896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1.4714192565876152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1.2907749310619425</v>
      </c>
      <c r="BA205" s="81">
        <f>EXP(LN('Données projet'!B88)/'Données projet'!A88)</f>
        <v>1.2709816152101407</v>
      </c>
      <c r="BV205" s="81">
        <f>EXP(LN('Données projet'!B114)/'Données projet'!A114)</f>
        <v>1.2487548905696053</v>
      </c>
      <c r="CQ205" s="81">
        <f>EXP(LN('Données projet'!B140)/'Données projet'!A140)</f>
        <v>1.1966732973638288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Mélèze d'Europe</v>
      </c>
      <c r="B6" s="144">
        <f>'Données projet'!D9</f>
        <v>1</v>
      </c>
      <c r="C6" s="145">
        <f ca="1">IF(OR('Données projet'!B9="",'Données projet'!C9="",'Données projet'!C9=0%),0,Calculateur!S3)</f>
        <v>269.77739619445515</v>
      </c>
      <c r="D6" s="145">
        <f>IF(OR('Données projet'!B9="",'Données projet'!C9="",'Données projet'!C9=0%),0,Calculateur!T3)</f>
        <v>347.56964743629885</v>
      </c>
      <c r="E6" s="145">
        <f ca="1">MIN(C6,D6)</f>
        <v>269.77739619445515</v>
      </c>
      <c r="F6" s="145">
        <f ca="1">E6*B6</f>
        <v>269.77739619445515</v>
      </c>
      <c r="G6" s="145">
        <f ca="1">F6*(100%-'Données projet'!$C$24)*(100%-'Données projet'!$C$25)*(100%-'Données projet'!$C$26)*(100%-'Données projet'!$C$27)</f>
        <v>242.79965657500964</v>
      </c>
      <c r="H6" s="146">
        <f>IF(OR('Données projet'!B9="",'Données projet'!C9="",'Données projet'!C9=0%),0,AVERAGE(Calculateur!$AC$3:$AC$33)*B6)</f>
        <v>24.873557929753261</v>
      </c>
      <c r="I6" s="147">
        <f>H6*(100%-'Données projet'!$C$24)*(100%-'Données projet'!$C$25)*(100%-'Données projet'!$C$26)*(100%-'Données projet'!$C$27)</f>
        <v>22.386202136777936</v>
      </c>
      <c r="J6" s="148">
        <f>IF(OR('Données projet'!B9="",'Données projet'!C9="",'Données projet'!C9=0%),0,SUM(Calculateur!$V$3:$V$33)*VLOOKUP('Données projet'!$B$9,Paramètres!$A$1:$I$89,9,0)*B6)</f>
        <v>102.598</v>
      </c>
      <c r="K6" s="149">
        <f>J6*(100%-'Données projet'!$C$24)*(100%-'Données projet'!$C$25)*(100%-'Données projet'!$C$26)*(100%-'Données projet'!$C$27)</f>
        <v>92.338200000000001</v>
      </c>
      <c r="L6" s="150">
        <f ca="1">G6+I6+K6</f>
        <v>357.52405871178757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Cèdre de l'Atlas</v>
      </c>
      <c r="B7" s="152">
        <f>'Données projet'!D10</f>
        <v>0.5</v>
      </c>
      <c r="C7" s="145">
        <f ca="1">IF(OR('Données projet'!B10="",'Données projet'!C10="",'Données projet'!C10=0%),0,Calculateur!AN3)</f>
        <v>342.49944586217674</v>
      </c>
      <c r="D7" s="145">
        <f>IF(OR('Données projet'!B10="",'Données projet'!C10="",'Données projet'!C10=0%),0,Calculateur!AO3)</f>
        <v>282.29766600872563</v>
      </c>
      <c r="E7" s="145">
        <f t="shared" ref="E7:E15" ca="1" si="0">MIN(C7,D7)</f>
        <v>282.29766600872563</v>
      </c>
      <c r="F7" s="145">
        <f t="shared" ref="F7:F15" ca="1" si="1">E7*B7</f>
        <v>141.14883300436281</v>
      </c>
      <c r="G7" s="145">
        <f ca="1">F7*(100%-'Données projet'!$C$24)*(100%-'Données projet'!$C$25)*(100%-'Données projet'!$C$26)*(100%-'Données projet'!$C$27)</f>
        <v>127.03394970392654</v>
      </c>
      <c r="H7" s="153">
        <f>IF(OR('Données projet'!B10="",'Données projet'!C10="",'Données projet'!C10=0%),0,AVERAGE(Calculateur!$AX$3:$AX$33)*B7)</f>
        <v>2.4251742827757328</v>
      </c>
      <c r="I7" s="147">
        <f>H7*(100%-'Données projet'!$C$24)*(100%-'Données projet'!$C$25)*(100%-'Données projet'!$C$26)*(100%-'Données projet'!$C$27)</f>
        <v>2.1826568544981595</v>
      </c>
      <c r="J7" s="148">
        <f>IF(OR('Données projet'!B10="",'Données projet'!C10="",'Données projet'!C10=0%),0,SUM(Calculateur!$AQ$3:$AQ$33)*VLOOKUP('Données projet'!$B$10,Paramètres!$A$1:$I$89,9,0)*B7)</f>
        <v>28.164999999999999</v>
      </c>
      <c r="K7" s="149">
        <f>J7*(100%-'Données projet'!$C$24)*(100%-'Données projet'!$C$25)*(100%-'Données projet'!$C$26)*(100%-'Données projet'!$C$27)</f>
        <v>25.348500000000001</v>
      </c>
      <c r="L7" s="150">
        <f t="shared" ref="L7:L15" ca="1" si="2">G7+I7+K7</f>
        <v>154.5651065584247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Erable sycomore</v>
      </c>
      <c r="B8" s="152">
        <f>'Données projet'!D11</f>
        <v>0.26666666659999999</v>
      </c>
      <c r="C8" s="145">
        <f ca="1">IF(OR('Données projet'!B11="",'Données projet'!C11="",'Données projet'!C11=0%),0,Calculateur!BI3)</f>
        <v>279.49721661620544</v>
      </c>
      <c r="D8" s="145">
        <f>IF(OR('Données projet'!B11="",'Données projet'!C11="",'Données projet'!C11=0%),0,Calculateur!BJ3)</f>
        <v>275.18739333988754</v>
      </c>
      <c r="E8" s="145">
        <f t="shared" ca="1" si="0"/>
        <v>275.18739333988754</v>
      </c>
      <c r="F8" s="145">
        <f t="shared" ca="1" si="1"/>
        <v>73.38330487229085</v>
      </c>
      <c r="G8" s="145">
        <f ca="1">F8*(100%-'Données projet'!$C$24)*(100%-'Données projet'!$C$25)*(100%-'Données projet'!$C$26)*(100%-'Données projet'!$C$27)</f>
        <v>66.044974385061764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9.1333333310500002</v>
      </c>
      <c r="K8" s="149">
        <f>J8*(100%-'Données projet'!$C$24)*(100%-'Données projet'!$C$25)*(100%-'Données projet'!$C$26)*(100%-'Données projet'!$C$27)</f>
        <v>8.2199999979450009</v>
      </c>
      <c r="L8" s="150">
        <f t="shared" ca="1" si="2"/>
        <v>74.264974383006759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Sapin de Nordmann</v>
      </c>
      <c r="B9" s="152">
        <f>'Données projet'!D12</f>
        <v>0.16666666660000001</v>
      </c>
      <c r="C9" s="145">
        <f ca="1">IF(OR('Données projet'!B12="",'Données projet'!C12="",'Données projet'!C12=0%),0,Calculateur!CD3)</f>
        <v>349.65790906807746</v>
      </c>
      <c r="D9" s="145">
        <f>IF(OR('Données projet'!B12="",'Données projet'!C12="",'Données projet'!C12=0%),0,Calculateur!CE3)</f>
        <v>291.88925884278888</v>
      </c>
      <c r="E9" s="145">
        <f t="shared" ca="1" si="0"/>
        <v>291.88925884278888</v>
      </c>
      <c r="F9" s="145">
        <f t="shared" ca="1" si="1"/>
        <v>48.648209787672201</v>
      </c>
      <c r="G9" s="145">
        <f ca="1">F9*(100%-'Données projet'!$C$24)*(100%-'Données projet'!$C$25)*(100%-'Données projet'!$C$26)*(100%-'Données projet'!$C$27)</f>
        <v>43.783388808904981</v>
      </c>
      <c r="H9" s="153">
        <f>IF(OR('Données projet'!B12="",'Données projet'!C12="",'Données projet'!C12=0%),0,AVERAGE(Calculateur!$CN$3:$CN$33)*B9)</f>
        <v>0.81129506427388398</v>
      </c>
      <c r="I9" s="147">
        <f>H9*(100%-'Données projet'!$C$24)*(100%-'Données projet'!$C$25)*(100%-'Données projet'!$C$26)*(100%-'Données projet'!$C$27)</f>
        <v>0.73016555784649562</v>
      </c>
      <c r="J9" s="148">
        <f>IF(OR('Données projet'!B12="",'Données projet'!C12="",'Données projet'!C12=0%),0,SUM(Calculateur!$CG$3:$CG$33)*VLOOKUP('Données projet'!$B$12,Paramètres!$A$1:$I$89,9,0)*B9)</f>
        <v>9.2449999963020009</v>
      </c>
      <c r="K9" s="149">
        <f>J9*(100%-'Données projet'!$C$24)*(100%-'Données projet'!$C$25)*(100%-'Données projet'!$C$26)*(100%-'Données projet'!$C$27)</f>
        <v>8.320499996671801</v>
      </c>
      <c r="L9" s="150">
        <f t="shared" ca="1" si="2"/>
        <v>52.834054363423277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Merisier</v>
      </c>
      <c r="B10" s="152">
        <f>'Données projet'!D13</f>
        <v>6.6666666599999994E-2</v>
      </c>
      <c r="C10" s="145">
        <f ca="1">IF(OR('Données projet'!B13="",'Données projet'!C13="",'Données projet'!C13=0%),0,Calculateur!CY3)</f>
        <v>215.84581110302656</v>
      </c>
      <c r="D10" s="145">
        <f>IF(OR('Données projet'!B13="",'Données projet'!C13="",'Données projet'!C13=0%),0,Calculateur!CZ3)</f>
        <v>193.88588526156104</v>
      </c>
      <c r="E10" s="145">
        <f t="shared" ca="1" si="0"/>
        <v>193.88588526156104</v>
      </c>
      <c r="F10" s="145">
        <f t="shared" ca="1" si="1"/>
        <v>12.925725671178343</v>
      </c>
      <c r="G10" s="145">
        <f ca="1">F10*(100%-'Données projet'!$C$24)*(100%-'Données projet'!$C$25)*(100%-'Données projet'!$C$26)*(100%-'Données projet'!$C$27)</f>
        <v>11.63315310406051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0.86666666579999996</v>
      </c>
      <c r="K10" s="149">
        <f>J10*(100%-'Données projet'!$C$24)*(100%-'Données projet'!$C$25)*(100%-'Données projet'!$C$26)*(100%-'Données projet'!$C$27)</f>
        <v>0.77999999921999996</v>
      </c>
      <c r="L10" s="150">
        <f t="shared" ca="1" si="2"/>
        <v>12.413153103280509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545.88346952995937</v>
      </c>
      <c r="G16" s="164">
        <f t="shared" ca="1" si="3"/>
        <v>491.29512257696342</v>
      </c>
      <c r="H16" s="165">
        <f t="shared" si="3"/>
        <v>28.110027276802878</v>
      </c>
      <c r="I16" s="165">
        <f t="shared" si="3"/>
        <v>25.299024549122592</v>
      </c>
      <c r="J16" s="166">
        <f t="shared" si="3"/>
        <v>150.00799999315203</v>
      </c>
      <c r="K16" s="166">
        <f t="shared" si="3"/>
        <v>135.00719999383679</v>
      </c>
      <c r="L16" s="167">
        <f t="shared" ca="1" si="3"/>
        <v>651.60134711992293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Mélèze d'Europe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Sapin de Nordmann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N19" sqref="N1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Mélèze d'Europe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-1555.1254855323723</v>
      </c>
      <c r="U10" s="176">
        <f>'Données projet'!D9</f>
        <v>1</v>
      </c>
      <c r="V10" s="175">
        <f>U10*T10</f>
        <v>-1555.1254855323723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Cèdre de l'Atlas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-4104.2545714852376</v>
      </c>
      <c r="U11" s="176">
        <f>'Données projet'!D10</f>
        <v>0.5</v>
      </c>
      <c r="V11" s="175">
        <f t="shared" ref="V11" si="0">U11*T11</f>
        <v>-2052.1272857426188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Erable sycomore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-2933.4281149569342</v>
      </c>
      <c r="U12" s="176">
        <f>'Données projet'!D11</f>
        <v>0.26666666659999999</v>
      </c>
      <c r="V12" s="175">
        <f t="shared" ref="V12:V19" si="1">U12*T12</f>
        <v>-782.24749712628727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Sapin de Nordmann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-2633.5956427994311</v>
      </c>
      <c r="U13" s="176">
        <f>'Données projet'!D12</f>
        <v>0.16666666660000001</v>
      </c>
      <c r="V13" s="175">
        <f t="shared" si="1"/>
        <v>-438.93260695766548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Mélèze d'Europe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Merisier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-4150.3600948597341</v>
      </c>
      <c r="U14" s="176">
        <f>'Données projet'!D13</f>
        <v>6.6666666599999994E-2</v>
      </c>
      <c r="V14" s="175">
        <f t="shared" si="1"/>
        <v>-276.69067271395824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40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2922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15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600.00000000000034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11820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12</v>
      </c>
      <c r="B23" s="179">
        <f>'Données projet'!D36</f>
        <v>18</v>
      </c>
      <c r="C23" s="191">
        <v>15</v>
      </c>
      <c r="D23" s="180">
        <f>B23*C23</f>
        <v>270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-28745.123548072901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18</v>
      </c>
      <c r="B24" s="179">
        <f>'Données projet'!D37</f>
        <v>84.3</v>
      </c>
      <c r="C24" s="191">
        <v>15</v>
      </c>
      <c r="D24" s="180">
        <f t="shared" ref="D24:D42" si="2">B24*C24</f>
        <v>1264.5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206.3144413048922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24</v>
      </c>
      <c r="B25" s="179">
        <f>'Données projet'!D38</f>
        <v>73.7</v>
      </c>
      <c r="C25" s="191">
        <v>15</v>
      </c>
      <c r="D25" s="180">
        <f t="shared" si="2"/>
        <v>1105.5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-28951.437989377795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30</v>
      </c>
      <c r="B26" s="179">
        <f>'Données projet'!D39</f>
        <v>62.6</v>
      </c>
      <c r="C26" s="191">
        <v>15</v>
      </c>
      <c r="D26" s="180">
        <f t="shared" si="2"/>
        <v>939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36</v>
      </c>
      <c r="B27" s="179">
        <f>'Données projet'!D40</f>
        <v>58.4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42</v>
      </c>
      <c r="B28" s="179">
        <f>'Données projet'!D41</f>
        <v>54.6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48</v>
      </c>
      <c r="B29" s="179">
        <f>'Données projet'!D42</f>
        <v>48.2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54</v>
      </c>
      <c r="B30" s="179">
        <f>'Données projet'!D43</f>
        <v>46.9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Cèdre de l'Atlas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4671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15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20</v>
      </c>
      <c r="B55" s="179">
        <f>'Données projet'!D63</f>
        <v>5</v>
      </c>
      <c r="C55" s="189">
        <v>15</v>
      </c>
      <c r="D55" s="177">
        <f t="shared" ref="D55:D73" si="4">B55*C55</f>
        <v>75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25</v>
      </c>
      <c r="B56" s="179">
        <f>'Données projet'!D64</f>
        <v>63</v>
      </c>
      <c r="C56" s="189">
        <v>15</v>
      </c>
      <c r="D56" s="177">
        <f t="shared" si="4"/>
        <v>945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63</v>
      </c>
      <c r="C57" s="189">
        <v>15</v>
      </c>
      <c r="D57" s="177">
        <f t="shared" si="4"/>
        <v>945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35</v>
      </c>
      <c r="B58" s="179">
        <f>'Données projet'!D66</f>
        <v>63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40</v>
      </c>
      <c r="B59" s="179">
        <f>'Données projet'!D67</f>
        <v>63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45</v>
      </c>
      <c r="B60" s="179">
        <f>'Données projet'!D68</f>
        <v>63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50</v>
      </c>
      <c r="B61" s="179">
        <f>'Données projet'!D69</f>
        <v>63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55</v>
      </c>
      <c r="B62" s="179">
        <f>'Données projet'!D70</f>
        <v>60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60</v>
      </c>
      <c r="B63" s="179">
        <f>'Données projet'!D71</f>
        <v>53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65</v>
      </c>
      <c r="B64" s="179">
        <f>'Données projet'!D72</f>
        <v>48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70</v>
      </c>
      <c r="B65" s="179">
        <f>'Données projet'!D73</f>
        <v>45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75</v>
      </c>
      <c r="B66" s="179">
        <f>'Données projet'!D74</f>
        <v>43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80</v>
      </c>
      <c r="B67" s="179">
        <f>'Données projet'!D75</f>
        <v>41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Erable sycomore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3714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15</v>
      </c>
      <c r="B86" s="179">
        <f>'Données projet'!D89</f>
        <v>32</v>
      </c>
      <c r="C86" s="189">
        <v>15</v>
      </c>
      <c r="D86" s="177">
        <f t="shared" ref="D86:D104" si="6">B86*C86</f>
        <v>480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20</v>
      </c>
      <c r="B87" s="179">
        <f>'Données projet'!D90</f>
        <v>35</v>
      </c>
      <c r="C87" s="189">
        <v>15</v>
      </c>
      <c r="D87" s="177">
        <f t="shared" si="6"/>
        <v>525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25</v>
      </c>
      <c r="B88" s="179">
        <f>'Données projet'!D91</f>
        <v>35</v>
      </c>
      <c r="C88" s="189">
        <v>15</v>
      </c>
      <c r="D88" s="177">
        <f t="shared" si="6"/>
        <v>525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30</v>
      </c>
      <c r="B89" s="179">
        <f>'Données projet'!D92</f>
        <v>35</v>
      </c>
      <c r="C89" s="189">
        <v>15</v>
      </c>
      <c r="D89" s="177">
        <f t="shared" si="6"/>
        <v>525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35</v>
      </c>
      <c r="B90" s="179">
        <f>'Données projet'!D93</f>
        <v>35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40</v>
      </c>
      <c r="B91" s="179">
        <f>'Données projet'!D94</f>
        <v>35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45</v>
      </c>
      <c r="B92" s="179">
        <f>'Données projet'!D95</f>
        <v>24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50</v>
      </c>
      <c r="B93" s="179">
        <f>'Données projet'!D96</f>
        <v>19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55</v>
      </c>
      <c r="B94" s="179">
        <f>'Données projet'!D97</f>
        <v>16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60</v>
      </c>
      <c r="B95" s="179">
        <f>'Données projet'!D98</f>
        <v>14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65</v>
      </c>
      <c r="B96" s="179">
        <f>'Données projet'!D99</f>
        <v>13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70</v>
      </c>
      <c r="B97" s="179">
        <f>'Données projet'!D100</f>
        <v>13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75</v>
      </c>
      <c r="B98" s="179">
        <f>'Données projet'!D101</f>
        <v>12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80</v>
      </c>
      <c r="B99" s="179">
        <f>'Données projet'!D102</f>
        <v>11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Sapin de Nordmann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3219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15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20</v>
      </c>
      <c r="B117" s="179">
        <f>'Données projet'!D115</f>
        <v>3</v>
      </c>
      <c r="C117" s="189">
        <v>15</v>
      </c>
      <c r="D117" s="177">
        <f t="shared" ref="D117:D135" si="8">B117*C117</f>
        <v>45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25</v>
      </c>
      <c r="B118" s="179">
        <f>'Données projet'!D116</f>
        <v>63</v>
      </c>
      <c r="C118" s="189">
        <v>15</v>
      </c>
      <c r="D118" s="177">
        <f t="shared" si="8"/>
        <v>945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30</v>
      </c>
      <c r="B119" s="179">
        <f>'Données projet'!D117</f>
        <v>63</v>
      </c>
      <c r="C119" s="189">
        <v>15</v>
      </c>
      <c r="D119" s="177">
        <f t="shared" si="8"/>
        <v>945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35</v>
      </c>
      <c r="B120" s="179">
        <f>'Données projet'!D118</f>
        <v>63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40</v>
      </c>
      <c r="B121" s="179">
        <f>'Données projet'!D119</f>
        <v>63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45</v>
      </c>
      <c r="B122" s="179">
        <f>'Données projet'!D120</f>
        <v>63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50</v>
      </c>
      <c r="B123" s="179">
        <f>'Données projet'!D121</f>
        <v>63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55</v>
      </c>
      <c r="B124" s="179">
        <f>'Données projet'!D122</f>
        <v>63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60</v>
      </c>
      <c r="B125" s="179">
        <f>'Données projet'!D123</f>
        <v>54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65</v>
      </c>
      <c r="B126" s="179">
        <f>'Données projet'!D124</f>
        <v>50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70</v>
      </c>
      <c r="B127" s="179">
        <f>'Données projet'!D125</f>
        <v>48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75</v>
      </c>
      <c r="B128" s="179">
        <f>'Données projet'!D126</f>
        <v>47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80</v>
      </c>
      <c r="B129" s="179">
        <f>'Données projet'!D127</f>
        <v>46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Merisier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4473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25</v>
      </c>
      <c r="B147" s="173">
        <f>'Données projet'!D140</f>
        <v>28</v>
      </c>
      <c r="C147" s="189">
        <v>15</v>
      </c>
      <c r="D147" s="180">
        <f>B147*C147</f>
        <v>420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3">
        <f>'Données projet'!D141</f>
        <v>24</v>
      </c>
      <c r="C148" s="189">
        <v>15</v>
      </c>
      <c r="D148" s="180">
        <f t="shared" ref="D148:D166" si="10">B148*C148</f>
        <v>360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35</v>
      </c>
      <c r="B149" s="173">
        <f>'Données projet'!D142</f>
        <v>27</v>
      </c>
      <c r="C149" s="189">
        <v>15</v>
      </c>
      <c r="D149" s="180">
        <f t="shared" si="10"/>
        <v>405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40</v>
      </c>
      <c r="B150" s="173">
        <f>'Données projet'!D143</f>
        <v>32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45</v>
      </c>
      <c r="B151" s="173">
        <f>'Données projet'!D144</f>
        <v>31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50</v>
      </c>
      <c r="B152" s="173">
        <f>'Données projet'!D145</f>
        <v>30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55</v>
      </c>
      <c r="B153" s="173">
        <f>'Données projet'!D146</f>
        <v>30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60</v>
      </c>
      <c r="B154" s="173">
        <f>'Données projet'!D147</f>
        <v>27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65</v>
      </c>
      <c r="B155" s="173">
        <f>'Données projet'!D148</f>
        <v>26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70</v>
      </c>
      <c r="B156" s="173">
        <f>'Données projet'!D149</f>
        <v>20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75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2024-01-24T10:04:46Z</dcterms:modified>
</cp:coreProperties>
</file>