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Downloads\"/>
    </mc:Choice>
  </mc:AlternateContent>
  <xr:revisionPtr revIDLastSave="0" documentId="13_ncr:1_{D036610F-65A4-4414-BF22-E67C2D82C7AF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FR4" i="2"/>
  <c r="BQ4" i="2"/>
  <c r="GL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EX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FS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G130" i="2"/>
  <c r="EB130" i="2"/>
  <c r="HI130" i="2"/>
  <c r="HH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C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HH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HI146" i="2"/>
  <c r="EA146" i="2"/>
  <c r="FS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EX156" i="2" l="1"/>
  <c r="DH156" i="2"/>
  <c r="FS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H168" i="2"/>
  <c r="HI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HI185" i="2"/>
  <c r="HH185" i="2"/>
  <c r="EW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G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HH199" i="2"/>
  <c r="EA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H201" i="2" l="1"/>
  <c r="EB201" i="2"/>
  <c r="FS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57" i="2" a="1"/>
  <c r="FY57" i="2" s="1"/>
  <c r="FY18" i="2" a="1"/>
  <c r="FY18" i="2" s="1"/>
  <c r="FY71" i="2" a="1"/>
  <c r="FY71" i="2" s="1"/>
  <c r="FY120" i="2" a="1"/>
  <c r="FY120" i="2" s="1"/>
  <c r="FY186" i="2" a="1"/>
  <c r="FY186" i="2" s="1"/>
  <c r="FY152" i="2" a="1"/>
  <c r="FY152" i="2" s="1"/>
  <c r="FY73" i="2" a="1"/>
  <c r="FY73" i="2" s="1"/>
  <c r="FY188" i="2" a="1"/>
  <c r="FY188" i="2" s="1"/>
  <c r="FY55" i="2" a="1"/>
  <c r="FY55" i="2" s="1"/>
  <c r="FY178" i="2" a="1"/>
  <c r="FY178" i="2" s="1"/>
  <c r="AH92" i="2" a="1"/>
  <c r="AH92" i="2" s="1"/>
  <c r="FY164" i="2" a="1"/>
  <c r="FY16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DN152" i="2" a="1"/>
  <c r="DN152" i="2" s="1"/>
  <c r="DN184" i="2" a="1"/>
  <c r="DN184" i="2" s="1"/>
  <c r="DN66" i="2" a="1"/>
  <c r="DN66" i="2" s="1"/>
  <c r="DN192" i="2" a="1"/>
  <c r="DN192" i="2" s="1"/>
  <c r="AH151" i="2" a="1"/>
  <c r="AH151" i="2" s="1"/>
  <c r="AH90" i="2" a="1"/>
  <c r="AH90" i="2" s="1"/>
  <c r="AH19" i="2" a="1"/>
  <c r="AH19" i="2" s="1"/>
  <c r="AH166" i="2" a="1"/>
  <c r="AH166" i="2" s="1"/>
  <c r="CS38" i="2" a="1"/>
  <c r="CS38" i="2" s="1"/>
  <c r="FY86" i="2" a="1"/>
  <c r="FY86" i="2" s="1"/>
  <c r="FY182" i="2" a="1"/>
  <c r="FY182" i="2" s="1"/>
  <c r="FY82" i="2" a="1"/>
  <c r="FY82" i="2" s="1"/>
  <c r="FY196" i="2" a="1"/>
  <c r="FY196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5" i="2" a="1"/>
  <c r="EI165" i="2" s="1"/>
  <c r="DN168" i="2" a="1"/>
  <c r="DN168" i="2" s="1"/>
  <c r="CS185" i="2" a="1"/>
  <c r="CS185" i="2" s="1"/>
  <c r="DN31" i="2" a="1"/>
  <c r="DN31" i="2" s="1"/>
  <c r="DN110" i="2" a="1"/>
  <c r="DN110" i="2" s="1"/>
  <c r="DN6" i="2" a="1"/>
  <c r="DN6" i="2" s="1"/>
  <c r="DO6" i="2" s="1"/>
  <c r="CS24" i="2" a="1"/>
  <c r="CS24" i="2" s="1"/>
  <c r="CS134" i="2" a="1"/>
  <c r="CS134" i="2" s="1"/>
  <c r="FD82" i="2" a="1"/>
  <c r="FD82" i="2" s="1"/>
  <c r="HJ202" i="2"/>
  <c r="EY202" i="2"/>
  <c r="AX200" i="2"/>
  <c r="EI178" i="2" l="1" a="1"/>
  <c r="EI178" i="2" s="1"/>
  <c r="EI37" i="2" a="1"/>
  <c r="EI37" i="2" s="1"/>
  <c r="DN30" i="2" a="1"/>
  <c r="DN30" i="2" s="1"/>
  <c r="DN16" i="2" a="1"/>
  <c r="DN16" i="2" s="1"/>
  <c r="EI35" i="2" a="1"/>
  <c r="EI35" i="2" s="1"/>
  <c r="EI36" i="2" a="1"/>
  <c r="EI36" i="2" s="1"/>
  <c r="FY115" i="2" a="1"/>
  <c r="FY115" i="2" s="1"/>
  <c r="CS77" i="2" a="1"/>
  <c r="CS77" i="2" s="1"/>
  <c r="DN86" i="2" a="1"/>
  <c r="DN86" i="2" s="1"/>
  <c r="DN41" i="2" a="1"/>
  <c r="DN41" i="2" s="1"/>
  <c r="EI162" i="2" a="1"/>
  <c r="EI162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EI71" i="2" a="1"/>
  <c r="EI71" i="2" s="1"/>
  <c r="DN167" i="2" a="1"/>
  <c r="DN167" i="2" s="1"/>
  <c r="DN29" i="2" a="1"/>
  <c r="DN29" i="2" s="1"/>
  <c r="EI139" i="2" a="1"/>
  <c r="EI139" i="2" s="1"/>
  <c r="DN177" i="2" a="1"/>
  <c r="DN177" i="2" s="1"/>
  <c r="FY79" i="2" a="1"/>
  <c r="FY79" i="2" s="1"/>
  <c r="DN49" i="2" a="1"/>
  <c r="DN49" i="2" s="1"/>
  <c r="EI29" i="2" a="1"/>
  <c r="EI29" i="2" s="1"/>
  <c r="FY28" i="2" a="1"/>
  <c r="FY28" i="2" s="1"/>
  <c r="EI38" i="2" a="1"/>
  <c r="EI38" i="2" s="1"/>
  <c r="FY121" i="2" a="1"/>
  <c r="FY121" i="2" s="1"/>
  <c r="EI106" i="2" a="1"/>
  <c r="EI106" i="2" s="1"/>
  <c r="FY78" i="2" a="1"/>
  <c r="FY78" i="2" s="1"/>
  <c r="EI16" i="2" a="1"/>
  <c r="EI16" i="2" s="1"/>
  <c r="CS137" i="2" a="1"/>
  <c r="CS137" i="2" s="1"/>
  <c r="FY110" i="2" a="1"/>
  <c r="FY110" i="2" s="1"/>
  <c r="DN133" i="2" a="1"/>
  <c r="DN133" i="2" s="1"/>
  <c r="DN38" i="2" a="1"/>
  <c r="DN38" i="2" s="1"/>
  <c r="EI113" i="2" a="1"/>
  <c r="EI113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EI166" i="2" a="1"/>
  <c r="EI166" i="2" s="1"/>
  <c r="FY169" i="2" a="1"/>
  <c r="FY169" i="2" s="1"/>
  <c r="FY99" i="2" a="1"/>
  <c r="FY99" i="2" s="1"/>
  <c r="FY153" i="2" a="1"/>
  <c r="FY153" i="2" s="1"/>
  <c r="FY146" i="2" a="1"/>
  <c r="FY146" i="2" s="1"/>
  <c r="EI57" i="2" a="1"/>
  <c r="EI57" i="2" s="1"/>
  <c r="EI145" i="2" a="1"/>
  <c r="EI145" i="2" s="1"/>
  <c r="EI87" i="2" a="1"/>
  <c r="EI87" i="2" s="1"/>
  <c r="EI150" i="2" a="1"/>
  <c r="EI150" i="2" s="1"/>
  <c r="EI67" i="2" a="1"/>
  <c r="EI67" i="2" s="1"/>
  <c r="DN103" i="2" a="1"/>
  <c r="DN103" i="2" s="1"/>
  <c r="FY47" i="2" a="1"/>
  <c r="FY47" i="2" s="1"/>
  <c r="DN176" i="2" a="1"/>
  <c r="DN176" i="2" s="1"/>
  <c r="DN137" i="2" a="1"/>
  <c r="DN137" i="2" s="1"/>
  <c r="FY24" i="2" a="1"/>
  <c r="FY24" i="2" s="1"/>
  <c r="DN190" i="2" a="1"/>
  <c r="DN190" i="2" s="1"/>
  <c r="CS105" i="2" a="1"/>
  <c r="CS105" i="2" s="1"/>
  <c r="EI153" i="2" a="1"/>
  <c r="EI153" i="2" s="1"/>
  <c r="BX107" i="2" a="1"/>
  <c r="BX107" i="2" s="1"/>
  <c r="DN65" i="2" a="1"/>
  <c r="DN65" i="2" s="1"/>
  <c r="CS114" i="2" a="1"/>
  <c r="CS114" i="2" s="1"/>
  <c r="EI128" i="2" a="1"/>
  <c r="EI128" i="2" s="1"/>
  <c r="CS120" i="2" a="1"/>
  <c r="CS120" i="2" s="1"/>
  <c r="FY80" i="2" a="1"/>
  <c r="FY80" i="2" s="1"/>
  <c r="AH163" i="2" a="1"/>
  <c r="AH163" i="2" s="1"/>
  <c r="EI195" i="2" a="1"/>
  <c r="EI195" i="2" s="1"/>
  <c r="DN50" i="2" a="1"/>
  <c r="DN50" i="2" s="1"/>
  <c r="DN124" i="2" a="1"/>
  <c r="DN124" i="2" s="1"/>
  <c r="EI198" i="2" a="1"/>
  <c r="EI198" i="2" s="1"/>
  <c r="FY62" i="2" a="1"/>
  <c r="FY62" i="2" s="1"/>
  <c r="FY116" i="2" a="1"/>
  <c r="FY116" i="2" s="1"/>
  <c r="FY102" i="2" a="1"/>
  <c r="FY102" i="2" s="1"/>
  <c r="FY32" i="2" a="1"/>
  <c r="FY32" i="2" s="1"/>
  <c r="FS203" i="2"/>
  <c r="DN132" i="2" a="1"/>
  <c r="DN132" i="2" s="1"/>
  <c r="DN188" i="2" a="1"/>
  <c r="DN188" i="2" s="1"/>
  <c r="DN162" i="2" a="1"/>
  <c r="DN162" i="2" s="1"/>
  <c r="DN114" i="2" a="1"/>
  <c r="DN114" i="2" s="1"/>
  <c r="FY159" i="2" a="1"/>
  <c r="FY159" i="2" s="1"/>
  <c r="FY58" i="2" a="1"/>
  <c r="FY58" i="2" s="1"/>
  <c r="DN186" i="2" a="1"/>
  <c r="DN186" i="2" s="1"/>
  <c r="FY149" i="2" a="1"/>
  <c r="FY149" i="2" s="1"/>
  <c r="FY29" i="2" a="1"/>
  <c r="FY29" i="2" s="1"/>
  <c r="DN164" i="2" a="1"/>
  <c r="DN164" i="2" s="1"/>
  <c r="FY191" i="2" a="1"/>
  <c r="FY191" i="2" s="1"/>
  <c r="DN135" i="2" a="1"/>
  <c r="DN135" i="2" s="1"/>
  <c r="DN170" i="2" a="1"/>
  <c r="DN170" i="2" s="1"/>
  <c r="FY174" i="2" a="1"/>
  <c r="FY174" i="2" s="1"/>
  <c r="DN70" i="2" a="1"/>
  <c r="DN70" i="2" s="1"/>
  <c r="CS56" i="2" a="1"/>
  <c r="CS56" i="2" s="1"/>
  <c r="EI20" i="2" a="1"/>
  <c r="EI20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46" i="2" a="1"/>
  <c r="DN46" i="2" s="1"/>
  <c r="DN43" i="2" a="1"/>
  <c r="DN43" i="2" s="1"/>
  <c r="FY140" i="2" a="1"/>
  <c r="FY140" i="2" s="1"/>
  <c r="EI109" i="2" a="1"/>
  <c r="EI109" i="2" s="1"/>
  <c r="DN115" i="2" a="1"/>
  <c r="DN115" i="2" s="1"/>
  <c r="FY143" i="2" a="1"/>
  <c r="FY143" i="2" s="1"/>
  <c r="EI170" i="2" a="1"/>
  <c r="EI170" i="2" s="1"/>
  <c r="DN153" i="2" a="1"/>
  <c r="DN153" i="2" s="1"/>
  <c r="FY35" i="2" a="1"/>
  <c r="FY35" i="2" s="1"/>
  <c r="DN187" i="2" a="1"/>
  <c r="DN187" i="2" s="1"/>
  <c r="FY167" i="2" a="1"/>
  <c r="FY167" i="2" s="1"/>
  <c r="CS129" i="2" a="1"/>
  <c r="CS129" i="2" s="1"/>
  <c r="FY124" i="2" a="1"/>
  <c r="FY124" i="2" s="1"/>
  <c r="FY165" i="2" a="1"/>
  <c r="FY165" i="2" s="1"/>
  <c r="CS72" i="2" a="1"/>
  <c r="CS72" i="2" s="1"/>
  <c r="DN45" i="2" a="1"/>
  <c r="DN45" i="2" s="1"/>
  <c r="DN55" i="2" a="1"/>
  <c r="DN55" i="2" s="1"/>
  <c r="DN80" i="2" a="1"/>
  <c r="DN80" i="2" s="1"/>
  <c r="EI34" i="2" a="1"/>
  <c r="EI3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<sst xmlns="http://schemas.openxmlformats.org/spreadsheetml/2006/main" count="1171" uniqueCount="325">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</sst>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233.28890252169242</c:v>
                </c:pt>
                <c:pt idx="31">
                  <c:v>251.71680248926407</c:v>
                </c:pt>
                <c:pt idx="32">
                  <c:v>270.11413614057147</c:v>
                </c:pt>
                <c:pt idx="33">
                  <c:v>288.48327791636194</c:v>
                </c:pt>
                <c:pt idx="34">
                  <c:v>306.82627511870436</c:v>
                </c:pt>
                <c:pt idx="35">
                  <c:v>325.1449102589736</c:v>
                </c:pt>
                <c:pt idx="36">
                  <c:v>343.44074860711925</c:v>
                </c:pt>
                <c:pt idx="37">
                  <c:v>277.64048093700984</c:v>
                </c:pt>
                <c:pt idx="38">
                  <c:v>294.48954060352389</c:v>
                </c:pt>
                <c:pt idx="39">
                  <c:v>311.31709651831682</c:v>
                </c:pt>
                <c:pt idx="40">
                  <c:v>328.12447444010149</c:v>
                </c:pt>
                <c:pt idx="41">
                  <c:v>344.91285322325467</c:v>
                </c:pt>
                <c:pt idx="42">
                  <c:v>361.68328760369945</c:v>
                </c:pt>
                <c:pt idx="43">
                  <c:v>378.43672653622258</c:v>
                </c:pt>
                <c:pt idx="44">
                  <c:v>395.17402811417611</c:v>
                </c:pt>
                <c:pt idx="45">
                  <c:v>327.78033099259113</c:v>
                </c:pt>
                <c:pt idx="46">
                  <c:v>342.6549145898793</c:v>
                </c:pt>
                <c:pt idx="47">
                  <c:v>357.51530938507523</c:v>
                </c:pt>
                <c:pt idx="48">
                  <c:v>372.36218816092611</c:v>
                </c:pt>
                <c:pt idx="49">
                  <c:v>387.19616567314262</c:v>
                </c:pt>
                <c:pt idx="50">
                  <c:v>402.01780573308969</c:v>
                </c:pt>
                <c:pt idx="51">
                  <c:v>416.82762719136485</c:v>
                </c:pt>
                <c:pt idx="52">
                  <c:v>431.62610902660231</c:v>
                </c:pt>
                <c:pt idx="53">
                  <c:v>366.26587036399206</c:v>
                </c:pt>
                <c:pt idx="54">
                  <c:v>379.56512784230654</c:v>
                </c:pt>
                <c:pt idx="55">
                  <c:v>392.85424897119771</c:v>
                </c:pt>
                <c:pt idx="56">
                  <c:v>406.13362494673294</c:v>
                </c:pt>
                <c:pt idx="57">
                  <c:v>419.40361929545043</c:v>
                </c:pt>
                <c:pt idx="58">
                  <c:v>432.66457066342656</c:v>
                </c:pt>
                <c:pt idx="59">
                  <c:v>445.9167952455723</c:v>
                </c:pt>
                <c:pt idx="60">
                  <c:v>459.16058891110237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K44" sqref="K4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5.97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5.97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5.97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17</v>
      </c>
      <c r="B36" s="60">
        <v>126.33076923076922</v>
      </c>
      <c r="C36" s="60">
        <v>1</v>
      </c>
      <c r="D36" s="60">
        <v>42.084615384615383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7.4312217194570129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23</v>
      </c>
      <c r="B37" s="60">
        <v>173.80769230769229</v>
      </c>
      <c r="C37" s="60">
        <v>2</v>
      </c>
      <c r="D37" s="60">
        <v>54.099999999999994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14.926923076923075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29</v>
      </c>
      <c r="B38" s="60">
        <v>210.14615384615385</v>
      </c>
      <c r="C38" s="60">
        <v>3</v>
      </c>
      <c r="D38" s="60">
        <v>47.661538461538463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15.073076923076925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176.66153846153844</v>
      </c>
      <c r="C39" s="60" t="s">
        <v>324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14.17692307692306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36</v>
      </c>
      <c r="B40" s="60">
        <v>262.57692307692309</v>
      </c>
      <c r="C40" s="60">
        <v>4</v>
      </c>
      <c r="D40" s="60">
        <v>64.553846153846152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14.319230769230776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44</v>
      </c>
      <c r="B41" s="60">
        <v>303.15384615384613</v>
      </c>
      <c r="C41" s="60">
        <v>5</v>
      </c>
      <c r="D41" s="60">
        <v>64.476923076923072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13.14134615384615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52</v>
      </c>
      <c r="B42" s="60">
        <v>331.81538461538463</v>
      </c>
      <c r="C42" s="60">
        <v>6</v>
      </c>
      <c r="D42" s="60">
        <v>61.784615384615378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11.642307692307696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60</v>
      </c>
      <c r="B43" s="60">
        <v>353.5</v>
      </c>
      <c r="C43" s="60">
        <v>7</v>
      </c>
      <c r="D43" s="60">
        <v>353.5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10.433653846153845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194.8881828356399</v>
      </c>
      <c r="T3" s="59">
        <f>IF('Données projet'!E9&gt;30,$R$33-$H$33,LOOKUP('Données projet'!$E$9,$A$3:$A$203,R3:R203)-LOOKUP('Données projet'!$E$9,$A$3:$A$203,$H$3:$H$203))</f>
        <v>195.26562343155132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7.4312217194570129</v>
      </c>
      <c r="N4" s="13">
        <f>IF('Données projet'!$A$36&gt;35,N3+M4-V3,IF(A4&lt;'Données projet'!$A$36,$K$205^A4,IF(A4='Données projet'!$A$36,'Données projet'!$B$36,N3+M4-V3)))</f>
        <v>1.3292852468636394</v>
      </c>
      <c r="O4" s="13">
        <f>N4*VLOOKUP('Données projet'!$B$9,Paramètres!$A$1:$I$89,3,0)*VLOOKUP('Données projet'!$B$9,Paramètres!$A$1:$I$89,5,0)</f>
        <v>0.79491257762445644</v>
      </c>
      <c r="P4" s="13">
        <f>EXP(-1.0587+0.8836*LN(O4)+0.284)</f>
        <v>0.37624805113513943</v>
      </c>
      <c r="Q4" s="20">
        <f t="shared" ref="Q4:Q34" si="2">(O4+P4)*0.475*44/12</f>
        <v>2.0397714284229629</v>
      </c>
      <c r="R4" s="59">
        <f t="shared" si="0"/>
        <v>295.37310476175628</v>
      </c>
      <c r="S4" s="59">
        <f ca="1">AVERAGE(OFFSET($R$3,0,0,'Données projet'!$E$9+1,1))-AVERAGE(OFFSET($H$3,0,0,'Données projet'!$E$9+1,1))</f>
        <v>194.8881828356399</v>
      </c>
      <c r="T4" s="59">
        <f>$T$3</f>
        <v>195.26562343155132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7.4312217194570129</v>
      </c>
      <c r="N5" s="13">
        <f>IF('Données projet'!$A$36&gt;35,N4+M5-V4,IF(A5&lt;'Données projet'!$A$36,$K$205^A5,IF(A5='Données projet'!$A$36,'Données projet'!$B$36,N4+M5-V4)))</f>
        <v>1.7669992675293267</v>
      </c>
      <c r="O5" s="13">
        <f>N5*VLOOKUP('Données projet'!$B$9,Paramètres!$A$1:$I$89,3,0)*VLOOKUP('Données projet'!$B$9,Paramètres!$A$1:$I$89,5,0)</f>
        <v>1.0566655619825374</v>
      </c>
      <c r="P5" s="13">
        <f t="shared" ref="P5:P68" si="33">EXP(-1.0587+0.8836*LN(O5)+0.284)</f>
        <v>0.48384169076702271</v>
      </c>
      <c r="Q5" s="20">
        <f t="shared" si="2"/>
        <v>2.6830501318721502</v>
      </c>
      <c r="R5" s="59">
        <f t="shared" si="0"/>
        <v>296.01638346520548</v>
      </c>
      <c r="S5" s="59">
        <f ca="1">AVERAGE(OFFSET($R$3,0,0,'Données projet'!$E$9+1,1))-AVERAGE(OFFSET($H$3,0,0,'Données projet'!$E$9+1,1))</f>
        <v>194.8881828356399</v>
      </c>
      <c r="T5" s="59">
        <f t="shared" ref="T5:T68" si="34">$T$3</f>
        <v>195.26562343155132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7.4312217194570129</v>
      </c>
      <c r="N6" s="13">
        <f>IF('Données projet'!$A$36&gt;35,N5+M6-V5,IF(A6&lt;'Données projet'!$A$36,$K$205^A6,IF(A6='Données projet'!$A$36,'Données projet'!$B$36,N5+M6-V5)))</f>
        <v>2.3488460575455909</v>
      </c>
      <c r="O6" s="13">
        <f>N6*VLOOKUP('Données projet'!$B$9,Paramètres!$A$1:$I$89,3,0)*VLOOKUP('Données projet'!$B$9,Paramètres!$A$1:$I$89,5,0)</f>
        <v>1.4046099424122636</v>
      </c>
      <c r="P6" s="13">
        <f t="shared" si="33"/>
        <v>0.62220330714804695</v>
      </c>
      <c r="Q6" s="20">
        <f t="shared" si="2"/>
        <v>3.5300330763175403</v>
      </c>
      <c r="R6" s="59">
        <f t="shared" si="0"/>
        <v>296.86336640965084</v>
      </c>
      <c r="S6" s="59">
        <f ca="1">AVERAGE(OFFSET($R$3,0,0,'Données projet'!$E$9+1,1))-AVERAGE(OFFSET($H$3,0,0,'Données projet'!$E$9+1,1))</f>
        <v>194.8881828356399</v>
      </c>
      <c r="T6" s="59">
        <f t="shared" si="34"/>
        <v>195.26562343155132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7.4312217194570129</v>
      </c>
      <c r="N7" s="13">
        <f>IF('Données projet'!$A$36&gt;35,N6+M7-V6,IF(A7&lt;'Données projet'!$A$36,$K$205^A7,IF(A7='Données projet'!$A$36,'Données projet'!$B$36,N6+M7-V6)))</f>
        <v>3.1222864114491768</v>
      </c>
      <c r="O7" s="13">
        <f>N7*VLOOKUP('Données projet'!$B$9,Paramètres!$A$1:$I$89,3,0)*VLOOKUP('Données projet'!$B$9,Paramètres!$A$1:$I$89,5,0)</f>
        <v>1.8671272740466078</v>
      </c>
      <c r="P7" s="13">
        <f t="shared" si="33"/>
        <v>0.80013145376589556</v>
      </c>
      <c r="Q7" s="20">
        <f t="shared" si="2"/>
        <v>4.6454756176067766</v>
      </c>
      <c r="R7" s="59">
        <f t="shared" si="0"/>
        <v>297.97880895094011</v>
      </c>
      <c r="S7" s="59">
        <f ca="1">AVERAGE(OFFSET($R$3,0,0,'Données projet'!$E$9+1,1))-AVERAGE(OFFSET($H$3,0,0,'Données projet'!$E$9+1,1))</f>
        <v>194.8881828356399</v>
      </c>
      <c r="T7" s="59">
        <f t="shared" si="34"/>
        <v>195.26562343155132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7.4312217194570129</v>
      </c>
      <c r="N8" s="13">
        <f>IF('Données projet'!$A$36&gt;35,N7+M8-V7,IF(A8&lt;'Données projet'!$A$36,$K$205^A8,IF(A8='Données projet'!$A$36,'Données projet'!$B$36,N7+M8-V7)))</f>
        <v>4.1504092632222056</v>
      </c>
      <c r="O8" s="13">
        <f>N8*VLOOKUP('Données projet'!$B$9,Paramètres!$A$1:$I$89,3,0)*VLOOKUP('Données projet'!$B$9,Paramètres!$A$1:$I$89,5,0)</f>
        <v>2.4819447394068792</v>
      </c>
      <c r="P8" s="13">
        <f t="shared" si="33"/>
        <v>1.0289407593154982</v>
      </c>
      <c r="Q8" s="20">
        <f t="shared" si="2"/>
        <v>6.1147922436081394</v>
      </c>
      <c r="R8" s="59">
        <f t="shared" si="0"/>
        <v>299.44812557694144</v>
      </c>
      <c r="S8" s="59">
        <f ca="1">AVERAGE(OFFSET($R$3,0,0,'Données projet'!$E$9+1,1))-AVERAGE(OFFSET($H$3,0,0,'Données projet'!$E$9+1,1))</f>
        <v>194.8881828356399</v>
      </c>
      <c r="T8" s="59">
        <f t="shared" si="34"/>
        <v>195.26562343155132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7.4312217194570129</v>
      </c>
      <c r="N9" s="13">
        <f>IF('Données projet'!$A$36&gt;35,N8+M9-V8,IF(A9&lt;'Données projet'!$A$36,$K$205^A9,IF(A9='Données projet'!$A$36,'Données projet'!$B$36,N8+M9-V8)))</f>
        <v>5.5170778020474653</v>
      </c>
      <c r="O9" s="13">
        <f>N9*VLOOKUP('Données projet'!$B$9,Paramètres!$A$1:$I$89,3,0)*VLOOKUP('Données projet'!$B$9,Paramètres!$A$1:$I$89,5,0)</f>
        <v>3.2992125256243843</v>
      </c>
      <c r="P9" s="13">
        <f t="shared" si="33"/>
        <v>1.3231814362474952</v>
      </c>
      <c r="Q9" s="20">
        <f t="shared" si="2"/>
        <v>8.0506694835935235</v>
      </c>
      <c r="R9" s="59">
        <f t="shared" si="0"/>
        <v>301.38400281692685</v>
      </c>
      <c r="S9" s="59">
        <f ca="1">AVERAGE(OFFSET($R$3,0,0,'Données projet'!$E$9+1,1))-AVERAGE(OFFSET($H$3,0,0,'Données projet'!$E$9+1,1))</f>
        <v>194.8881828356399</v>
      </c>
      <c r="T9" s="59">
        <f t="shared" si="34"/>
        <v>195.26562343155132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7.4312217194570129</v>
      </c>
      <c r="N10" s="13">
        <f>IF('Données projet'!$A$36&gt;35,N9+M10-V9,IF(A10&lt;'Données projet'!$A$36,$K$205^A10,IF(A10='Données projet'!$A$36,'Données projet'!$B$36,N9+M10-V9)))</f>
        <v>7.3337701280605696</v>
      </c>
      <c r="O10" s="13">
        <f>N10*VLOOKUP('Données projet'!$B$9,Paramètres!$A$1:$I$89,3,0)*VLOOKUP('Données projet'!$B$9,Paramètres!$A$1:$I$89,5,0)</f>
        <v>4.3855945365802205</v>
      </c>
      <c r="P10" s="13">
        <f t="shared" si="33"/>
        <v>1.7015645433219191</v>
      </c>
      <c r="Q10" s="20">
        <f t="shared" si="2"/>
        <v>10.601802064162893</v>
      </c>
      <c r="R10" s="59">
        <f t="shared" si="0"/>
        <v>303.9351353974962</v>
      </c>
      <c r="S10" s="59">
        <f ca="1">AVERAGE(OFFSET($R$3,0,0,'Données projet'!$E$9+1,1))-AVERAGE(OFFSET($H$3,0,0,'Données projet'!$E$9+1,1))</f>
        <v>194.8881828356399</v>
      </c>
      <c r="T10" s="59">
        <f t="shared" si="34"/>
        <v>195.26562343155132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7.4312217194570129</v>
      </c>
      <c r="N11" s="13">
        <f>IF('Données projet'!$A$36&gt;35,N10+M11-V10,IF(A11&lt;'Données projet'!$A$36,$K$205^A11,IF(A11='Données projet'!$A$36,'Données projet'!$B$36,N10+M11-V10)))</f>
        <v>9.748672435120179</v>
      </c>
      <c r="O11" s="13">
        <f>N11*VLOOKUP('Données projet'!$B$9,Paramètres!$A$1:$I$89,3,0)*VLOOKUP('Données projet'!$B$9,Paramètres!$A$1:$I$89,5,0)</f>
        <v>5.8297061162018684</v>
      </c>
      <c r="P11" s="13">
        <f t="shared" si="33"/>
        <v>2.1881518405377438</v>
      </c>
      <c r="Q11" s="20">
        <f t="shared" si="2"/>
        <v>13.96443594132149</v>
      </c>
      <c r="R11" s="59">
        <f t="shared" si="0"/>
        <v>307.2977692746548</v>
      </c>
      <c r="S11" s="59">
        <f ca="1">AVERAGE(OFFSET($R$3,0,0,'Données projet'!$E$9+1,1))-AVERAGE(OFFSET($H$3,0,0,'Données projet'!$E$9+1,1))</f>
        <v>194.8881828356399</v>
      </c>
      <c r="T11" s="59">
        <f t="shared" si="34"/>
        <v>195.26562343155132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7.4312217194570129</v>
      </c>
      <c r="N12" s="13">
        <f>IF('Données projet'!$A$36&gt;35,N11+M12-V11,IF(A12&lt;'Données projet'!$A$36,$K$205^A12,IF(A12='Données projet'!$A$36,'Données projet'!$B$36,N11+M12-V11)))</f>
        <v>12.958766444511483</v>
      </c>
      <c r="O12" s="13">
        <f>N12*VLOOKUP('Données projet'!$B$9,Paramètres!$A$1:$I$89,3,0)*VLOOKUP('Données projet'!$B$9,Paramètres!$A$1:$I$89,5,0)</f>
        <v>7.7493423338178671</v>
      </c>
      <c r="P12" s="13">
        <f t="shared" si="33"/>
        <v>2.8138859005026107</v>
      </c>
      <c r="Q12" s="20">
        <f t="shared" si="2"/>
        <v>18.397622508108167</v>
      </c>
      <c r="R12" s="59">
        <f t="shared" si="0"/>
        <v>311.73095584144147</v>
      </c>
      <c r="S12" s="59">
        <f ca="1">AVERAGE(OFFSET($R$3,0,0,'Données projet'!$E$9+1,1))-AVERAGE(OFFSET($H$3,0,0,'Données projet'!$E$9+1,1))</f>
        <v>194.8881828356399</v>
      </c>
      <c r="T12" s="59">
        <f t="shared" si="34"/>
        <v>195.26562343155132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7.4312217194570129</v>
      </c>
      <c r="N13" s="13">
        <f>IF('Données projet'!$A$36&gt;35,N12+M13-V12,IF(A13&lt;'Données projet'!$A$36,$K$205^A13,IF(A13='Données projet'!$A$36,'Données projet'!$B$36,N12+M13-V12)))</f>
        <v>17.225897052240693</v>
      </c>
      <c r="O13" s="13">
        <f>N13*VLOOKUP('Données projet'!$B$9,Paramètres!$A$1:$I$89,3,0)*VLOOKUP('Données projet'!$B$9,Paramètres!$A$1:$I$89,5,0)</f>
        <v>10.301086437239935</v>
      </c>
      <c r="P13" s="13">
        <f t="shared" si="33"/>
        <v>3.6185577775542006</v>
      </c>
      <c r="Q13" s="20">
        <f t="shared" si="2"/>
        <v>24.243380340766453</v>
      </c>
      <c r="R13" s="59">
        <f t="shared" si="0"/>
        <v>317.57671367409978</v>
      </c>
      <c r="S13" s="59">
        <f ca="1">AVERAGE(OFFSET($R$3,0,0,'Données projet'!$E$9+1,1))-AVERAGE(OFFSET($H$3,0,0,'Données projet'!$E$9+1,1))</f>
        <v>194.8881828356399</v>
      </c>
      <c r="T13" s="59">
        <f t="shared" si="34"/>
        <v>195.26562343155132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7.4312217194570129</v>
      </c>
      <c r="N14" s="13">
        <f>IF('Données projet'!$A$36&gt;35,N13+M14-V13,IF(A14&lt;'Données projet'!$A$36,$K$205^A14,IF(A14='Données projet'!$A$36,'Données projet'!$B$36,N13+M14-V13)))</f>
        <v>22.89813081553541</v>
      </c>
      <c r="O14" s="13">
        <f>N14*VLOOKUP('Données projet'!$B$9,Paramètres!$A$1:$I$89,3,0)*VLOOKUP('Données projet'!$B$9,Paramètres!$A$1:$I$89,5,0)</f>
        <v>13.693082227690176</v>
      </c>
      <c r="P14" s="13">
        <f t="shared" si="33"/>
        <v>4.6533373606794726</v>
      </c>
      <c r="Q14" s="20">
        <f t="shared" si="2"/>
        <v>31.953347449743802</v>
      </c>
      <c r="R14" s="59">
        <f t="shared" si="0"/>
        <v>325.28668078307714</v>
      </c>
      <c r="S14" s="59">
        <f ca="1">AVERAGE(OFFSET($R$3,0,0,'Données projet'!$E$9+1,1))-AVERAGE(OFFSET($H$3,0,0,'Données projet'!$E$9+1,1))</f>
        <v>194.8881828356399</v>
      </c>
      <c r="T14" s="59">
        <f t="shared" si="34"/>
        <v>195.26562343155132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7.4312217194570129</v>
      </c>
      <c r="N15" s="13">
        <f>IF('Données projet'!$A$36&gt;35,N14+M15-V14,IF(A15&lt;'Données projet'!$A$36,$K$205^A15,IF(A15='Données projet'!$A$36,'Données projet'!$B$36,N14+M15-V14)))</f>
        <v>30.438147473844893</v>
      </c>
      <c r="O15" s="13">
        <f>N15*VLOOKUP('Données projet'!$B$9,Paramètres!$A$1:$I$89,3,0)*VLOOKUP('Données projet'!$B$9,Paramètres!$A$1:$I$89,5,0)</f>
        <v>18.202012189359248</v>
      </c>
      <c r="P15" s="13">
        <f t="shared" si="33"/>
        <v>5.984027317903192</v>
      </c>
      <c r="Q15" s="20">
        <f t="shared" si="2"/>
        <v>42.124018808482084</v>
      </c>
      <c r="R15" s="59">
        <f t="shared" si="0"/>
        <v>335.45735214181542</v>
      </c>
      <c r="S15" s="59">
        <f ca="1">AVERAGE(OFFSET($R$3,0,0,'Données projet'!$E$9+1,1))-AVERAGE(OFFSET($H$3,0,0,'Données projet'!$E$9+1,1))</f>
        <v>194.8881828356399</v>
      </c>
      <c r="T15" s="59">
        <f t="shared" si="34"/>
        <v>195.26562343155132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7.4312217194570129</v>
      </c>
      <c r="N16" s="13">
        <f>IF('Données projet'!$A$36&gt;35,N15+M16-V15,IF(A16&lt;'Données projet'!$A$36,$K$205^A16,IF(A16='Données projet'!$A$36,'Données projet'!$B$36,N15+M16-V15)))</f>
        <v>40.460980378841768</v>
      </c>
      <c r="O16" s="13">
        <f>N16*VLOOKUP('Données projet'!$B$9,Paramètres!$A$1:$I$89,3,0)*VLOOKUP('Données projet'!$B$9,Paramètres!$A$1:$I$89,5,0)</f>
        <v>24.195666266547377</v>
      </c>
      <c r="P16" s="13">
        <f t="shared" si="33"/>
        <v>7.6952475537219458</v>
      </c>
      <c r="Q16" s="20">
        <f t="shared" si="2"/>
        <v>55.543341570302402</v>
      </c>
      <c r="R16" s="59">
        <f t="shared" si="0"/>
        <v>348.87667490363572</v>
      </c>
      <c r="S16" s="59">
        <f ca="1">AVERAGE(OFFSET($R$3,0,0,'Données projet'!$E$9+1,1))-AVERAGE(OFFSET($H$3,0,0,'Données projet'!$E$9+1,1))</f>
        <v>194.8881828356399</v>
      </c>
      <c r="T16" s="59">
        <f t="shared" si="34"/>
        <v>195.26562343155132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7.4312217194570129</v>
      </c>
      <c r="N17" s="13">
        <f>IF('Données projet'!$A$36&gt;35,N16+M17-V16,IF(A17&lt;'Données projet'!$A$36,$K$205^A17,IF(A17='Données projet'!$A$36,'Données projet'!$B$36,N16+M17-V16)))</f>
        <v>53.784184291233551</v>
      </c>
      <c r="O17" s="13">
        <f>N17*VLOOKUP('Données projet'!$B$9,Paramètres!$A$1:$I$89,3,0)*VLOOKUP('Données projet'!$B$9,Paramètres!$A$1:$I$89,5,0)</f>
        <v>32.162942206157666</v>
      </c>
      <c r="P17" s="13">
        <f t="shared" si="33"/>
        <v>9.8958162734145461</v>
      </c>
      <c r="Q17" s="20">
        <f t="shared" si="2"/>
        <v>73.252337685254929</v>
      </c>
      <c r="R17" s="59">
        <f t="shared" si="0"/>
        <v>366.58567101858824</v>
      </c>
      <c r="S17" s="59">
        <f ca="1">AVERAGE(OFFSET($R$3,0,0,'Données projet'!$E$9+1,1))-AVERAGE(OFFSET($H$3,0,0,'Données projet'!$E$9+1,1))</f>
        <v>194.8881828356399</v>
      </c>
      <c r="T17" s="59">
        <f t="shared" si="34"/>
        <v>195.26562343155132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7.4312217194570129</v>
      </c>
      <c r="N18" s="13">
        <f>IF('Données projet'!$A$36&gt;35,N17+M18-V17,IF(A18&lt;'Données projet'!$A$36,$K$205^A18,IF(A18='Données projet'!$A$36,'Données projet'!$B$36,N17+M18-V17)))</f>
        <v>71.494522692931866</v>
      </c>
      <c r="O18" s="13">
        <f>N18*VLOOKUP('Données projet'!$B$9,Paramètres!$A$1:$I$89,3,0)*VLOOKUP('Données projet'!$B$9,Paramètres!$A$1:$I$89,5,0)</f>
        <v>42.753724570373258</v>
      </c>
      <c r="P18" s="13">
        <f t="shared" si="33"/>
        <v>12.725669841487028</v>
      </c>
      <c r="Q18" s="20">
        <f t="shared" si="2"/>
        <v>96.626611933989992</v>
      </c>
      <c r="R18" s="59">
        <f t="shared" si="0"/>
        <v>389.95994526732329</v>
      </c>
      <c r="S18" s="59">
        <f ca="1">AVERAGE(OFFSET($R$3,0,0,'Données projet'!$E$9+1,1))-AVERAGE(OFFSET($H$3,0,0,'Données projet'!$E$9+1,1))</f>
        <v>194.8881828356399</v>
      </c>
      <c r="T18" s="59">
        <f t="shared" si="34"/>
        <v>195.26562343155132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7.4312217194570129</v>
      </c>
      <c r="N19" s="13">
        <f>IF('Données projet'!$A$36&gt;35,N18+M19-V18,IF(A19&lt;'Données projet'!$A$36,$K$205^A19,IF(A19='Données projet'!$A$36,'Données projet'!$B$36,N18+M19-V18)))</f>
        <v>95.036614247271999</v>
      </c>
      <c r="O19" s="13">
        <f>N19*VLOOKUP('Données projet'!$B$9,Paramètres!$A$1:$I$89,3,0)*VLOOKUP('Données projet'!$B$9,Paramètres!$A$1:$I$89,5,0)</f>
        <v>56.831895319868664</v>
      </c>
      <c r="P19" s="13">
        <f t="shared" si="33"/>
        <v>16.364761474967661</v>
      </c>
      <c r="Q19" s="20">
        <f t="shared" si="2"/>
        <v>127.4841772510066</v>
      </c>
      <c r="R19" s="59">
        <f t="shared" si="0"/>
        <v>420.81751058433991</v>
      </c>
      <c r="S19" s="59">
        <f ca="1">AVERAGE(OFFSET($R$3,0,0,'Données projet'!$E$9+1,1))-AVERAGE(OFFSET($H$3,0,0,'Données projet'!$E$9+1,1))</f>
        <v>194.8881828356399</v>
      </c>
      <c r="T19" s="59">
        <f t="shared" si="34"/>
        <v>195.26562343155132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126.33076923076922</v>
      </c>
      <c r="L20" s="12">
        <f>VLOOKUP(A20,'Données projet'!$A$35:$I$55,9,0)</f>
        <v>7.4312217194570129</v>
      </c>
      <c r="M20" s="12">
        <f t="array" ref="M20">INDEX(L:L,MIN(IF(ISNUMBER(L20:L216),ROW(L20:L216),"")))</f>
        <v>7.4312217194570129</v>
      </c>
      <c r="N20" s="13">
        <f>IF('Données projet'!$A$36&gt;35,N19+M20-V19,IF(A20&lt;'Données projet'!$A$36,$K$205^A20,IF(A20='Données projet'!$A$36,'Données projet'!$B$36,N19+M20-V19)))</f>
        <v>126.33076923076922</v>
      </c>
      <c r="O20" s="13">
        <f>N20*VLOOKUP('Données projet'!$B$9,Paramètres!$A$1:$I$89,3,0)*VLOOKUP('Données projet'!$B$9,Paramètres!$A$1:$I$89,5,0)</f>
        <v>75.5458</v>
      </c>
      <c r="P20" s="13">
        <f t="shared" si="33"/>
        <v>21.044504648353485</v>
      </c>
      <c r="Q20" s="20">
        <f t="shared" si="2"/>
        <v>168.22811392921565</v>
      </c>
      <c r="R20" s="59">
        <f t="shared" si="0"/>
        <v>461.561447262549</v>
      </c>
      <c r="S20" s="59">
        <f ca="1">AVERAGE(OFFSET($R$3,0,0,'Données projet'!$E$9+1,1))-AVERAGE(OFFSET($H$3,0,0,'Données projet'!$E$9+1,1))</f>
        <v>194.8881828356399</v>
      </c>
      <c r="T20" s="59">
        <f t="shared" si="34"/>
        <v>195.26562343155132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42.084615384615383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0.25200000000000006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8.3799241086489591</v>
      </c>
      <c r="AB20" s="21">
        <f>EXP(-LN(2)/2)*AB19+(1-EXP(-LN(2)/2))/(LN(2)/2)*V20*Y20*VLOOKUP('Données projet'!$B$9,Paramètres!$A$1:$I$89,3,0)*0.475*44/12</f>
        <v>12.537552429129006</v>
      </c>
      <c r="AC20" s="22">
        <f t="shared" si="3"/>
        <v>20.917476537777965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14.926923076923075</v>
      </c>
      <c r="N21" s="13">
        <f>IF('Données projet'!$A$36&gt;35,N20+M21-V20,IF(A21&lt;'Données projet'!$A$36,$K$205^A21,IF(A21='Données projet'!$A$36,'Données projet'!$B$36,N20+M21-V20)))</f>
        <v>99.173076923076934</v>
      </c>
      <c r="O21" s="13">
        <f>N21*VLOOKUP('Données projet'!$B$9,Paramètres!$A$1:$I$89,3,0)*VLOOKUP('Données projet'!$B$9,Paramètres!$A$1:$I$89,5,0)</f>
        <v>59.305500000000016</v>
      </c>
      <c r="P21" s="13">
        <f t="shared" si="33"/>
        <v>16.992558820122873</v>
      </c>
      <c r="Q21" s="20">
        <f t="shared" si="2"/>
        <v>132.88578577838067</v>
      </c>
      <c r="R21" s="59">
        <f t="shared" si="0"/>
        <v>426.21911911171401</v>
      </c>
      <c r="S21" s="59">
        <f ca="1">AVERAGE(OFFSET($R$3,0,0,'Données projet'!$E$9+1,1))-AVERAGE(OFFSET($H$3,0,0,'Données projet'!$E$9+1,1))</f>
        <v>194.8881828356399</v>
      </c>
      <c r="T21" s="59">
        <f t="shared" si="34"/>
        <v>195.26562343155132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8.1507746432168968</v>
      </c>
      <c r="AB21" s="21">
        <f>EXP(-LN(2)/2)*AB20+(1-EXP(-LN(2)/2))/(LN(2)/2)*V21*Y21*VLOOKUP('Données projet'!$B$9,Paramètres!$A$1:$I$89,3,0)*0.475*44/12</f>
        <v>8.8653883421189921</v>
      </c>
      <c r="AC21" s="22">
        <f t="shared" si="3"/>
        <v>17.016162985335889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14.926923076923075</v>
      </c>
      <c r="N22" s="13">
        <f>IF('Données projet'!$A$36&gt;35,N21+M22-V21,IF(A22&lt;'Données projet'!$A$36,$K$205^A22,IF(A22='Données projet'!$A$36,'Données projet'!$B$36,N21+M22-V21)))</f>
        <v>114.10000000000001</v>
      </c>
      <c r="O22" s="13">
        <f>N22*VLOOKUP('Données projet'!$B$9,Paramètres!$A$1:$I$89,3,0)*VLOOKUP('Données projet'!$B$9,Paramètres!$A$1:$I$89,5,0)</f>
        <v>68.231800000000007</v>
      </c>
      <c r="P22" s="13">
        <f t="shared" si="33"/>
        <v>19.233699497264624</v>
      </c>
      <c r="Q22" s="20">
        <f t="shared" si="2"/>
        <v>152.3357449577359</v>
      </c>
      <c r="R22" s="59">
        <f t="shared" si="0"/>
        <v>445.66907829106924</v>
      </c>
      <c r="S22" s="59">
        <f ca="1">AVERAGE(OFFSET($R$3,0,0,'Données projet'!$E$9+1,1))-AVERAGE(OFFSET($H$3,0,0,'Données projet'!$E$9+1,1))</f>
        <v>194.8881828356399</v>
      </c>
      <c r="T22" s="59">
        <f t="shared" si="34"/>
        <v>195.26562343155132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7.9278912819675211</v>
      </c>
      <c r="AB22" s="21">
        <f>EXP(-LN(2)/2)*AB21+(1-EXP(-LN(2)/2))/(LN(2)/2)*V22*Y22*VLOOKUP('Données projet'!$B$9,Paramètres!$A$1:$I$89,3,0)*0.475*44/12</f>
        <v>6.2687762145645038</v>
      </c>
      <c r="AC22" s="22">
        <f t="shared" si="3"/>
        <v>14.196667496532026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14.926923076923075</v>
      </c>
      <c r="N23" s="13">
        <f>IF('Données projet'!$A$36&gt;35,N22+M23-V22,IF(A23&lt;'Données projet'!$A$36,$K$205^A23,IF(A23='Données projet'!$A$36,'Données projet'!$B$36,N22+M23-V22)))</f>
        <v>129.02692307692308</v>
      </c>
      <c r="O23" s="13">
        <f>N23*VLOOKUP('Données projet'!$B$9,Paramètres!$A$1:$I$89,3,0)*VLOOKUP('Données projet'!$B$9,Paramètres!$A$1:$I$89,5,0)</f>
        <v>77.158100000000005</v>
      </c>
      <c r="P23" s="13">
        <f t="shared" si="33"/>
        <v>21.440868838738705</v>
      </c>
      <c r="Q23" s="20">
        <f t="shared" si="2"/>
        <v>171.72653739413659</v>
      </c>
      <c r="R23" s="59">
        <f t="shared" si="0"/>
        <v>465.0598707274699</v>
      </c>
      <c r="S23" s="59">
        <f ca="1">AVERAGE(OFFSET($R$3,0,0,'Données projet'!$E$9+1,1))-AVERAGE(OFFSET($H$3,0,0,'Données projet'!$E$9+1,1))</f>
        <v>194.8881828356399</v>
      </c>
      <c r="T23" s="59">
        <f t="shared" si="34"/>
        <v>195.26562343155132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7.7111026779524359</v>
      </c>
      <c r="AB23" s="21">
        <f>EXP(-LN(2)/2)*AB22+(1-EXP(-LN(2)/2))/(LN(2)/2)*V23*Y23*VLOOKUP('Données projet'!$B$9,Paramètres!$A$1:$I$89,3,0)*0.475*44/12</f>
        <v>4.4326941710594969</v>
      </c>
      <c r="AC23" s="22">
        <f t="shared" si="3"/>
        <v>12.143796849011933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14.926923076923075</v>
      </c>
      <c r="N24" s="13">
        <f>IF('Données projet'!$A$36&gt;35,N23+M24-V23,IF(A24&lt;'Données projet'!$A$36,$K$205^A24,IF(A24='Données projet'!$A$36,'Données projet'!$B$36,N23+M24-V23)))</f>
        <v>143.95384615384614</v>
      </c>
      <c r="O24" s="13">
        <f>N24*VLOOKUP('Données projet'!$B$9,Paramètres!$A$1:$I$89,3,0)*VLOOKUP('Données projet'!$B$9,Paramètres!$A$1:$I$89,5,0)</f>
        <v>86.084400000000002</v>
      </c>
      <c r="P24" s="13">
        <f t="shared" si="33"/>
        <v>23.618445758177199</v>
      </c>
      <c r="Q24" s="20">
        <f t="shared" si="2"/>
        <v>191.06578969549196</v>
      </c>
      <c r="R24" s="59">
        <f t="shared" si="0"/>
        <v>484.39912302882527</v>
      </c>
      <c r="S24" s="59">
        <f ca="1">AVERAGE(OFFSET($R$3,0,0,'Données projet'!$E$9+1,1))-AVERAGE(OFFSET($H$3,0,0,'Données projet'!$E$9+1,1))</f>
        <v>194.8881828356399</v>
      </c>
      <c r="T24" s="59">
        <f t="shared" si="34"/>
        <v>195.26562343155132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7.5002421697145607</v>
      </c>
      <c r="AB24" s="21">
        <f>EXP(-LN(2)/2)*AB23+(1-EXP(-LN(2)/2))/(LN(2)/2)*V24*Y24*VLOOKUP('Données projet'!$B$9,Paramètres!$A$1:$I$89,3,0)*0.475*44/12</f>
        <v>3.1343881072822524</v>
      </c>
      <c r="AC24" s="22">
        <f t="shared" si="3"/>
        <v>10.634630276996813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14.926923076923075</v>
      </c>
      <c r="N25" s="13">
        <f>IF('Données projet'!$A$36&gt;35,N24+M25-V24,IF(A25&lt;'Données projet'!$A$36,$K$205^A25,IF(A25='Données projet'!$A$36,'Données projet'!$B$36,N24+M25-V24)))</f>
        <v>158.8807692307692</v>
      </c>
      <c r="O25" s="13">
        <f>N25*VLOOKUP('Données projet'!$B$9,Paramètres!$A$1:$I$89,3,0)*VLOOKUP('Données projet'!$B$9,Paramètres!$A$1:$I$89,5,0)</f>
        <v>95.0107</v>
      </c>
      <c r="P25" s="13">
        <f t="shared" si="33"/>
        <v>25.769848277327686</v>
      </c>
      <c r="Q25" s="20">
        <f t="shared" si="2"/>
        <v>210.3594549163457</v>
      </c>
      <c r="R25" s="59">
        <f t="shared" si="0"/>
        <v>503.69278824967898</v>
      </c>
      <c r="S25" s="59">
        <f ca="1">AVERAGE(OFFSET($R$3,0,0,'Données projet'!$E$9+1,1))-AVERAGE(OFFSET($H$3,0,0,'Données projet'!$E$9+1,1))</f>
        <v>194.8881828356399</v>
      </c>
      <c r="T25" s="59">
        <f t="shared" si="34"/>
        <v>195.26562343155132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7.2951476531631227</v>
      </c>
      <c r="AB25" s="21">
        <f>EXP(-LN(2)/2)*AB24+(1-EXP(-LN(2)/2))/(LN(2)/2)*V25*Y25*VLOOKUP('Données projet'!$B$9,Paramètres!$A$1:$I$89,3,0)*0.475*44/12</f>
        <v>2.2163470855297485</v>
      </c>
      <c r="AC25" s="22">
        <f t="shared" si="3"/>
        <v>9.5114947386928712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173.80769230769229</v>
      </c>
      <c r="L26" s="12">
        <f>VLOOKUP(A26,'Données projet'!$A$35:$I$55,9,0)</f>
        <v>14.926923076923075</v>
      </c>
      <c r="M26" s="12">
        <f t="array" ref="M26">INDEX(L:L,MIN(IF(ISNUMBER(L26:L222),ROW(L26:L222),"")))</f>
        <v>14.926923076923075</v>
      </c>
      <c r="N26" s="13">
        <f>IF('Données projet'!$A$36&gt;35,N25+M26-V25,IF(A26&lt;'Données projet'!$A$36,$K$205^A26,IF(A26='Données projet'!$A$36,'Données projet'!$B$36,N25+M26-V25)))</f>
        <v>173.80769230769226</v>
      </c>
      <c r="O26" s="13">
        <f>N26*VLOOKUP('Données projet'!$B$9,Paramètres!$A$1:$I$89,3,0)*VLOOKUP('Données projet'!$B$9,Paramètres!$A$1:$I$89,5,0)</f>
        <v>103.93699999999998</v>
      </c>
      <c r="P26" s="13">
        <f t="shared" si="33"/>
        <v>27.897815230264825</v>
      </c>
      <c r="Q26" s="20">
        <f t="shared" si="2"/>
        <v>229.61230319271121</v>
      </c>
      <c r="R26" s="59">
        <f t="shared" si="0"/>
        <v>522.9456365260445</v>
      </c>
      <c r="S26" s="59">
        <f ca="1">AVERAGE(OFFSET($R$3,0,0,'Données projet'!$E$9+1,1))-AVERAGE(OFFSET($H$3,0,0,'Données projet'!$E$9+1,1))</f>
        <v>194.8881828356399</v>
      </c>
      <c r="T26" s="59">
        <f t="shared" si="34"/>
        <v>195.26562343155132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54.099999999999994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0.25200000000000006</v>
      </c>
      <c r="Y26" s="16">
        <f>IF(ISNA(VLOOKUP(A26,'Données projet'!$A$35:$I$55,7,0)),0%,VLOOKUP(A26,'Données projet'!$A$35:$I$55,7,0))</f>
        <v>0.44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17.868099083734933</v>
      </c>
      <c r="AB26" s="21">
        <f>EXP(-LN(2)/2)*AB25+(1-EXP(-LN(2)/2))/(LN(2)/2)*V26*Y26*VLOOKUP('Données projet'!$B$9,Paramètres!$A$1:$I$89,3,0)*0.475*44/12</f>
        <v>17.684285304612487</v>
      </c>
      <c r="AC26" s="22">
        <f t="shared" si="3"/>
        <v>35.55238438834742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15.073076923076925</v>
      </c>
      <c r="N27" s="13">
        <f>IF('Données projet'!$A$36&gt;35,N26+M27-V26,IF(A27&lt;'Données projet'!$A$36,$K$205^A27,IF(A27='Données projet'!$A$36,'Données projet'!$B$36,N26+M27-V26)))</f>
        <v>134.78076923076921</v>
      </c>
      <c r="O27" s="13">
        <f>N27*VLOOKUP('Données projet'!$B$9,Paramètres!$A$1:$I$89,3,0)*VLOOKUP('Données projet'!$B$9,Paramètres!$A$1:$I$89,5,0)</f>
        <v>80.598899999999986</v>
      </c>
      <c r="P27" s="13">
        <f t="shared" si="33"/>
        <v>22.283554667877272</v>
      </c>
      <c r="Q27" s="20">
        <f t="shared" si="2"/>
        <v>179.18694187988618</v>
      </c>
      <c r="R27" s="59">
        <f t="shared" si="0"/>
        <v>472.52027521321952</v>
      </c>
      <c r="S27" s="59">
        <f ca="1">AVERAGE(OFFSET($R$3,0,0,'Données projet'!$E$9+1,1))-AVERAGE(OFFSET($H$3,0,0,'Données projet'!$E$9+1,1))</f>
        <v>194.8881828356399</v>
      </c>
      <c r="T27" s="59">
        <f t="shared" si="34"/>
        <v>195.26562343155132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17.379494974647709</v>
      </c>
      <c r="AB27" s="21">
        <f>EXP(-LN(2)/2)*AB26+(1-EXP(-LN(2)/2))/(LN(2)/2)*V27*Y27*VLOOKUP('Données projet'!$B$9,Paramètres!$A$1:$I$89,3,0)*0.475*44/12</f>
        <v>12.5046780593291</v>
      </c>
      <c r="AC27" s="22">
        <f t="shared" si="3"/>
        <v>29.884173033976808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15.073076923076925</v>
      </c>
      <c r="N28" s="13">
        <f>IF('Données projet'!$A$36&gt;35,N27+M28-V27,IF(A28&lt;'Données projet'!$A$36,$K$205^A28,IF(A28='Données projet'!$A$36,'Données projet'!$B$36,N27+M28-V27)))</f>
        <v>149.85384615384612</v>
      </c>
      <c r="O28" s="13">
        <f>N28*VLOOKUP('Données projet'!$B$9,Paramètres!$A$1:$I$89,3,0)*VLOOKUP('Données projet'!$B$9,Paramètres!$A$1:$I$89,5,0)</f>
        <v>89.6126</v>
      </c>
      <c r="P28" s="13">
        <f t="shared" si="33"/>
        <v>24.471769998555317</v>
      </c>
      <c r="Q28" s="20">
        <f t="shared" si="2"/>
        <v>198.69694441415049</v>
      </c>
      <c r="R28" s="59">
        <f t="shared" si="0"/>
        <v>492.03027774748381</v>
      </c>
      <c r="S28" s="59">
        <f ca="1">AVERAGE(OFFSET($R$3,0,0,'Données projet'!$E$9+1,1))-AVERAGE(OFFSET($H$3,0,0,'Données projet'!$E$9+1,1))</f>
        <v>194.8881828356399</v>
      </c>
      <c r="T28" s="59">
        <f t="shared" si="34"/>
        <v>195.26562343155132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16.90425177061805</v>
      </c>
      <c r="AB28" s="21">
        <f>EXP(-LN(2)/2)*AB27+(1-EXP(-LN(2)/2))/(LN(2)/2)*V28*Y28*VLOOKUP('Données projet'!$B$9,Paramètres!$A$1:$I$89,3,0)*0.475*44/12</f>
        <v>8.8421426523062436</v>
      </c>
      <c r="AC28" s="22">
        <f t="shared" si="3"/>
        <v>25.746394422924293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15.073076923076925</v>
      </c>
      <c r="N29" s="13">
        <f>IF('Données projet'!$A$36&gt;35,N28+M29-V28,IF(A29&lt;'Données projet'!$A$36,$K$205^A29,IF(A29='Données projet'!$A$36,'Données projet'!$B$36,N28+M29-V28)))</f>
        <v>164.92692307692306</v>
      </c>
      <c r="O29" s="13">
        <f>N29*VLOOKUP('Données projet'!$B$9,Paramètres!$A$1:$I$89,3,0)*VLOOKUP('Données projet'!$B$9,Paramètres!$A$1:$I$89,5,0)</f>
        <v>98.626300000000001</v>
      </c>
      <c r="P29" s="13">
        <f t="shared" si="33"/>
        <v>26.634469472597342</v>
      </c>
      <c r="Q29" s="20">
        <f t="shared" si="2"/>
        <v>218.16250683144037</v>
      </c>
      <c r="R29" s="59">
        <f t="shared" si="0"/>
        <v>511.49584016477365</v>
      </c>
      <c r="S29" s="59">
        <f ca="1">AVERAGE(OFFSET($R$3,0,0,'Données projet'!$E$9+1,1))-AVERAGE(OFFSET($H$3,0,0,'Données projet'!$E$9+1,1))</f>
        <v>194.8881828356399</v>
      </c>
      <c r="T29" s="59">
        <f t="shared" si="34"/>
        <v>195.26562343155132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16.442004116994532</v>
      </c>
      <c r="AB29" s="21">
        <f>EXP(-LN(2)/2)*AB28+(1-EXP(-LN(2)/2))/(LN(2)/2)*V29*Y29*VLOOKUP('Données projet'!$B$9,Paramètres!$A$1:$I$89,3,0)*0.475*44/12</f>
        <v>6.25233902966455</v>
      </c>
      <c r="AC29" s="22">
        <f t="shared" si="3"/>
        <v>22.694343146659083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15.073076923076925</v>
      </c>
      <c r="N30" s="13">
        <f>IF('Données projet'!$A$36&gt;35,N29+M30-V29,IF(A30&lt;'Données projet'!$A$36,$K$205^A30,IF(A30='Données projet'!$A$36,'Données projet'!$B$36,N29+M30-V29)))</f>
        <v>180</v>
      </c>
      <c r="O30" s="13">
        <f>N30*VLOOKUP('Données projet'!$B$9,Paramètres!$A$1:$I$89,3,0)*VLOOKUP('Données projet'!$B$9,Paramètres!$A$1:$I$89,5,0)</f>
        <v>107.64</v>
      </c>
      <c r="P30" s="13">
        <f t="shared" si="33"/>
        <v>28.774250263353583</v>
      </c>
      <c r="Q30" s="20">
        <f t="shared" si="2"/>
        <v>237.58815254200749</v>
      </c>
      <c r="R30" s="59">
        <f t="shared" si="0"/>
        <v>530.92148587534075</v>
      </c>
      <c r="S30" s="59">
        <f ca="1">AVERAGE(OFFSET($R$3,0,0,'Données projet'!$E$9+1,1))-AVERAGE(OFFSET($H$3,0,0,'Données projet'!$E$9+1,1))</f>
        <v>194.8881828356399</v>
      </c>
      <c r="T30" s="59">
        <f t="shared" si="34"/>
        <v>195.26562343155132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15.992396649767899</v>
      </c>
      <c r="AB30" s="21">
        <f>EXP(-LN(2)/2)*AB29+(1-EXP(-LN(2)/2))/(LN(2)/2)*V30*Y30*VLOOKUP('Données projet'!$B$9,Paramètres!$A$1:$I$89,3,0)*0.475*44/12</f>
        <v>4.4210713261531218</v>
      </c>
      <c r="AC30" s="22">
        <f t="shared" si="3"/>
        <v>20.413467975921023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15.073076923076925</v>
      </c>
      <c r="N31" s="13">
        <f>IF('Données projet'!$A$36&gt;35,N30+M31-V30,IF(A31&lt;'Données projet'!$A$36,$K$205^A31,IF(A31='Données projet'!$A$36,'Données projet'!$B$36,N30+M31-V30)))</f>
        <v>195.07307692307694</v>
      </c>
      <c r="O31" s="13">
        <f>N31*VLOOKUP('Données projet'!$B$9,Paramètres!$A$1:$I$89,3,0)*VLOOKUP('Données projet'!$B$9,Paramètres!$A$1:$I$89,5,0)</f>
        <v>116.65370000000001</v>
      </c>
      <c r="P31" s="13">
        <f t="shared" si="33"/>
        <v>30.893249762406356</v>
      </c>
      <c r="Q31" s="20">
        <f t="shared" si="2"/>
        <v>256.9776041695244</v>
      </c>
      <c r="R31" s="59">
        <f t="shared" si="0"/>
        <v>550.31093750285777</v>
      </c>
      <c r="S31" s="59">
        <f ca="1">AVERAGE(OFFSET($R$3,0,0,'Données projet'!$E$9+1,1))-AVERAGE(OFFSET($H$3,0,0,'Données projet'!$E$9+1,1))</f>
        <v>194.8881828356399</v>
      </c>
      <c r="T31" s="59">
        <f t="shared" si="34"/>
        <v>195.26562343155132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15.555083722376407</v>
      </c>
      <c r="AB31" s="21">
        <f>EXP(-LN(2)/2)*AB30+(1-EXP(-LN(2)/2))/(LN(2)/2)*V31*Y31*VLOOKUP('Données projet'!$B$9,Paramètres!$A$1:$I$89,3,0)*0.475*44/12</f>
        <v>3.126169514832275</v>
      </c>
      <c r="AC31" s="22">
        <f t="shared" si="3"/>
        <v>18.681253237208683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210.14615384615385</v>
      </c>
      <c r="L32" s="12">
        <f>VLOOKUP(A32,'Données projet'!$A$35:$I$55,9,0)</f>
        <v>15.073076923076925</v>
      </c>
      <c r="M32" s="12">
        <f t="array" ref="M32">INDEX(L:L,MIN(IF(ISNUMBER(L32:L228),ROW(L32:L228),"")))</f>
        <v>15.073076923076925</v>
      </c>
      <c r="N32" s="13">
        <f>IF('Données projet'!$A$36&gt;35,N31+M32-V31,IF(A32&lt;'Données projet'!$A$36,$K$205^A32,IF(A32='Données projet'!$A$36,'Données projet'!$B$36,N31+M32-V31)))</f>
        <v>210.14615384615388</v>
      </c>
      <c r="O32" s="13">
        <f>N32*VLOOKUP('Données projet'!$B$9,Paramètres!$A$1:$I$89,3,0)*VLOOKUP('Données projet'!$B$9,Paramètres!$A$1:$I$89,5,0)</f>
        <v>125.66740000000003</v>
      </c>
      <c r="P32" s="13">
        <f t="shared" si="33"/>
        <v>32.993256286656127</v>
      </c>
      <c r="Q32" s="20">
        <f t="shared" si="2"/>
        <v>276.33397636592611</v>
      </c>
      <c r="R32" s="59">
        <f t="shared" si="0"/>
        <v>569.66730969925948</v>
      </c>
      <c r="S32" s="59">
        <f ca="1">AVERAGE(OFFSET($R$3,0,0,'Données projet'!$E$9+1,1))-AVERAGE(OFFSET($H$3,0,0,'Données projet'!$E$9+1,1))</f>
        <v>194.8881828356399</v>
      </c>
      <c r="T32" s="59">
        <f t="shared" si="34"/>
        <v>195.26562343155132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47.661538461538463</v>
      </c>
      <c r="W32" s="16">
        <f>IF(ISNA(VLOOKUP(A32,'Données projet'!$A$35:$I$55,5,0)),0%,VLOOKUP(A32,'Données projet'!$A$35:$I$55,5,0)*VLOOKUP('Données projet'!$B$9,Paramètres!$A$1:$I$89,7,0))</f>
        <v>0.315</v>
      </c>
      <c r="X32" s="16">
        <f>IF(ISNA(VLOOKUP(A32,'Données projet'!$A$35:$I$55,6,0)),0%,VLOOKUP(A32,'Données projet'!$A$35:$I$55,6,0)*VLOOKUP('Données projet'!$B$9,Paramètres!$A$1:$I$89,7,0))</f>
        <v>7.5600000000000001E-2</v>
      </c>
      <c r="Y32" s="16">
        <f>IF(ISNA(VLOOKUP(A32,'Données projet'!$A$35:$I$55,7,0)),0%,VLOOKUP(A32,'Données projet'!$A$35:$I$55,7,0))</f>
        <v>0.13200000000000001</v>
      </c>
      <c r="Z32" s="21">
        <f>EXP(-LN(2)/35)*Z31+(1-EXP(-LN(2)/35))/(LN(2)/35)*V32*W32*VLOOKUP('Données projet'!$B$9,Paramètres!$A$1:$I$89,3,0)*0.475*44/12</f>
        <v>11.909900987194014</v>
      </c>
      <c r="AA32" s="21">
        <f>EXP(-LN(2)/25)*AA31+(1-EXP(-LN(2)/25))/(LN(2)/25)*Calculateur!V32*Calculateur!X32*VLOOKUP('Données projet'!$B$9,Paramètres!$A$1:$I$89,3,0)*0.475*44/12</f>
        <v>17.976850860536775</v>
      </c>
      <c r="AB32" s="21">
        <f>EXP(-LN(2)/2)*AB31+(1-EXP(-LN(2)/2))/(LN(2)/2)*V32*Y32*VLOOKUP('Données projet'!$B$9,Paramètres!$A$1:$I$89,3,0)*0.475*44/12</f>
        <v>6.4702326938323633</v>
      </c>
      <c r="AC32" s="22">
        <f t="shared" si="3"/>
        <v>36.356984541563151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176.66153846153844</v>
      </c>
      <c r="L33" s="12">
        <f>VLOOKUP(A33,'Données projet'!$A$35:$I$55,9,0)</f>
        <v>14.17692307692306</v>
      </c>
      <c r="M33" s="12">
        <f t="array" ref="M33">INDEX(L:L,MIN(IF(ISNUMBER(L33:L229),ROW(L33:L229),"")))</f>
        <v>14.17692307692306</v>
      </c>
      <c r="N33" s="13">
        <f>IF('Données projet'!$A$36&gt;35,N32+M33-V32,IF(A33&lt;'Données projet'!$A$36,$K$205^A33,IF(A33='Données projet'!$A$36,'Données projet'!$B$36,N32+M33-V32)))</f>
        <v>176.66153846153847</v>
      </c>
      <c r="O33" s="13">
        <f>N33*VLOOKUP('Données projet'!$B$9,Paramètres!$A$1:$I$89,3,0)*VLOOKUP('Données projet'!$B$9,Paramètres!$A$1:$I$89,5,0)</f>
        <v>105.64360000000001</v>
      </c>
      <c r="P33" s="13">
        <f t="shared" si="33"/>
        <v>28.302181352167882</v>
      </c>
      <c r="Q33" s="20">
        <f t="shared" si="2"/>
        <v>233.28890252169242</v>
      </c>
      <c r="R33" s="59">
        <f t="shared" si="0"/>
        <v>526.62223585502579</v>
      </c>
      <c r="S33" s="59">
        <f ca="1">AVERAGE(OFFSET($R$3,0,0,'Données projet'!$E$9+1,1))-AVERAGE(OFFSET($H$3,0,0,'Données projet'!$E$9+1,1))</f>
        <v>194.8881828356399</v>
      </c>
      <c r="T33" s="59">
        <f t="shared" si="34"/>
        <v>195.26562343155132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11.676355093157449</v>
      </c>
      <c r="AA33" s="21">
        <f>EXP(-LN(2)/25)*AA32+(1-EXP(-LN(2)/25))/(LN(2)/25)*Calculateur!V33*Calculateur!X33*VLOOKUP('Données projet'!$B$9,Paramètres!$A$1:$I$89,3,0)*0.475*44/12</f>
        <v>17.485272928393897</v>
      </c>
      <c r="AB33" s="21">
        <f>EXP(-LN(2)/2)*AB32+(1-EXP(-LN(2)/2))/(LN(2)/2)*V33*Y33*VLOOKUP('Données projet'!$B$9,Paramètres!$A$1:$I$89,3,0)*0.475*44/12</f>
        <v>4.5751454136637673</v>
      </c>
      <c r="AC33" s="22">
        <f t="shared" si="3"/>
        <v>33.736773435215113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14.319230769230776</v>
      </c>
      <c r="N34" s="13">
        <f>IF('Données projet'!$A$36&gt;35,N33+M34-V33,IF(A34&lt;'Données projet'!$A$36,$K$205^A34,IF(A34='Données projet'!$A$36,'Données projet'!$B$36,N33+M34-V33)))</f>
        <v>190.98076923076925</v>
      </c>
      <c r="O34" s="13">
        <f>N34*VLOOKUP('Données projet'!$B$9,Paramètres!$A$1:$I$89,3,0)*VLOOKUP('Données projet'!$B$9,Paramètres!$A$1:$I$89,5,0)</f>
        <v>114.20650000000002</v>
      </c>
      <c r="P34" s="13">
        <f t="shared" si="33"/>
        <v>30.319893773740137</v>
      </c>
      <c r="Q34" s="20">
        <f t="shared" si="2"/>
        <v>251.71680248926407</v>
      </c>
      <c r="R34" s="59">
        <f t="shared" si="0"/>
        <v>545.05013582259744</v>
      </c>
      <c r="S34" s="59">
        <f ca="1">AVERAGE(OFFSET($R$3,0,0,'Données projet'!$E$9+1,1))-AVERAGE(OFFSET($H$3,0,0,'Données projet'!$E$9+1,1))</f>
        <v>194.8881828356399</v>
      </c>
      <c r="T34" s="59">
        <f t="shared" si="34"/>
        <v>195.26562343155132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11.447388891654011</v>
      </c>
      <c r="AA34" s="21">
        <f>EXP(-LN(2)/25)*AA33+(1-EXP(-LN(2)/25))/(LN(2)/25)*Calculateur!V34*Calculateur!X34*VLOOKUP('Données projet'!$B$9,Paramètres!$A$1:$I$89,3,0)*0.475*44/12</f>
        <v>17.007137220656425</v>
      </c>
      <c r="AB34" s="21">
        <f>EXP(-LN(2)/2)*AB33+(1-EXP(-LN(2)/2))/(LN(2)/2)*V34*Y34*VLOOKUP('Données projet'!$B$9,Paramètres!$A$1:$I$89,3,0)*0.475*44/12</f>
        <v>3.2351163469161821</v>
      </c>
      <c r="AC34" s="22">
        <f t="shared" si="3"/>
        <v>31.689642459226619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14.319230769230776</v>
      </c>
      <c r="N35" s="13">
        <f>IF('Données projet'!$A$36&gt;35,N34+M35-V34,IF(A35&lt;'Données projet'!$A$36,$K$205^A35,IF(A35='Données projet'!$A$36,'Données projet'!$B$36,N34+M35-V34)))</f>
        <v>205.30000000000004</v>
      </c>
      <c r="O35" s="13">
        <f>N35*VLOOKUP('Données projet'!$B$9,Paramètres!$A$1:$I$89,3,0)*VLOOKUP('Données projet'!$B$9,Paramètres!$A$1:$I$89,5,0)</f>
        <v>122.76940000000002</v>
      </c>
      <c r="P35" s="13">
        <f t="shared" si="33"/>
        <v>32.320056157265896</v>
      </c>
      <c r="Q35" s="20">
        <f t="shared" ref="Q35:Q66" si="53">(O35+P35)*0.475*44/12</f>
        <v>270.11413614057147</v>
      </c>
      <c r="R35" s="59">
        <f t="shared" si="0"/>
        <v>563.44746947390479</v>
      </c>
      <c r="S35" s="59">
        <f ca="1">AVERAGE(OFFSET($R$3,0,0,'Données projet'!$E$9+1,1))-AVERAGE(OFFSET($H$3,0,0,'Données projet'!$E$9+1,1))</f>
        <v>194.8881828356399</v>
      </c>
      <c r="T35" s="59">
        <f t="shared" si="34"/>
        <v>195.26562343155132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11.222912577706463</v>
      </c>
      <c r="AA35" s="21">
        <f>EXP(-LN(2)/25)*AA34+(1-EXP(-LN(2)/25))/(LN(2)/25)*Calculateur!V35*Calculateur!X35*VLOOKUP('Données projet'!$B$9,Paramètres!$A$1:$I$89,3,0)*0.475*44/12</f>
        <v>16.542076158991097</v>
      </c>
      <c r="AB35" s="21">
        <f>EXP(-LN(2)/2)*AB34+(1-EXP(-LN(2)/2))/(LN(2)/2)*V35*Y35*VLOOKUP('Données projet'!$B$9,Paramètres!$A$1:$I$89,3,0)*0.475*44/12</f>
        <v>2.2875727068318841</v>
      </c>
      <c r="AC35" s="22">
        <f t="shared" si="3"/>
        <v>30.052561443529445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14.319230769230776</v>
      </c>
      <c r="N36" s="13">
        <f>IF('Données projet'!$A$36&gt;35,N35+M36-V35,IF(A36&lt;'Données projet'!$A$36,$K$205^A36,IF(A36='Données projet'!$A$36,'Données projet'!$B$36,N35+M36-V35)))</f>
        <v>219.61923076923082</v>
      </c>
      <c r="O36" s="13">
        <f>N36*VLOOKUP('Données projet'!$B$9,Paramètres!$A$1:$I$89,3,0)*VLOOKUP('Données projet'!$B$9,Paramètres!$A$1:$I$89,5,0)</f>
        <v>131.33230000000003</v>
      </c>
      <c r="P36" s="13">
        <f t="shared" si="33"/>
        <v>34.304031818006806</v>
      </c>
      <c r="Q36" s="20">
        <f t="shared" si="53"/>
        <v>288.48327791636194</v>
      </c>
      <c r="R36" s="59">
        <f t="shared" si="0"/>
        <v>581.81661124969526</v>
      </c>
      <c r="S36" s="59">
        <f ca="1">AVERAGE(OFFSET($R$3,0,0,'Données projet'!$E$9+1,1))-AVERAGE(OFFSET($H$3,0,0,'Données projet'!$E$9+1,1))</f>
        <v>194.8881828356399</v>
      </c>
      <c r="T36" s="59">
        <f t="shared" si="34"/>
        <v>195.26562343155132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11.002838107358395</v>
      </c>
      <c r="AA36" s="21">
        <f>EXP(-LN(2)/25)*AA35+(1-EXP(-LN(2)/25))/(LN(2)/25)*Calculateur!V36*Calculateur!X36*VLOOKUP('Données projet'!$B$9,Paramètres!$A$1:$I$89,3,0)*0.475*44/12</f>
        <v>16.089732216513507</v>
      </c>
      <c r="AB36" s="21">
        <f>EXP(-LN(2)/2)*AB35+(1-EXP(-LN(2)/2))/(LN(2)/2)*V36*Y36*VLOOKUP('Données projet'!$B$9,Paramètres!$A$1:$I$89,3,0)*0.475*44/12</f>
        <v>1.6175581734580915</v>
      </c>
      <c r="AC36" s="22">
        <f t="shared" si="3"/>
        <v>28.710128497329997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14.319230769230776</v>
      </c>
      <c r="N37" s="13">
        <f>IF('Données projet'!$A$36&gt;35,N36+M37-V36,IF(A37&lt;'Données projet'!$A$36,$K$205^A37,IF(A37='Données projet'!$A$36,'Données projet'!$B$36,N36+M37-V36)))</f>
        <v>233.93846153846161</v>
      </c>
      <c r="O37" s="13">
        <f>N37*VLOOKUP('Données projet'!$B$9,Paramètres!$A$1:$I$89,3,0)*VLOOKUP('Données projet'!$B$9,Paramètres!$A$1:$I$89,5,0)</f>
        <v>139.89520000000007</v>
      </c>
      <c r="P37" s="13">
        <f t="shared" si="33"/>
        <v>36.272996240404318</v>
      </c>
      <c r="Q37" s="20">
        <f t="shared" si="53"/>
        <v>306.82627511870436</v>
      </c>
      <c r="R37" s="59">
        <f t="shared" si="0"/>
        <v>600.15960845203767</v>
      </c>
      <c r="S37" s="59">
        <f ca="1">AVERAGE(OFFSET($R$3,0,0,'Données projet'!$E$9+1,1))-AVERAGE(OFFSET($H$3,0,0,'Données projet'!$E$9+1,1))</f>
        <v>194.8881828356399</v>
      </c>
      <c r="T37" s="59">
        <f t="shared" si="34"/>
        <v>195.26562343155132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10.787079163141678</v>
      </c>
      <c r="AA37" s="21">
        <f>EXP(-LN(2)/25)*AA36+(1-EXP(-LN(2)/25))/(LN(2)/25)*Calculateur!V37*Calculateur!X37*VLOOKUP('Données projet'!$B$9,Paramètres!$A$1:$I$89,3,0)*0.475*44/12</f>
        <v>15.649757642930702</v>
      </c>
      <c r="AB37" s="21">
        <f>EXP(-LN(2)/2)*AB36+(1-EXP(-LN(2)/2))/(LN(2)/2)*V37*Y37*VLOOKUP('Données projet'!$B$9,Paramètres!$A$1:$I$89,3,0)*0.475*44/12</f>
        <v>1.1437863534159423</v>
      </c>
      <c r="AC37" s="22">
        <f t="shared" si="3"/>
        <v>27.580623159488319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14.319230769230776</v>
      </c>
      <c r="N38" s="13">
        <f>IF('Données projet'!$A$36&gt;35,N37+M38-V37,IF(A38&lt;'Données projet'!$A$36,$K$205^A38,IF(A38='Données projet'!$A$36,'Données projet'!$B$36,N37+M38-V37)))</f>
        <v>248.25769230769239</v>
      </c>
      <c r="O38" s="13">
        <f>N38*VLOOKUP('Données projet'!$B$9,Paramètres!$A$1:$I$89,3,0)*VLOOKUP('Données projet'!$B$9,Paramètres!$A$1:$I$89,5,0)</f>
        <v>148.45810000000006</v>
      </c>
      <c r="P38" s="13">
        <f t="shared" si="33"/>
        <v>38.227972875965627</v>
      </c>
      <c r="Q38" s="20">
        <f t="shared" si="53"/>
        <v>325.1449102589736</v>
      </c>
      <c r="R38" s="59">
        <f t="shared" si="0"/>
        <v>618.47824359230685</v>
      </c>
      <c r="S38" s="59">
        <f ca="1">AVERAGE(OFFSET($R$3,0,0,'Données projet'!$E$9+1,1))-AVERAGE(OFFSET($H$3,0,0,'Données projet'!$E$9+1,1))</f>
        <v>194.8881828356399</v>
      </c>
      <c r="T38" s="59">
        <f t="shared" si="34"/>
        <v>195.26562343155132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10.575551120221091</v>
      </c>
      <c r="AA38" s="21">
        <f>EXP(-LN(2)/25)*AA37+(1-EXP(-LN(2)/25))/(LN(2)/25)*Calculateur!V38*Calculateur!X38*VLOOKUP('Données projet'!$B$9,Paramètres!$A$1:$I$89,3,0)*0.475*44/12</f>
        <v>15.221814197199775</v>
      </c>
      <c r="AB38" s="21">
        <f>EXP(-LN(2)/2)*AB37+(1-EXP(-LN(2)/2))/(LN(2)/2)*V38*Y38*VLOOKUP('Données projet'!$B$9,Paramètres!$A$1:$I$89,3,0)*0.475*44/12</f>
        <v>0.80877908672904586</v>
      </c>
      <c r="AC38" s="22">
        <f t="shared" si="3"/>
        <v>26.606144404149912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262.57692307692309</v>
      </c>
      <c r="L39" s="12">
        <f>VLOOKUP(A39,'Données projet'!$A$35:$I$55,9,0)</f>
        <v>14.319230769230776</v>
      </c>
      <c r="M39" s="12">
        <f t="array" ref="M39">INDEX(L:L,MIN(IF(ISNUMBER(L39:L235),ROW(L39:L235),"")))</f>
        <v>14.319230769230776</v>
      </c>
      <c r="N39" s="13">
        <f>IF('Données projet'!$A$36&gt;35,N38+M39-V38,IF(A39&lt;'Données projet'!$A$36,$K$205^A39,IF(A39='Données projet'!$A$36,'Données projet'!$B$36,N38+M39-V38)))</f>
        <v>262.57692307692315</v>
      </c>
      <c r="O39" s="13">
        <f>N39*VLOOKUP('Données projet'!$B$9,Paramètres!$A$1:$I$89,3,0)*VLOOKUP('Données projet'!$B$9,Paramètres!$A$1:$I$89,5,0)</f>
        <v>157.02100000000007</v>
      </c>
      <c r="P39" s="13">
        <f t="shared" si="33"/>
        <v>40.169860444278903</v>
      </c>
      <c r="Q39" s="20">
        <f t="shared" si="53"/>
        <v>343.44074860711925</v>
      </c>
      <c r="R39" s="59">
        <f t="shared" si="0"/>
        <v>636.77408194045256</v>
      </c>
      <c r="S39" s="59">
        <f ca="1">AVERAGE(OFFSET($R$3,0,0,'Données projet'!$E$9+1,1))-AVERAGE(OFFSET($H$3,0,0,'Données projet'!$E$9+1,1))</f>
        <v>194.8881828356399</v>
      </c>
      <c r="T39" s="59">
        <f t="shared" si="34"/>
        <v>195.26562343155132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64.553846153846152</v>
      </c>
      <c r="W39" s="16">
        <f>IF(ISNA(VLOOKUP(A39,'Données projet'!$A$35:$I$55,5,0)),0%,VLOOKUP(A39,'Données projet'!$A$35:$I$55,5,0)*VLOOKUP('Données projet'!$B$9,Paramètres!$A$1:$I$89,7,0))</f>
        <v>0.315</v>
      </c>
      <c r="X39" s="16">
        <f>IF(ISNA(VLOOKUP(A39,'Données projet'!$A$35:$I$55,6,0)),0%,VLOOKUP(A39,'Données projet'!$A$35:$I$55,6,0)*VLOOKUP('Données projet'!$B$9,Paramètres!$A$1:$I$89,7,0))</f>
        <v>7.5600000000000001E-2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26.499205403863257</v>
      </c>
      <c r="AA39" s="21">
        <f>EXP(-LN(2)/25)*AA38+(1-EXP(-LN(2)/25))/(LN(2)/25)*Calculateur!V39*Calculateur!X39*VLOOKUP('Données projet'!$B$9,Paramètres!$A$1:$I$89,3,0)*0.475*44/12</f>
        <v>18.661777774342958</v>
      </c>
      <c r="AB39" s="21">
        <f>EXP(-LN(2)/2)*AB38+(1-EXP(-LN(2)/2))/(LN(2)/2)*V39*Y39*VLOOKUP('Données projet'!$B$9,Paramètres!$A$1:$I$89,3,0)*0.475*44/12</f>
        <v>6.3413214339872948</v>
      </c>
      <c r="AC39" s="22">
        <f t="shared" si="3"/>
        <v>51.502304612193512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13.14134615384615</v>
      </c>
      <c r="N40" s="13">
        <f>IF('Données projet'!$A$36&gt;35,N39+M40-V39,IF(A40&lt;'Données projet'!$A$36,$K$205^A40,IF(A40='Données projet'!$A$36,'Données projet'!$B$36,N39+M40-V39)))</f>
        <v>211.16442307692313</v>
      </c>
      <c r="O40" s="13">
        <f>N40*VLOOKUP('Données projet'!$B$9,Paramètres!$A$1:$I$89,3,0)*VLOOKUP('Données projet'!$B$9,Paramètres!$A$1:$I$89,5,0)</f>
        <v>126.27632500000004</v>
      </c>
      <c r="P40" s="13">
        <f t="shared" si="33"/>
        <v>33.134477451871625</v>
      </c>
      <c r="Q40" s="20">
        <f t="shared" si="53"/>
        <v>277.64048093700984</v>
      </c>
      <c r="R40" s="59">
        <f t="shared" si="0"/>
        <v>570.97381427034315</v>
      </c>
      <c r="S40" s="59">
        <f ca="1">AVERAGE(OFFSET($R$3,0,0,'Données projet'!$E$9+1,1))-AVERAGE(OFFSET($H$3,0,0,'Données projet'!$E$9+1,1))</f>
        <v>194.8881828356399</v>
      </c>
      <c r="T40" s="59">
        <f t="shared" si="34"/>
        <v>195.26562343155132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25.979572148812839</v>
      </c>
      <c r="AA40" s="21">
        <f>EXP(-LN(2)/25)*AA39+(1-EXP(-LN(2)/25))/(LN(2)/25)*Calculateur!V40*Calculateur!X40*VLOOKUP('Données projet'!$B$9,Paramètres!$A$1:$I$89,3,0)*0.475*44/12</f>
        <v>18.151470479723308</v>
      </c>
      <c r="AB40" s="21">
        <f>EXP(-LN(2)/2)*AB39+(1-EXP(-LN(2)/2))/(LN(2)/2)*V40*Y40*VLOOKUP('Données projet'!$B$9,Paramètres!$A$1:$I$89,3,0)*0.475*44/12</f>
        <v>4.483991387656018</v>
      </c>
      <c r="AC40" s="22">
        <f t="shared" si="3"/>
        <v>48.615034016192169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13.14134615384615</v>
      </c>
      <c r="N41" s="13">
        <f>IF('Données projet'!$A$36&gt;35,N40+M41-V40,IF(A41&lt;'Données projet'!$A$36,$K$205^A41,IF(A41='Données projet'!$A$36,'Données projet'!$B$36,N40+M41-V40)))</f>
        <v>224.30576923076927</v>
      </c>
      <c r="O41" s="13">
        <f>N41*VLOOKUP('Données projet'!$B$9,Paramètres!$A$1:$I$89,3,0)*VLOOKUP('Données projet'!$B$9,Paramètres!$A$1:$I$89,5,0)</f>
        <v>134.13485000000003</v>
      </c>
      <c r="P41" s="13">
        <f t="shared" si="33"/>
        <v>34.950053695803156</v>
      </c>
      <c r="Q41" s="20">
        <f t="shared" si="53"/>
        <v>294.48954060352389</v>
      </c>
      <c r="R41" s="59">
        <f t="shared" si="0"/>
        <v>587.82287393685715</v>
      </c>
      <c r="S41" s="59">
        <f ca="1">AVERAGE(OFFSET($R$3,0,0,'Données projet'!$E$9+1,1))-AVERAGE(OFFSET($H$3,0,0,'Données projet'!$E$9+1,1))</f>
        <v>194.8881828356399</v>
      </c>
      <c r="T41" s="59">
        <f t="shared" si="34"/>
        <v>195.26562343155132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25.47012858494897</v>
      </c>
      <c r="AA41" s="21">
        <f>EXP(-LN(2)/25)*AA40+(1-EXP(-LN(2)/25))/(LN(2)/25)*Calculateur!V41*Calculateur!X41*VLOOKUP('Données projet'!$B$9,Paramètres!$A$1:$I$89,3,0)*0.475*44/12</f>
        <v>17.655117564910928</v>
      </c>
      <c r="AB41" s="21">
        <f>EXP(-LN(2)/2)*AB40+(1-EXP(-LN(2)/2))/(LN(2)/2)*V41*Y41*VLOOKUP('Données projet'!$B$9,Paramètres!$A$1:$I$89,3,0)*0.475*44/12</f>
        <v>3.1706607169936478</v>
      </c>
      <c r="AC41" s="22">
        <f t="shared" si="3"/>
        <v>46.295906866853542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13.14134615384615</v>
      </c>
      <c r="N42" s="13">
        <f>IF('Données projet'!$A$36&gt;35,N41+M42-V41,IF(A42&lt;'Données projet'!$A$36,$K$205^A42,IF(A42='Données projet'!$A$36,'Données projet'!$B$36,N41+M42-V41)))</f>
        <v>237.44711538461542</v>
      </c>
      <c r="O42" s="13">
        <f>N42*VLOOKUP('Données projet'!$B$9,Paramètres!$A$1:$I$89,3,0)*VLOOKUP('Données projet'!$B$9,Paramètres!$A$1:$I$89,5,0)</f>
        <v>141.99337500000004</v>
      </c>
      <c r="P42" s="13">
        <f t="shared" si="33"/>
        <v>36.753283288028761</v>
      </c>
      <c r="Q42" s="20">
        <f t="shared" si="53"/>
        <v>311.31709651831682</v>
      </c>
      <c r="R42" s="59">
        <f t="shared" si="0"/>
        <v>604.65042985165019</v>
      </c>
      <c r="S42" s="59">
        <f ca="1">AVERAGE(OFFSET($R$3,0,0,'Données projet'!$E$9+1,1))-AVERAGE(OFFSET($H$3,0,0,'Données projet'!$E$9+1,1))</f>
        <v>194.8881828356399</v>
      </c>
      <c r="T42" s="59">
        <f t="shared" si="34"/>
        <v>195.26562343155132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24.970674898642578</v>
      </c>
      <c r="AA42" s="21">
        <f>EXP(-LN(2)/25)*AA41+(1-EXP(-LN(2)/25))/(LN(2)/25)*Calculateur!V42*Calculateur!X42*VLOOKUP('Données projet'!$B$9,Paramètres!$A$1:$I$89,3,0)*0.475*44/12</f>
        <v>17.172337446656158</v>
      </c>
      <c r="AB42" s="21">
        <f>EXP(-LN(2)/2)*AB41+(1-EXP(-LN(2)/2))/(LN(2)/2)*V42*Y42*VLOOKUP('Données projet'!$B$9,Paramètres!$A$1:$I$89,3,0)*0.475*44/12</f>
        <v>2.2419956938280095</v>
      </c>
      <c r="AC42" s="22">
        <f t="shared" si="3"/>
        <v>44.385008039126745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13.14134615384615</v>
      </c>
      <c r="N43" s="13">
        <f>IF('Données projet'!$A$36&gt;35,N42+M43-V42,IF(A43&lt;'Données projet'!$A$36,$K$205^A43,IF(A43='Données projet'!$A$36,'Données projet'!$B$36,N42+M43-V42)))</f>
        <v>250.58846153846156</v>
      </c>
      <c r="O43" s="13">
        <f>N43*VLOOKUP('Données projet'!$B$9,Paramètres!$A$1:$I$89,3,0)*VLOOKUP('Données projet'!$B$9,Paramètres!$A$1:$I$89,5,0)</f>
        <v>149.85190000000003</v>
      </c>
      <c r="P43" s="13">
        <f t="shared" si="33"/>
        <v>38.544927429723309</v>
      </c>
      <c r="Q43" s="20">
        <f t="shared" si="53"/>
        <v>328.12447444010149</v>
      </c>
      <c r="R43" s="59">
        <f t="shared" si="0"/>
        <v>621.45780777343475</v>
      </c>
      <c r="S43" s="59">
        <f ca="1">AVERAGE(OFFSET($R$3,0,0,'Données projet'!$E$9+1,1))-AVERAGE(OFFSET($H$3,0,0,'Données projet'!$E$9+1,1))</f>
        <v>194.8881828356399</v>
      </c>
      <c r="T43" s="59">
        <f t="shared" si="34"/>
        <v>195.26562343155132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24.481015194487988</v>
      </c>
      <c r="AA43" s="21">
        <f>EXP(-LN(2)/25)*AA42+(1-EXP(-LN(2)/25))/(LN(2)/25)*Calculateur!V43*Calculateur!X43*VLOOKUP('Données projet'!$B$9,Paramètres!$A$1:$I$89,3,0)*0.475*44/12</f>
        <v>16.702758976123366</v>
      </c>
      <c r="AB43" s="21">
        <f>EXP(-LN(2)/2)*AB42+(1-EXP(-LN(2)/2))/(LN(2)/2)*V43*Y43*VLOOKUP('Données projet'!$B$9,Paramètres!$A$1:$I$89,3,0)*0.475*44/12</f>
        <v>1.5853303584968241</v>
      </c>
      <c r="AC43" s="22">
        <f t="shared" si="3"/>
        <v>42.769104529108183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13.14134615384615</v>
      </c>
      <c r="N44" s="13">
        <f>IF('Données projet'!$A$36&gt;35,N43+M44-V43,IF(A44&lt;'Données projet'!$A$36,$K$205^A44,IF(A44='Données projet'!$A$36,'Données projet'!$B$36,N43+M44-V43)))</f>
        <v>263.7298076923077</v>
      </c>
      <c r="O44" s="13">
        <f>N44*VLOOKUP('Données projet'!$B$9,Paramètres!$A$1:$I$89,3,0)*VLOOKUP('Données projet'!$B$9,Paramètres!$A$1:$I$89,5,0)</f>
        <v>157.71042500000001</v>
      </c>
      <c r="P44" s="13">
        <f t="shared" si="33"/>
        <v>40.325662975074472</v>
      </c>
      <c r="Q44" s="20">
        <f t="shared" si="53"/>
        <v>344.91285322325467</v>
      </c>
      <c r="R44" s="59">
        <f t="shared" si="0"/>
        <v>638.24618655658799</v>
      </c>
      <c r="S44" s="59">
        <f ca="1">AVERAGE(OFFSET($R$3,0,0,'Données projet'!$E$9+1,1))-AVERAGE(OFFSET($H$3,0,0,'Données projet'!$E$9+1,1))</f>
        <v>194.8881828356399</v>
      </c>
      <c r="T44" s="59">
        <f t="shared" si="34"/>
        <v>195.26562343155132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24.000957418468939</v>
      </c>
      <c r="AA44" s="21">
        <f>EXP(-LN(2)/25)*AA43+(1-EXP(-LN(2)/25))/(LN(2)/25)*Calculateur!V44*Calculateur!X44*VLOOKUP('Données projet'!$B$9,Paramètres!$A$1:$I$89,3,0)*0.475*44/12</f>
        <v>16.246021153561355</v>
      </c>
      <c r="AB44" s="21">
        <f>EXP(-LN(2)/2)*AB43+(1-EXP(-LN(2)/2))/(LN(2)/2)*V44*Y44*VLOOKUP('Données projet'!$B$9,Paramètres!$A$1:$I$89,3,0)*0.475*44/12</f>
        <v>1.1209978469140049</v>
      </c>
      <c r="AC44" s="22">
        <f t="shared" si="3"/>
        <v>41.367976418944302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13.14134615384615</v>
      </c>
      <c r="N45" s="13">
        <f>IF('Données projet'!$A$36&gt;35,N44+M45-V44,IF(A45&lt;'Données projet'!$A$36,$K$205^A45,IF(A45='Données projet'!$A$36,'Données projet'!$B$36,N44+M45-V44)))</f>
        <v>276.87115384615385</v>
      </c>
      <c r="O45" s="13">
        <f>N45*VLOOKUP('Données projet'!$B$9,Paramètres!$A$1:$I$89,3,0)*VLOOKUP('Données projet'!$B$9,Paramètres!$A$1:$I$89,5,0)</f>
        <v>165.56895</v>
      </c>
      <c r="P45" s="13">
        <f t="shared" si="33"/>
        <v>42.096095514085818</v>
      </c>
      <c r="Q45" s="20">
        <f t="shared" si="53"/>
        <v>361.68328760369945</v>
      </c>
      <c r="R45" s="59">
        <f t="shared" si="0"/>
        <v>655.01662093703271</v>
      </c>
      <c r="S45" s="59">
        <f ca="1">AVERAGE(OFFSET($R$3,0,0,'Données projet'!$E$9+1,1))-AVERAGE(OFFSET($H$3,0,0,'Données projet'!$E$9+1,1))</f>
        <v>194.8881828356399</v>
      </c>
      <c r="T45" s="59">
        <f t="shared" si="34"/>
        <v>195.26562343155132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23.530313282631294</v>
      </c>
      <c r="AA45" s="21">
        <f>EXP(-LN(2)/25)*AA44+(1-EXP(-LN(2)/25))/(LN(2)/25)*Calculateur!V45*Calculateur!X45*VLOOKUP('Données projet'!$B$9,Paramètres!$A$1:$I$89,3,0)*0.475*44/12</f>
        <v>15.801772850776098</v>
      </c>
      <c r="AB45" s="21">
        <f>EXP(-LN(2)/2)*AB44+(1-EXP(-LN(2)/2))/(LN(2)/2)*V45*Y45*VLOOKUP('Données projet'!$B$9,Paramètres!$A$1:$I$89,3,0)*0.475*44/12</f>
        <v>0.79266517924841229</v>
      </c>
      <c r="AC45" s="22">
        <f t="shared" si="3"/>
        <v>40.124751312655803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13.14134615384615</v>
      </c>
      <c r="N46" s="13">
        <f>IF('Données projet'!$A$36&gt;35,N45+M46-V45,IF(A46&lt;'Données projet'!$A$36,$K$205^A46,IF(A46='Données projet'!$A$36,'Données projet'!$B$36,N45+M46-V45)))</f>
        <v>290.01249999999999</v>
      </c>
      <c r="O46" s="13">
        <f>N46*VLOOKUP('Données projet'!$B$9,Paramètres!$A$1:$I$89,3,0)*VLOOKUP('Données projet'!$B$9,Paramètres!$A$1:$I$89,5,0)</f>
        <v>173.42747500000002</v>
      </c>
      <c r="P46" s="13">
        <f t="shared" si="33"/>
        <v>43.856769901180428</v>
      </c>
      <c r="Q46" s="20">
        <f t="shared" si="53"/>
        <v>378.43672653622258</v>
      </c>
      <c r="R46" s="59">
        <f t="shared" si="0"/>
        <v>671.77005986955589</v>
      </c>
      <c r="S46" s="59">
        <f ca="1">AVERAGE(OFFSET($R$3,0,0,'Données projet'!$E$9+1,1))-AVERAGE(OFFSET($H$3,0,0,'Données projet'!$E$9+1,1))</f>
        <v>194.8881828356399</v>
      </c>
      <c r="T46" s="59">
        <f t="shared" si="34"/>
        <v>195.26562343155132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23.068898191232847</v>
      </c>
      <c r="AA46" s="21">
        <f>EXP(-LN(2)/25)*AA45+(1-EXP(-LN(2)/25))/(LN(2)/25)*Calculateur!V46*Calculateur!X46*VLOOKUP('Données projet'!$B$9,Paramètres!$A$1:$I$89,3,0)*0.475*44/12</f>
        <v>15.369672541192507</v>
      </c>
      <c r="AB46" s="21">
        <f>EXP(-LN(2)/2)*AB45+(1-EXP(-LN(2)/2))/(LN(2)/2)*V46*Y46*VLOOKUP('Données projet'!$B$9,Paramètres!$A$1:$I$89,3,0)*0.475*44/12</f>
        <v>0.56049892345700258</v>
      </c>
      <c r="AC46" s="22">
        <f t="shared" si="3"/>
        <v>38.999069655882359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303.15384615384613</v>
      </c>
      <c r="L47" s="12">
        <f>VLOOKUP(A47,'Données projet'!$A$35:$I$55,9,0)</f>
        <v>13.14134615384615</v>
      </c>
      <c r="M47" s="12">
        <f t="array" ref="M47">INDEX(L:L,MIN(IF(ISNUMBER(L47:L243),ROW(L47:L243),"")))</f>
        <v>13.14134615384615</v>
      </c>
      <c r="N47" s="13">
        <f>IF('Données projet'!$A$36&gt;35,N46+M47-V46,IF(A47&lt;'Données projet'!$A$36,$K$205^A47,IF(A47='Données projet'!$A$36,'Données projet'!$B$36,N46+M47-V46)))</f>
        <v>303.15384615384613</v>
      </c>
      <c r="O47" s="13">
        <f>N47*VLOOKUP('Données projet'!$B$9,Paramètres!$A$1:$I$89,3,0)*VLOOKUP('Données projet'!$B$9,Paramètres!$A$1:$I$89,5,0)</f>
        <v>181.286</v>
      </c>
      <c r="P47" s="13">
        <f t="shared" si="33"/>
        <v>45.608178821536583</v>
      </c>
      <c r="Q47" s="20">
        <f t="shared" si="53"/>
        <v>395.17402811417611</v>
      </c>
      <c r="R47" s="59">
        <f t="shared" si="0"/>
        <v>688.50736144750942</v>
      </c>
      <c r="S47" s="59">
        <f ca="1">AVERAGE(OFFSET($R$3,0,0,'Données projet'!$E$9+1,1))-AVERAGE(OFFSET($H$3,0,0,'Données projet'!$E$9+1,1))</f>
        <v>194.8881828356399</v>
      </c>
      <c r="T47" s="59">
        <f t="shared" si="34"/>
        <v>195.26562343155132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64.476923076923072</v>
      </c>
      <c r="W47" s="16">
        <f>IF(ISNA(VLOOKUP(A47,'Données projet'!$A$35:$I$55,5,0)),0%,VLOOKUP(A47,'Données projet'!$A$35:$I$55,5,0)*VLOOKUP('Données projet'!$B$9,Paramètres!$A$1:$I$89,7,0))</f>
        <v>0.315</v>
      </c>
      <c r="X47" s="16">
        <f>IF(ISNA(VLOOKUP(A47,'Données projet'!$A$35:$I$55,6,0)),0%,VLOOKUP(A47,'Données projet'!$A$35:$I$55,6,0)*VLOOKUP('Données projet'!$B$9,Paramètres!$A$1:$I$89,7,0))</f>
        <v>7.5600000000000001E-2</v>
      </c>
      <c r="Y47" s="16">
        <f>IF(ISNA(VLOOKUP(A47,'Données projet'!$A$35:$I$55,7,0)),0%,VLOOKUP(A47,'Données projet'!$A$35:$I$55,7,0))</f>
        <v>0.13200000000000001</v>
      </c>
      <c r="Z47" s="21">
        <f>EXP(-LN(2)/35)*Z46+(1-EXP(-LN(2)/35))/(LN(2)/35)*V47*W47*VLOOKUP('Données projet'!$B$9,Paramètres!$A$1:$I$89,3,0)*0.475*44/12</f>
        <v>38.728343640042439</v>
      </c>
      <c r="AA47" s="21">
        <f>EXP(-LN(2)/25)*AA46+(1-EXP(-LN(2)/25))/(LN(2)/25)*Calculateur!V47*Calculateur!X47*VLOOKUP('Données projet'!$B$9,Paramètres!$A$1:$I$89,3,0)*0.475*44/12</f>
        <v>18.800997827758014</v>
      </c>
      <c r="AB47" s="21">
        <f>EXP(-LN(2)/2)*AB46+(1-EXP(-LN(2)/2))/(LN(2)/2)*V47*Y47*VLOOKUP('Données projet'!$B$9,Paramètres!$A$1:$I$89,3,0)*0.475*44/12</f>
        <v>6.1588859323929501</v>
      </c>
      <c r="AC47" s="22">
        <f t="shared" si="3"/>
        <v>63.688227400193398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11.642307692307696</v>
      </c>
      <c r="N48" s="13">
        <f>IF('Données projet'!$A$36&gt;35,N47+M48-V47,IF(A48&lt;'Données projet'!$A$36,$K$205^A48,IF(A48='Données projet'!$A$36,'Données projet'!$B$36,N47+M48-V47)))</f>
        <v>250.31923076923078</v>
      </c>
      <c r="O48" s="13">
        <f>N48*VLOOKUP('Données projet'!$B$9,Paramètres!$A$1:$I$89,3,0)*VLOOKUP('Données projet'!$B$9,Paramètres!$A$1:$I$89,5,0)</f>
        <v>149.69090000000003</v>
      </c>
      <c r="P48" s="13">
        <f t="shared" si="33"/>
        <v>38.50833310579393</v>
      </c>
      <c r="Q48" s="20">
        <f t="shared" si="53"/>
        <v>327.78033099259113</v>
      </c>
      <c r="R48" s="59">
        <f t="shared" si="0"/>
        <v>621.11366432592445</v>
      </c>
      <c r="S48" s="59">
        <f ca="1">AVERAGE(OFFSET($R$3,0,0,'Données projet'!$E$9+1,1))-AVERAGE(OFFSET($H$3,0,0,'Données projet'!$E$9+1,1))</f>
        <v>194.8881828356399</v>
      </c>
      <c r="T48" s="59">
        <f t="shared" si="34"/>
        <v>195.26562343155132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37.968904443218349</v>
      </c>
      <c r="AA48" s="21">
        <f>EXP(-LN(2)/25)*AA47+(1-EXP(-LN(2)/25))/(LN(2)/25)*Calculateur!V48*Calculateur!X48*VLOOKUP('Données projet'!$B$9,Paramètres!$A$1:$I$89,3,0)*0.475*44/12</f>
        <v>18.286883553456466</v>
      </c>
      <c r="AB48" s="21">
        <f>EXP(-LN(2)/2)*AB47+(1-EXP(-LN(2)/2))/(LN(2)/2)*V48*Y48*VLOOKUP('Données projet'!$B$9,Paramètres!$A$1:$I$89,3,0)*0.475*44/12</f>
        <v>4.354990007349488</v>
      </c>
      <c r="AC48" s="22">
        <f t="shared" si="3"/>
        <v>60.610778004024297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11.642307692307696</v>
      </c>
      <c r="N49" s="13">
        <f>IF('Données projet'!$A$36&gt;35,N48+M49-V48,IF(A49&lt;'Données projet'!$A$36,$K$205^A49,IF(A49='Données projet'!$A$36,'Données projet'!$B$36,N48+M49-V48)))</f>
        <v>261.96153846153845</v>
      </c>
      <c r="O49" s="13">
        <f>N49*VLOOKUP('Données projet'!$B$9,Paramètres!$A$1:$I$89,3,0)*VLOOKUP('Données projet'!$B$9,Paramètres!$A$1:$I$89,5,0)</f>
        <v>156.65300000000002</v>
      </c>
      <c r="P49" s="13">
        <f t="shared" si="33"/>
        <v>40.0866638793565</v>
      </c>
      <c r="Q49" s="20">
        <f t="shared" si="53"/>
        <v>342.6549145898793</v>
      </c>
      <c r="R49" s="59">
        <f t="shared" si="0"/>
        <v>635.98824792321261</v>
      </c>
      <c r="S49" s="59">
        <f ca="1">AVERAGE(OFFSET($R$3,0,0,'Données projet'!$E$9+1,1))-AVERAGE(OFFSET($H$3,0,0,'Données projet'!$E$9+1,1))</f>
        <v>194.8881828356399</v>
      </c>
      <c r="T49" s="59">
        <f t="shared" si="34"/>
        <v>195.26562343155132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37.224357385831809</v>
      </c>
      <c r="AA49" s="21">
        <f>EXP(-LN(2)/25)*AA48+(1-EXP(-LN(2)/25))/(LN(2)/25)*Calculateur!V49*Calculateur!X49*VLOOKUP('Données projet'!$B$9,Paramètres!$A$1:$I$89,3,0)*0.475*44/12</f>
        <v>17.786827761021787</v>
      </c>
      <c r="AB49" s="21">
        <f>EXP(-LN(2)/2)*AB48+(1-EXP(-LN(2)/2))/(LN(2)/2)*V49*Y49*VLOOKUP('Données projet'!$B$9,Paramètres!$A$1:$I$89,3,0)*0.475*44/12</f>
        <v>3.0794429661964755</v>
      </c>
      <c r="AC49" s="22">
        <f t="shared" si="3"/>
        <v>58.090628113050066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11.642307692307696</v>
      </c>
      <c r="N50" s="13">
        <f>IF('Données projet'!$A$36&gt;35,N49+M50-V49,IF(A50&lt;'Données projet'!$A$36,$K$205^A50,IF(A50='Données projet'!$A$36,'Données projet'!$B$36,N49+M50-V49)))</f>
        <v>273.60384615384612</v>
      </c>
      <c r="O50" s="13">
        <f>N50*VLOOKUP('Données projet'!$B$9,Paramètres!$A$1:$I$89,3,0)*VLOOKUP('Données projet'!$B$9,Paramètres!$A$1:$I$89,5,0)</f>
        <v>163.61509999999998</v>
      </c>
      <c r="P50" s="13">
        <f t="shared" si="33"/>
        <v>41.656847972292042</v>
      </c>
      <c r="Q50" s="20">
        <f t="shared" si="53"/>
        <v>357.51530938507523</v>
      </c>
      <c r="R50" s="59">
        <f t="shared" si="0"/>
        <v>650.84864271840854</v>
      </c>
      <c r="S50" s="59">
        <f ca="1">AVERAGE(OFFSET($R$3,0,0,'Données projet'!$E$9+1,1))-AVERAGE(OFFSET($H$3,0,0,'Données projet'!$E$9+1,1))</f>
        <v>194.8881828356399</v>
      </c>
      <c r="T50" s="59">
        <f t="shared" si="34"/>
        <v>195.26562343155132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36.494410442111757</v>
      </c>
      <c r="AA50" s="21">
        <f>EXP(-LN(2)/25)*AA49+(1-EXP(-LN(2)/25))/(LN(2)/25)*Calculateur!V50*Calculateur!X50*VLOOKUP('Données projet'!$B$9,Paramètres!$A$1:$I$89,3,0)*0.475*44/12</f>
        <v>17.300446020528025</v>
      </c>
      <c r="AB50" s="21">
        <f>EXP(-LN(2)/2)*AB49+(1-EXP(-LN(2)/2))/(LN(2)/2)*V50*Y50*VLOOKUP('Données projet'!$B$9,Paramètres!$A$1:$I$89,3,0)*0.475*44/12</f>
        <v>2.177495003674744</v>
      </c>
      <c r="AC50" s="22">
        <f t="shared" si="3"/>
        <v>55.972351466314528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11.642307692307696</v>
      </c>
      <c r="N51" s="13">
        <f>IF('Données projet'!$A$36&gt;35,N50+M51-V50,IF(A51&lt;'Données projet'!$A$36,$K$205^A51,IF(A51='Données projet'!$A$36,'Données projet'!$B$36,N50+M51-V50)))</f>
        <v>285.24615384615379</v>
      </c>
      <c r="O51" s="13">
        <f>N51*VLOOKUP('Données projet'!$B$9,Paramètres!$A$1:$I$89,3,0)*VLOOKUP('Données projet'!$B$9,Paramètres!$A$1:$I$89,5,0)</f>
        <v>170.5772</v>
      </c>
      <c r="P51" s="13">
        <f t="shared" si="33"/>
        <v>43.219271671345155</v>
      </c>
      <c r="Q51" s="20">
        <f t="shared" si="53"/>
        <v>372.36218816092611</v>
      </c>
      <c r="R51" s="59">
        <f t="shared" si="0"/>
        <v>665.69552149425942</v>
      </c>
      <c r="S51" s="59">
        <f ca="1">AVERAGE(OFFSET($R$3,0,0,'Données projet'!$E$9+1,1))-AVERAGE(OFFSET($H$3,0,0,'Données projet'!$E$9+1,1))</f>
        <v>194.8881828356399</v>
      </c>
      <c r="T51" s="59">
        <f t="shared" si="34"/>
        <v>195.26562343155132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35.778777312734384</v>
      </c>
      <c r="AA51" s="21">
        <f>EXP(-LN(2)/25)*AA50+(1-EXP(-LN(2)/25))/(LN(2)/25)*Calculateur!V51*Calculateur!X51*VLOOKUP('Données projet'!$B$9,Paramètres!$A$1:$I$89,3,0)*0.475*44/12</f>
        <v>16.827364414305769</v>
      </c>
      <c r="AB51" s="21">
        <f>EXP(-LN(2)/2)*AB50+(1-EXP(-LN(2)/2))/(LN(2)/2)*V51*Y51*VLOOKUP('Données projet'!$B$9,Paramètres!$A$1:$I$89,3,0)*0.475*44/12</f>
        <v>1.5397214830982378</v>
      </c>
      <c r="AC51" s="22">
        <f t="shared" si="3"/>
        <v>54.145863210138394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11.642307692307696</v>
      </c>
      <c r="N52" s="13">
        <f>IF('Données projet'!$A$36&gt;35,N51+M52-V51,IF(A52&lt;'Données projet'!$A$36,$K$205^A52,IF(A52='Données projet'!$A$36,'Données projet'!$B$36,N51+M52-V51)))</f>
        <v>296.88846153846146</v>
      </c>
      <c r="O52" s="13">
        <f>N52*VLOOKUP('Données projet'!$B$9,Paramètres!$A$1:$I$89,3,0)*VLOOKUP('Données projet'!$B$9,Paramètres!$A$1:$I$89,5,0)</f>
        <v>177.53929999999997</v>
      </c>
      <c r="P52" s="13">
        <f t="shared" si="33"/>
        <v>44.77428794630201</v>
      </c>
      <c r="Q52" s="20">
        <f t="shared" si="53"/>
        <v>387.19616567314262</v>
      </c>
      <c r="R52" s="59">
        <f t="shared" si="0"/>
        <v>680.52949900647593</v>
      </c>
      <c r="S52" s="59">
        <f ca="1">AVERAGE(OFFSET($R$3,0,0,'Données projet'!$E$9+1,1))-AVERAGE(OFFSET($H$3,0,0,'Données projet'!$E$9+1,1))</f>
        <v>194.8881828356399</v>
      </c>
      <c r="T52" s="59">
        <f t="shared" si="34"/>
        <v>195.26562343155132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35.077177312530992</v>
      </c>
      <c r="AA52" s="21">
        <f>EXP(-LN(2)/25)*AA51+(1-EXP(-LN(2)/25))/(LN(2)/25)*Calculateur!V52*Calculateur!X52*VLOOKUP('Données projet'!$B$9,Paramètres!$A$1:$I$89,3,0)*0.475*44/12</f>
        <v>16.367219249483941</v>
      </c>
      <c r="AB52" s="21">
        <f>EXP(-LN(2)/2)*AB51+(1-EXP(-LN(2)/2))/(LN(2)/2)*V52*Y52*VLOOKUP('Données projet'!$B$9,Paramètres!$A$1:$I$89,3,0)*0.475*44/12</f>
        <v>1.088747501837372</v>
      </c>
      <c r="AC52" s="22">
        <f t="shared" si="3"/>
        <v>52.533144063852305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11.642307692307696</v>
      </c>
      <c r="N53" s="13">
        <f>IF('Données projet'!$A$36&gt;35,N52+M53-V52,IF(A53&lt;'Données projet'!$A$36,$K$205^A53,IF(A53='Données projet'!$A$36,'Données projet'!$B$36,N52+M53-V52)))</f>
        <v>308.53076923076912</v>
      </c>
      <c r="O53" s="13">
        <f>N53*VLOOKUP('Données projet'!$B$9,Paramètres!$A$1:$I$89,3,0)*VLOOKUP('Données projet'!$B$9,Paramètres!$A$1:$I$89,5,0)</f>
        <v>184.50139999999996</v>
      </c>
      <c r="P53" s="13">
        <f t="shared" si="33"/>
        <v>46.322220516606542</v>
      </c>
      <c r="Q53" s="20">
        <f t="shared" si="53"/>
        <v>402.01780573308969</v>
      </c>
      <c r="R53" s="59">
        <f t="shared" si="0"/>
        <v>695.351139066423</v>
      </c>
      <c r="S53" s="59">
        <f ca="1">AVERAGE(OFFSET($R$3,0,0,'Données projet'!$E$9+1,1))-AVERAGE(OFFSET($H$3,0,0,'Données projet'!$E$9+1,1))</f>
        <v>194.8881828356399</v>
      </c>
      <c r="T53" s="59">
        <f t="shared" si="34"/>
        <v>195.26562343155132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34.389335260397843</v>
      </c>
      <c r="AA53" s="21">
        <f>EXP(-LN(2)/25)*AA52+(1-EXP(-LN(2)/25))/(LN(2)/25)*Calculateur!V53*Calculateur!X53*VLOOKUP('Données projet'!$B$9,Paramètres!$A$1:$I$89,3,0)*0.475*44/12</f>
        <v>15.919656778392151</v>
      </c>
      <c r="AB53" s="21">
        <f>EXP(-LN(2)/2)*AB52+(1-EXP(-LN(2)/2))/(LN(2)/2)*V53*Y53*VLOOKUP('Données projet'!$B$9,Paramètres!$A$1:$I$89,3,0)*0.475*44/12</f>
        <v>0.76986074154911888</v>
      </c>
      <c r="AC53" s="22">
        <f t="shared" si="3"/>
        <v>51.078852780339112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11.642307692307696</v>
      </c>
      <c r="N54" s="13">
        <f>IF('Données projet'!$A$36&gt;35,N53+M54-V53,IF(A54&lt;'Données projet'!$A$36,$K$205^A54,IF(A54='Données projet'!$A$36,'Données projet'!$B$36,N53+M54-V53)))</f>
        <v>320.17307692307679</v>
      </c>
      <c r="O54" s="13">
        <f>N54*VLOOKUP('Données projet'!$B$9,Paramètres!$A$1:$I$89,3,0)*VLOOKUP('Données projet'!$B$9,Paramètres!$A$1:$I$89,5,0)</f>
        <v>191.46349999999995</v>
      </c>
      <c r="P54" s="13">
        <f t="shared" si="33"/>
        <v>47.863367286908087</v>
      </c>
      <c r="Q54" s="20">
        <f t="shared" si="53"/>
        <v>416.82762719136485</v>
      </c>
      <c r="R54" s="59">
        <f t="shared" si="0"/>
        <v>710.16096052469811</v>
      </c>
      <c r="S54" s="59">
        <f ca="1">AVERAGE(OFFSET($R$3,0,0,'Données projet'!$E$9+1,1))-AVERAGE(OFFSET($H$3,0,0,'Données projet'!$E$9+1,1))</f>
        <v>194.8881828356399</v>
      </c>
      <c r="T54" s="59">
        <f t="shared" si="34"/>
        <v>195.26562343155132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33.7149813713648</v>
      </c>
      <c r="AA54" s="21">
        <f>EXP(-LN(2)/25)*AA53+(1-EXP(-LN(2)/25))/(LN(2)/25)*Calculateur!V54*Calculateur!X54*VLOOKUP('Données projet'!$B$9,Paramètres!$A$1:$I$89,3,0)*0.475*44/12</f>
        <v>15.484332926608651</v>
      </c>
      <c r="AB54" s="21">
        <f>EXP(-LN(2)/2)*AB53+(1-EXP(-LN(2)/2))/(LN(2)/2)*V54*Y54*VLOOKUP('Données projet'!$B$9,Paramètres!$A$1:$I$89,3,0)*0.475*44/12</f>
        <v>0.54437375091868601</v>
      </c>
      <c r="AC54" s="22">
        <f t="shared" si="3"/>
        <v>49.743688048892139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331.81538461538463</v>
      </c>
      <c r="L55" s="12">
        <f>VLOOKUP(A55,'Données projet'!$A$35:$I$55,9,0)</f>
        <v>11.642307692307696</v>
      </c>
      <c r="M55" s="12">
        <f t="array" ref="M55">INDEX(L:L,MIN(IF(ISNUMBER(L55:L251),ROW(L55:L251),"")))</f>
        <v>11.642307692307696</v>
      </c>
      <c r="N55" s="13">
        <f>IF('Données projet'!$A$36&gt;35,N54+M55-V54,IF(A55&lt;'Données projet'!$A$36,$K$205^A55,IF(A55='Données projet'!$A$36,'Données projet'!$B$36,N54+M55-V54)))</f>
        <v>331.81538461538446</v>
      </c>
      <c r="O55" s="13">
        <f>N55*VLOOKUP('Données projet'!$B$9,Paramètres!$A$1:$I$89,3,0)*VLOOKUP('Données projet'!$B$9,Paramètres!$A$1:$I$89,5,0)</f>
        <v>198.42559999999995</v>
      </c>
      <c r="P55" s="13">
        <f t="shared" si="33"/>
        <v>49.398003268862659</v>
      </c>
      <c r="Q55" s="20">
        <f t="shared" si="53"/>
        <v>431.62610902660231</v>
      </c>
      <c r="R55" s="59">
        <f t="shared" si="0"/>
        <v>724.95944235993557</v>
      </c>
      <c r="S55" s="59">
        <f ca="1">AVERAGE(OFFSET($R$3,0,0,'Données projet'!$E$9+1,1))-AVERAGE(OFFSET($H$3,0,0,'Données projet'!$E$9+1,1))</f>
        <v>194.8881828356399</v>
      </c>
      <c r="T55" s="59">
        <f t="shared" si="34"/>
        <v>195.26562343155132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61.784615384615378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7.5600000000000001E-2</v>
      </c>
      <c r="Y55" s="16">
        <f>IF(ISNA(VLOOKUP(A55,'Données projet'!$A$35:$I$55,7,0)),0%,VLOOKUP(A55,'Données projet'!$A$35:$I$55,7,0))</f>
        <v>0.13200000000000001</v>
      </c>
      <c r="Z55" s="21">
        <f>EXP(-LN(2)/35)*Z54+(1-EXP(-LN(2)/35))/(LN(2)/35)*V55*W55*VLOOKUP('Données projet'!$B$9,Paramètres!$A$1:$I$89,3,0)*0.475*44/12</f>
        <v>48.492896458905406</v>
      </c>
      <c r="AA55" s="21">
        <f>EXP(-LN(2)/25)*AA54+(1-EXP(-LN(2)/25))/(LN(2)/25)*Calculateur!V55*Calculateur!X55*VLOOKUP('Données projet'!$B$9,Paramètres!$A$1:$I$89,3,0)*0.475*44/12</f>
        <v>18.751694445407118</v>
      </c>
      <c r="AB55" s="21">
        <f>EXP(-LN(2)/2)*AB54+(1-EXP(-LN(2)/2))/(LN(2)/2)*V55*Y55*VLOOKUP('Données projet'!$B$9,Paramètres!$A$1:$I$89,3,0)*0.475*44/12</f>
        <v>5.906861705672978</v>
      </c>
      <c r="AC55" s="22">
        <f t="shared" si="3"/>
        <v>73.151452609985512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10.433653846153845</v>
      </c>
      <c r="N56" s="13">
        <f>IF('Données projet'!$A$36&gt;35,N55+M56-V55,IF(A56&lt;'Données projet'!$A$36,$K$205^A56,IF(A56='Données projet'!$A$36,'Données projet'!$B$36,N55+M56-V55)))</f>
        <v>280.46442307692291</v>
      </c>
      <c r="O56" s="13">
        <f>N56*VLOOKUP('Données projet'!$B$9,Paramètres!$A$1:$I$89,3,0)*VLOOKUP('Données projet'!$B$9,Paramètres!$A$1:$I$89,5,0)</f>
        <v>167.71772499999992</v>
      </c>
      <c r="P56" s="13">
        <f t="shared" si="33"/>
        <v>42.578468510426184</v>
      </c>
      <c r="Q56" s="20">
        <f t="shared" si="53"/>
        <v>366.26587036399206</v>
      </c>
      <c r="R56" s="59">
        <f t="shared" si="0"/>
        <v>659.59920369732538</v>
      </c>
      <c r="S56" s="59">
        <f ca="1">AVERAGE(OFFSET($R$3,0,0,'Données projet'!$E$9+1,1))-AVERAGE(OFFSET($H$3,0,0,'Données projet'!$E$9+1,1))</f>
        <v>194.8881828356399</v>
      </c>
      <c r="T56" s="59">
        <f t="shared" si="34"/>
        <v>195.26562343155132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47.541980337092554</v>
      </c>
      <c r="AA56" s="21">
        <f>EXP(-LN(2)/25)*AA55+(1-EXP(-LN(2)/25))/(LN(2)/25)*Calculateur!V56*Calculateur!X56*VLOOKUP('Données projet'!$B$9,Paramètres!$A$1:$I$89,3,0)*0.475*44/12</f>
        <v>18.238928374688708</v>
      </c>
      <c r="AB56" s="21">
        <f>EXP(-LN(2)/2)*AB55+(1-EXP(-LN(2)/2))/(LN(2)/2)*V56*Y56*VLOOKUP('Données projet'!$B$9,Paramètres!$A$1:$I$89,3,0)*0.475*44/12</f>
        <v>4.1767819676124995</v>
      </c>
      <c r="AC56" s="22">
        <f t="shared" si="3"/>
        <v>69.957690679393764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10.433653846153845</v>
      </c>
      <c r="N57" s="13">
        <f>IF('Données projet'!$A$36&gt;35,N56+M57-V56,IF(A57&lt;'Données projet'!$A$36,$K$205^A57,IF(A57='Données projet'!$A$36,'Données projet'!$B$36,N56+M57-V56)))</f>
        <v>290.89807692307676</v>
      </c>
      <c r="O57" s="13">
        <f>N57*VLOOKUP('Données projet'!$B$9,Paramètres!$A$1:$I$89,3,0)*VLOOKUP('Données projet'!$B$9,Paramètres!$A$1:$I$89,5,0)</f>
        <v>173.95704999999992</v>
      </c>
      <c r="P57" s="13">
        <f t="shared" si="33"/>
        <v>43.975080818549294</v>
      </c>
      <c r="Q57" s="20">
        <f t="shared" si="53"/>
        <v>379.56512784230654</v>
      </c>
      <c r="R57" s="59">
        <f t="shared" si="0"/>
        <v>672.8984611756398</v>
      </c>
      <c r="S57" s="59">
        <f ca="1">AVERAGE(OFFSET($R$3,0,0,'Données projet'!$E$9+1,1))-AVERAGE(OFFSET($H$3,0,0,'Données projet'!$E$9+1,1))</f>
        <v>194.8881828356399</v>
      </c>
      <c r="T57" s="59">
        <f t="shared" si="34"/>
        <v>195.26562343155132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46.609711100426885</v>
      </c>
      <c r="AA57" s="21">
        <f>EXP(-LN(2)/25)*AA56+(1-EXP(-LN(2)/25))/(LN(2)/25)*Calculateur!V57*Calculateur!X57*VLOOKUP('Données projet'!$B$9,Paramètres!$A$1:$I$89,3,0)*0.475*44/12</f>
        <v>17.740183919139287</v>
      </c>
      <c r="AB57" s="21">
        <f>EXP(-LN(2)/2)*AB56+(1-EXP(-LN(2)/2))/(LN(2)/2)*V57*Y57*VLOOKUP('Données projet'!$B$9,Paramètres!$A$1:$I$89,3,0)*0.475*44/12</f>
        <v>2.9534308528364894</v>
      </c>
      <c r="AC57" s="22">
        <f t="shared" si="3"/>
        <v>67.303325872402667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10.433653846153845</v>
      </c>
      <c r="N58" s="13">
        <f>IF('Données projet'!$A$36&gt;35,N57+M58-V57,IF(A58&lt;'Données projet'!$A$36,$K$205^A58,IF(A58='Données projet'!$A$36,'Données projet'!$B$36,N57+M58-V57)))</f>
        <v>301.3317307692306</v>
      </c>
      <c r="O58" s="13">
        <f>N58*VLOOKUP('Données projet'!$B$9,Paramètres!$A$1:$I$89,3,0)*VLOOKUP('Données projet'!$B$9,Paramètres!$A$1:$I$89,5,0)</f>
        <v>180.1963749999999</v>
      </c>
      <c r="P58" s="13">
        <f t="shared" si="33"/>
        <v>45.365873213127998</v>
      </c>
      <c r="Q58" s="20">
        <f t="shared" si="53"/>
        <v>392.85424897119771</v>
      </c>
      <c r="R58" s="59">
        <f t="shared" si="0"/>
        <v>686.18758230453102</v>
      </c>
      <c r="S58" s="59">
        <f ca="1">AVERAGE(OFFSET($R$3,0,0,'Données projet'!$E$9+1,1))-AVERAGE(OFFSET($H$3,0,0,'Données projet'!$E$9+1,1))</f>
        <v>194.8881828356399</v>
      </c>
      <c r="T58" s="59">
        <f t="shared" si="34"/>
        <v>195.26562343155132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45.695723094864142</v>
      </c>
      <c r="AA58" s="21">
        <f>EXP(-LN(2)/25)*AA57+(1-EXP(-LN(2)/25))/(LN(2)/25)*Calculateur!V58*Calculateur!X58*VLOOKUP('Données projet'!$B$9,Paramètres!$A$1:$I$89,3,0)*0.475*44/12</f>
        <v>17.255077656954697</v>
      </c>
      <c r="AB58" s="21">
        <f>EXP(-LN(2)/2)*AB57+(1-EXP(-LN(2)/2))/(LN(2)/2)*V58*Y58*VLOOKUP('Données projet'!$B$9,Paramètres!$A$1:$I$89,3,0)*0.475*44/12</f>
        <v>2.0883909838062502</v>
      </c>
      <c r="AC58" s="22">
        <f t="shared" si="3"/>
        <v>65.039191735625096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10.433653846153845</v>
      </c>
      <c r="N59" s="13">
        <f>IF('Données projet'!$A$36&gt;35,N58+M59-V58,IF(A59&lt;'Données projet'!$A$36,$K$205^A59,IF(A59='Données projet'!$A$36,'Données projet'!$B$36,N58+M59-V58)))</f>
        <v>311.76538461538445</v>
      </c>
      <c r="O59" s="13">
        <f>N59*VLOOKUP('Données projet'!$B$9,Paramètres!$A$1:$I$89,3,0)*VLOOKUP('Données projet'!$B$9,Paramètres!$A$1:$I$89,5,0)</f>
        <v>186.43569999999991</v>
      </c>
      <c r="P59" s="13">
        <f t="shared" si="33"/>
        <v>46.751070304344388</v>
      </c>
      <c r="Q59" s="20">
        <f t="shared" si="53"/>
        <v>406.13362494673294</v>
      </c>
      <c r="R59" s="59">
        <f t="shared" si="0"/>
        <v>699.46695828006625</v>
      </c>
      <c r="S59" s="59">
        <f ca="1">AVERAGE(OFFSET($R$3,0,0,'Données projet'!$E$9+1,1))-AVERAGE(OFFSET($H$3,0,0,'Données projet'!$E$9+1,1))</f>
        <v>194.8881828356399</v>
      </c>
      <c r="T59" s="59">
        <f t="shared" si="34"/>
        <v>195.26562343155132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44.799657836612852</v>
      </c>
      <c r="AA59" s="21">
        <f>EXP(-LN(2)/25)*AA58+(1-EXP(-LN(2)/25))/(LN(2)/25)*Calculateur!V59*Calculateur!X59*VLOOKUP('Données projet'!$B$9,Paramètres!$A$1:$I$89,3,0)*0.475*44/12</f>
        <v>16.783236651020175</v>
      </c>
      <c r="AB59" s="21">
        <f>EXP(-LN(2)/2)*AB58+(1-EXP(-LN(2)/2))/(LN(2)/2)*V59*Y59*VLOOKUP('Données projet'!$B$9,Paramètres!$A$1:$I$89,3,0)*0.475*44/12</f>
        <v>1.4767154264182449</v>
      </c>
      <c r="AC59" s="22">
        <f t="shared" si="3"/>
        <v>63.059609914051272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10.433653846153845</v>
      </c>
      <c r="N60" s="13">
        <f>IF('Données projet'!$A$36&gt;35,N59+M60-V59,IF(A60&lt;'Données projet'!$A$36,$K$205^A60,IF(A60='Données projet'!$A$36,'Données projet'!$B$36,N59+M60-V59)))</f>
        <v>322.19903846153829</v>
      </c>
      <c r="O60" s="13">
        <f>N60*VLOOKUP('Données projet'!$B$9,Paramètres!$A$1:$I$89,3,0)*VLOOKUP('Données projet'!$B$9,Paramètres!$A$1:$I$89,5,0)</f>
        <v>192.67502499999992</v>
      </c>
      <c r="P60" s="13">
        <f t="shared" si="33"/>
        <v>48.130880815569739</v>
      </c>
      <c r="Q60" s="20">
        <f t="shared" si="53"/>
        <v>419.40361929545043</v>
      </c>
      <c r="R60" s="59">
        <f t="shared" si="0"/>
        <v>712.73695262878368</v>
      </c>
      <c r="S60" s="59">
        <f ca="1">AVERAGE(OFFSET($R$3,0,0,'Données projet'!$E$9+1,1))-AVERAGE(OFFSET($H$3,0,0,'Données projet'!$E$9+1,1))</f>
        <v>194.8881828356399</v>
      </c>
      <c r="T60" s="59">
        <f t="shared" si="34"/>
        <v>195.26562343155132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43.921163871530027</v>
      </c>
      <c r="AA60" s="21">
        <f>EXP(-LN(2)/25)*AA59+(1-EXP(-LN(2)/25))/(LN(2)/25)*Calculateur!V60*Calculateur!X60*VLOOKUP('Données projet'!$B$9,Paramètres!$A$1:$I$89,3,0)*0.475*44/12</f>
        <v>16.32429816220597</v>
      </c>
      <c r="AB60" s="21">
        <f>EXP(-LN(2)/2)*AB59+(1-EXP(-LN(2)/2))/(LN(2)/2)*V60*Y60*VLOOKUP('Données projet'!$B$9,Paramètres!$A$1:$I$89,3,0)*0.475*44/12</f>
        <v>1.0441954919031251</v>
      </c>
      <c r="AC60" s="22">
        <f t="shared" si="3"/>
        <v>61.289657525639122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10.433653846153845</v>
      </c>
      <c r="N61" s="13">
        <f>IF('Données projet'!$A$36&gt;35,N60+M61-V60,IF(A61&lt;'Données projet'!$A$36,$K$205^A61,IF(A61='Données projet'!$A$36,'Données projet'!$B$36,N60+M61-V60)))</f>
        <v>332.63269230769214</v>
      </c>
      <c r="O61" s="13">
        <f>N61*VLOOKUP('Données projet'!$B$9,Paramètres!$A$1:$I$89,3,0)*VLOOKUP('Données projet'!$B$9,Paramètres!$A$1:$I$89,5,0)</f>
        <v>198.91434999999993</v>
      </c>
      <c r="P61" s="13">
        <f t="shared" si="33"/>
        <v>49.50549918474259</v>
      </c>
      <c r="Q61" s="20">
        <f t="shared" si="53"/>
        <v>432.66457066342656</v>
      </c>
      <c r="R61" s="59">
        <f t="shared" si="0"/>
        <v>725.99790399675987</v>
      </c>
      <c r="S61" s="59">
        <f ca="1">AVERAGE(OFFSET($R$3,0,0,'Données projet'!$E$9+1,1))-AVERAGE(OFFSET($H$3,0,0,'Données projet'!$E$9+1,1))</f>
        <v>194.8881828356399</v>
      </c>
      <c r="T61" s="59">
        <f t="shared" si="34"/>
        <v>195.26562343155132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43.059896637274065</v>
      </c>
      <c r="AA61" s="21">
        <f>EXP(-LN(2)/25)*AA60+(1-EXP(-LN(2)/25))/(LN(2)/25)*Calculateur!V61*Calculateur!X61*VLOOKUP('Données projet'!$B$9,Paramètres!$A$1:$I$89,3,0)*0.475*44/12</f>
        <v>15.877909370502918</v>
      </c>
      <c r="AB61" s="21">
        <f>EXP(-LN(2)/2)*AB60+(1-EXP(-LN(2)/2))/(LN(2)/2)*V61*Y61*VLOOKUP('Données projet'!$B$9,Paramètres!$A$1:$I$89,3,0)*0.475*44/12</f>
        <v>0.73835771320912247</v>
      </c>
      <c r="AC61" s="22">
        <f t="shared" si="3"/>
        <v>59.676163720986104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10.433653846153845</v>
      </c>
      <c r="N62" s="13">
        <f>IF('Données projet'!$A$36&gt;35,N61+M62-V61,IF(A62&lt;'Données projet'!$A$36,$K$205^A62,IF(A62='Données projet'!$A$36,'Données projet'!$B$36,N61+M62-V61)))</f>
        <v>343.06634615384598</v>
      </c>
      <c r="O62" s="13">
        <f>N62*VLOOKUP('Données projet'!$B$9,Paramètres!$A$1:$I$89,3,0)*VLOOKUP('Données projet'!$B$9,Paramètres!$A$1:$I$89,5,0)</f>
        <v>205.15367499999991</v>
      </c>
      <c r="P62" s="13">
        <f t="shared" si="33"/>
        <v>50.875106959180371</v>
      </c>
      <c r="Q62" s="20">
        <f t="shared" si="53"/>
        <v>445.9167952455723</v>
      </c>
      <c r="R62" s="59">
        <f t="shared" si="0"/>
        <v>739.25012857890556</v>
      </c>
      <c r="S62" s="59">
        <f ca="1">AVERAGE(OFFSET($R$3,0,0,'Données projet'!$E$9+1,1))-AVERAGE(OFFSET($H$3,0,0,'Données projet'!$E$9+1,1))</f>
        <v>194.8881828356399</v>
      </c>
      <c r="T62" s="59">
        <f t="shared" si="34"/>
        <v>195.26562343155132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42.215518328160719</v>
      </c>
      <c r="AA62" s="21">
        <f>EXP(-LN(2)/25)*AA61+(1-EXP(-LN(2)/25))/(LN(2)/25)*Calculateur!V62*Calculateur!X62*VLOOKUP('Données projet'!$B$9,Paramètres!$A$1:$I$89,3,0)*0.475*44/12</f>
        <v>15.443727103783552</v>
      </c>
      <c r="AB62" s="21">
        <f>EXP(-LN(2)/2)*AB61+(1-EXP(-LN(2)/2))/(LN(2)/2)*V62*Y62*VLOOKUP('Données projet'!$B$9,Paramètres!$A$1:$I$89,3,0)*0.475*44/12</f>
        <v>0.52209774595156255</v>
      </c>
      <c r="AC62" s="22">
        <f t="shared" si="3"/>
        <v>58.181343177895833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353.5</v>
      </c>
      <c r="L63" s="12">
        <f>VLOOKUP(A63,'Données projet'!$A$35:$I$55,9,0)</f>
        <v>10.433653846153845</v>
      </c>
      <c r="M63" s="12">
        <f t="array" ref="M63">INDEX(L:L,MIN(IF(ISNUMBER(L63:L259),ROW(L63:L259),"")))</f>
        <v>10.433653846153845</v>
      </c>
      <c r="N63" s="13">
        <f>IF('Données projet'!$A$36&gt;35,N62+M63-V62,IF(A63&lt;'Données projet'!$A$36,$K$205^A63,IF(A63='Données projet'!$A$36,'Données projet'!$B$36,N62+M63-V62)))</f>
        <v>353.49999999999983</v>
      </c>
      <c r="O63" s="13">
        <f>N63*VLOOKUP('Données projet'!$B$9,Paramètres!$A$1:$I$89,3,0)*VLOOKUP('Données projet'!$B$9,Paramètres!$A$1:$I$89,5,0)</f>
        <v>211.39299999999992</v>
      </c>
      <c r="P63" s="13">
        <f t="shared" si="33"/>
        <v>52.239874015944039</v>
      </c>
      <c r="Q63" s="20">
        <f t="shared" si="53"/>
        <v>459.16058891110237</v>
      </c>
      <c r="R63" s="59">
        <f t="shared" si="0"/>
        <v>752.49392224443568</v>
      </c>
      <c r="S63" s="59">
        <f ca="1">AVERAGE(OFFSET($R$3,0,0,'Données projet'!$E$9+1,1))-AVERAGE(OFFSET($H$3,0,0,'Données projet'!$E$9+1,1))</f>
        <v>194.8881828356399</v>
      </c>
      <c r="T63" s="59">
        <f t="shared" si="34"/>
        <v>195.26562343155132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353.5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7.5600000000000001E-2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129.72202634021937</v>
      </c>
      <c r="AA63" s="21">
        <f>EXP(-LN(2)/25)*AA62+(1-EXP(-LN(2)/25))/(LN(2)/25)*Calculateur!V63*Calculateur!X63*VLOOKUP('Données projet'!$B$9,Paramètres!$A$1:$I$89,3,0)*0.475*44/12</f>
        <v>36.138183014281665</v>
      </c>
      <c r="AB63" s="21">
        <f>EXP(-LN(2)/2)*AB62+(1-EXP(-LN(2)/2))/(LN(2)/2)*V63*Y63*VLOOKUP('Données projet'!$B$9,Paramètres!$A$1:$I$89,3,0)*0.475*44/12</f>
        <v>31.962848489978171</v>
      </c>
      <c r="AC63" s="22">
        <f t="shared" si="3"/>
        <v>197.82305784447919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194.8881828356399</v>
      </c>
      <c r="T64" s="59">
        <f t="shared" si="34"/>
        <v>195.26562343155132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127.17825652631103</v>
      </c>
      <c r="AA64" s="21">
        <f>EXP(-LN(2)/25)*AA63+(1-EXP(-LN(2)/25))/(LN(2)/25)*Calculateur!V64*Calculateur!X64*VLOOKUP('Données projet'!$B$9,Paramètres!$A$1:$I$89,3,0)*0.475*44/12</f>
        <v>35.149982499331685</v>
      </c>
      <c r="AB64" s="21">
        <f>EXP(-LN(2)/2)*AB63+(1-EXP(-LN(2)/2))/(LN(2)/2)*V64*Y64*VLOOKUP('Données projet'!$B$9,Paramètres!$A$1:$I$89,3,0)*0.475*44/12</f>
        <v>22.601146913301768</v>
      </c>
      <c r="AC64" s="22">
        <f t="shared" si="3"/>
        <v>184.92938593894448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194.8881828356399</v>
      </c>
      <c r="T65" s="59">
        <f t="shared" si="34"/>
        <v>195.26562343155132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124.68436848690705</v>
      </c>
      <c r="AA65" s="21">
        <f>EXP(-LN(2)/25)*AA64+(1-EXP(-LN(2)/25))/(LN(2)/25)*Calculateur!V65*Calculateur!X65*VLOOKUP('Données projet'!$B$9,Paramètres!$A$1:$I$89,3,0)*0.475*44/12</f>
        <v>34.188804379430216</v>
      </c>
      <c r="AB65" s="21">
        <f>EXP(-LN(2)/2)*AB64+(1-EXP(-LN(2)/2))/(LN(2)/2)*V65*Y65*VLOOKUP('Données projet'!$B$9,Paramètres!$A$1:$I$89,3,0)*0.475*44/12</f>
        <v>15.981424244989089</v>
      </c>
      <c r="AC65" s="22">
        <f t="shared" si="3"/>
        <v>174.85459711132634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194.8881828356399</v>
      </c>
      <c r="T66" s="59">
        <f t="shared" si="34"/>
        <v>195.26562343155132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122.23938407083426</v>
      </c>
      <c r="AA66" s="21">
        <f>EXP(-LN(2)/25)*AA65+(1-EXP(-LN(2)/25))/(LN(2)/25)*Calculateur!V66*Calculateur!X66*VLOOKUP('Données projet'!$B$9,Paramètres!$A$1:$I$89,3,0)*0.475*44/12</f>
        <v>33.253909725763613</v>
      </c>
      <c r="AB66" s="21">
        <f>EXP(-LN(2)/2)*AB65+(1-EXP(-LN(2)/2))/(LN(2)/2)*V66*Y66*VLOOKUP('Données projet'!$B$9,Paramètres!$A$1:$I$89,3,0)*0.475*44/12</f>
        <v>11.300573456650886</v>
      </c>
      <c r="AC66" s="22">
        <f t="shared" si="3"/>
        <v>166.79386725324875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194.8881828356399</v>
      </c>
      <c r="T67" s="59">
        <f t="shared" si="34"/>
        <v>195.26562343155132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119.84234430786744</v>
      </c>
      <c r="AA67" s="21">
        <f>EXP(-LN(2)/25)*AA66+(1-EXP(-LN(2)/25))/(LN(2)/25)*Calculateur!V67*Calculateur!X67*VLOOKUP('Données projet'!$B$9,Paramètres!$A$1:$I$89,3,0)*0.475*44/12</f>
        <v>32.344579815565496</v>
      </c>
      <c r="AB67" s="21">
        <f>EXP(-LN(2)/2)*AB66+(1-EXP(-LN(2)/2))/(LN(2)/2)*V67*Y67*VLOOKUP('Données projet'!$B$9,Paramètres!$A$1:$I$89,3,0)*0.475*44/12</f>
        <v>7.9907121224945454</v>
      </c>
      <c r="AC67" s="22">
        <f t="shared" si="3"/>
        <v>160.17763624592749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194.8881828356399</v>
      </c>
      <c r="T68" s="59">
        <f t="shared" si="34"/>
        <v>195.26562343155132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117.49230903260249</v>
      </c>
      <c r="AA68" s="21">
        <f>EXP(-LN(2)/25)*AA67+(1-EXP(-LN(2)/25))/(LN(2)/25)*Calculateur!V68*Calculateur!X68*VLOOKUP('Données projet'!$B$9,Paramètres!$A$1:$I$89,3,0)*0.475*44/12</f>
        <v>31.460115579581331</v>
      </c>
      <c r="AB68" s="21">
        <f>EXP(-LN(2)/2)*AB67+(1-EXP(-LN(2)/2))/(LN(2)/2)*V68*Y68*VLOOKUP('Données projet'!$B$9,Paramètres!$A$1:$I$89,3,0)*0.475*44/12</f>
        <v>5.6502867283254439</v>
      </c>
      <c r="AC68" s="22">
        <f t="shared" ref="AC68:AC131" si="57">SUM(Z68:AB68)</f>
        <v>154.60271134050927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194.8881828356399</v>
      </c>
      <c r="T69" s="59">
        <f t="shared" ref="T69:T132" si="88">$T$3</f>
        <v>195.26562343155132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115.18835651570551</v>
      </c>
      <c r="AA69" s="21">
        <f>EXP(-LN(2)/25)*AA68+(1-EXP(-LN(2)/25))/(LN(2)/25)*Calculateur!V69*Calculateur!X69*VLOOKUP('Données projet'!$B$9,Paramètres!$A$1:$I$89,3,0)*0.475*44/12</f>
        <v>30.599837064642102</v>
      </c>
      <c r="AB69" s="21">
        <f>EXP(-LN(2)/2)*AB68+(1-EXP(-LN(2)/2))/(LN(2)/2)*V69*Y69*VLOOKUP('Données projet'!$B$9,Paramètres!$A$1:$I$89,3,0)*0.475*44/12</f>
        <v>3.9953560612472736</v>
      </c>
      <c r="AC69" s="22">
        <f t="shared" si="57"/>
        <v>149.78354964159487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194.8881828356399</v>
      </c>
      <c r="T70" s="59">
        <f t="shared" si="88"/>
        <v>195.26562343155132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112.9295831023926</v>
      </c>
      <c r="AA70" s="21">
        <f>EXP(-LN(2)/25)*AA69+(1-EXP(-LN(2)/25))/(LN(2)/25)*Calculateur!V70*Calculateur!X70*VLOOKUP('Données projet'!$B$9,Paramètres!$A$1:$I$89,3,0)*0.475*44/12</f>
        <v>29.763082910933971</v>
      </c>
      <c r="AB70" s="21">
        <f>EXP(-LN(2)/2)*AB69+(1-EXP(-LN(2)/2))/(LN(2)/2)*V70*Y70*VLOOKUP('Données projet'!$B$9,Paramètres!$A$1:$I$89,3,0)*0.475*44/12</f>
        <v>2.8251433641627224</v>
      </c>
      <c r="AC70" s="22">
        <f t="shared" si="57"/>
        <v>145.5178093774893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194.8881828356399</v>
      </c>
      <c r="T71" s="59">
        <f t="shared" si="88"/>
        <v>195.26562343155132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110.71510285799901</v>
      </c>
      <c r="AA71" s="21">
        <f>EXP(-LN(2)/25)*AA70+(1-EXP(-LN(2)/25))/(LN(2)/25)*Calculateur!V71*Calculateur!X71*VLOOKUP('Données projet'!$B$9,Paramètres!$A$1:$I$89,3,0)*0.475*44/12</f>
        <v>28.949209843561974</v>
      </c>
      <c r="AB71" s="21">
        <f>EXP(-LN(2)/2)*AB70+(1-EXP(-LN(2)/2))/(LN(2)/2)*V71*Y71*VLOOKUP('Données projet'!$B$9,Paramètres!$A$1:$I$89,3,0)*0.475*44/12</f>
        <v>1.997678030623637</v>
      </c>
      <c r="AC71" s="22">
        <f t="shared" si="57"/>
        <v>141.66199073218462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194.8881828356399</v>
      </c>
      <c r="T72" s="59">
        <f t="shared" si="88"/>
        <v>195.26562343155132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108.54404722049841</v>
      </c>
      <c r="AA72" s="21">
        <f>EXP(-LN(2)/25)*AA71+(1-EXP(-LN(2)/25))/(LN(2)/25)*Calculateur!V72*Calculateur!X72*VLOOKUP('Données projet'!$B$9,Paramètres!$A$1:$I$89,3,0)*0.475*44/12</f>
        <v>28.157592178016991</v>
      </c>
      <c r="AB72" s="21">
        <f>EXP(-LN(2)/2)*AB71+(1-EXP(-LN(2)/2))/(LN(2)/2)*V72*Y72*VLOOKUP('Données projet'!$B$9,Paramètres!$A$1:$I$89,3,0)*0.475*44/12</f>
        <v>1.4125716820813614</v>
      </c>
      <c r="AC72" s="22">
        <f t="shared" si="57"/>
        <v>138.11421108059676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194.8881828356399</v>
      </c>
      <c r="T73" s="59">
        <f t="shared" si="88"/>
        <v>195.26562343155132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106.41556465983601</v>
      </c>
      <c r="AA73" s="21">
        <f>EXP(-LN(2)/25)*AA72+(1-EXP(-LN(2)/25))/(LN(2)/25)*Calculateur!V73*Calculateur!X73*VLOOKUP('Données projet'!$B$9,Paramètres!$A$1:$I$89,3,0)*0.475*44/12</f>
        <v>27.387621339165698</v>
      </c>
      <c r="AB73" s="21">
        <f>EXP(-LN(2)/2)*AB72+(1-EXP(-LN(2)/2))/(LN(2)/2)*V73*Y73*VLOOKUP('Données projet'!$B$9,Paramètres!$A$1:$I$89,3,0)*0.475*44/12</f>
        <v>0.99883901531181862</v>
      </c>
      <c r="AC73" s="22">
        <f t="shared" si="57"/>
        <v>134.80202501431353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194.8881828356399</v>
      </c>
      <c r="T74" s="59">
        <f t="shared" si="88"/>
        <v>195.26562343155132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104.32882034394203</v>
      </c>
      <c r="AA74" s="21">
        <f>EXP(-LN(2)/25)*AA73+(1-EXP(-LN(2)/25))/(LN(2)/25)*Calculateur!V74*Calculateur!X74*VLOOKUP('Données projet'!$B$9,Paramètres!$A$1:$I$89,3,0)*0.475*44/12</f>
        <v>26.638705393393799</v>
      </c>
      <c r="AB74" s="21">
        <f>EXP(-LN(2)/2)*AB73+(1-EXP(-LN(2)/2))/(LN(2)/2)*V74*Y74*VLOOKUP('Données projet'!$B$9,Paramètres!$A$1:$I$89,3,0)*0.475*44/12</f>
        <v>0.70628584104068082</v>
      </c>
      <c r="AC74" s="22">
        <f t="shared" si="57"/>
        <v>131.6738115783765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194.8881828356399</v>
      </c>
      <c r="T75" s="59">
        <f t="shared" si="88"/>
        <v>195.26562343155132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102.28299581129437</v>
      </c>
      <c r="AA75" s="21">
        <f>EXP(-LN(2)/25)*AA74+(1-EXP(-LN(2)/25))/(LN(2)/25)*Calculateur!V75*Calculateur!X75*VLOOKUP('Données projet'!$B$9,Paramètres!$A$1:$I$89,3,0)*0.475*44/12</f>
        <v>25.910268593542813</v>
      </c>
      <c r="AB75" s="21">
        <f>EXP(-LN(2)/2)*AB74+(1-EXP(-LN(2)/2))/(LN(2)/2)*V75*Y75*VLOOKUP('Données projet'!$B$9,Paramètres!$A$1:$I$89,3,0)*0.475*44/12</f>
        <v>0.49941950765590942</v>
      </c>
      <c r="AC75" s="22">
        <f t="shared" si="57"/>
        <v>128.6926839124931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194.8881828356399</v>
      </c>
      <c r="T76" s="59">
        <f t="shared" si="88"/>
        <v>195.26562343155132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100.27728864990218</v>
      </c>
      <c r="AA76" s="21">
        <f>EXP(-LN(2)/25)*AA75+(1-EXP(-LN(2)/25))/(LN(2)/25)*Calculateur!V76*Calculateur!X76*VLOOKUP('Données projet'!$B$9,Paramètres!$A$1:$I$89,3,0)*0.475*44/12</f>
        <v>25.20175093629058</v>
      </c>
      <c r="AB76" s="21">
        <f>EXP(-LN(2)/2)*AB75+(1-EXP(-LN(2)/2))/(LN(2)/2)*V76*Y76*VLOOKUP('Données projet'!$B$9,Paramètres!$A$1:$I$89,3,0)*0.475*44/12</f>
        <v>0.35314292052034046</v>
      </c>
      <c r="AC76" s="22">
        <f t="shared" si="57"/>
        <v>125.8321825067131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194.8881828356399</v>
      </c>
      <c r="T77" s="59">
        <f t="shared" si="88"/>
        <v>195.26562343155132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98.310912182584318</v>
      </c>
      <c r="AA77" s="21">
        <f>EXP(-LN(2)/25)*AA76+(1-EXP(-LN(2)/25))/(LN(2)/25)*Calculateur!V77*Calculateur!X77*VLOOKUP('Données projet'!$B$9,Paramètres!$A$1:$I$89,3,0)*0.475*44/12</f>
        <v>24.512607731635232</v>
      </c>
      <c r="AB77" s="21">
        <f>EXP(-LN(2)/2)*AB76+(1-EXP(-LN(2)/2))/(LN(2)/2)*V77*Y77*VLOOKUP('Données projet'!$B$9,Paramètres!$A$1:$I$89,3,0)*0.475*44/12</f>
        <v>0.24970975382795474</v>
      </c>
      <c r="AC77" s="22">
        <f t="shared" si="57"/>
        <v>123.0732296680475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194.8881828356399</v>
      </c>
      <c r="T78" s="59">
        <f t="shared" si="88"/>
        <v>195.26562343155132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96.383095158419337</v>
      </c>
      <c r="AA78" s="21">
        <f>EXP(-LN(2)/25)*AA77+(1-EXP(-LN(2)/25))/(LN(2)/25)*Calculateur!V78*Calculateur!X78*VLOOKUP('Données projet'!$B$9,Paramètres!$A$1:$I$89,3,0)*0.475*44/12</f>
        <v>23.842309184151649</v>
      </c>
      <c r="AB78" s="21">
        <f>EXP(-LN(2)/2)*AB77+(1-EXP(-LN(2)/2))/(LN(2)/2)*V78*Y78*VLOOKUP('Données projet'!$B$9,Paramètres!$A$1:$I$89,3,0)*0.475*44/12</f>
        <v>0.17657146026017026</v>
      </c>
      <c r="AC78" s="22">
        <f t="shared" si="57"/>
        <v>120.40197580283115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194.8881828356399</v>
      </c>
      <c r="T79" s="59">
        <f t="shared" si="88"/>
        <v>195.26562343155132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94.493081450245953</v>
      </c>
      <c r="AA79" s="21">
        <f>EXP(-LN(2)/25)*AA78+(1-EXP(-LN(2)/25))/(LN(2)/25)*Calculateur!V79*Calculateur!X79*VLOOKUP('Données projet'!$B$9,Paramètres!$A$1:$I$89,3,0)*0.475*44/12</f>
        <v>23.190339985698476</v>
      </c>
      <c r="AB79" s="21">
        <f>EXP(-LN(2)/2)*AB78+(1-EXP(-LN(2)/2))/(LN(2)/2)*V79*Y79*VLOOKUP('Données projet'!$B$9,Paramètres!$A$1:$I$89,3,0)*0.475*44/12</f>
        <v>0.1248548769139774</v>
      </c>
      <c r="AC79" s="22">
        <f t="shared" si="57"/>
        <v>117.8082763128584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194.8881828356399</v>
      </c>
      <c r="T80" s="59">
        <f t="shared" si="88"/>
        <v>195.26562343155132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92.640129758095327</v>
      </c>
      <c r="AA80" s="21">
        <f>EXP(-LN(2)/25)*AA79+(1-EXP(-LN(2)/25))/(LN(2)/25)*Calculateur!V80*Calculateur!X80*VLOOKUP('Données projet'!$B$9,Paramètres!$A$1:$I$89,3,0)*0.475*44/12</f>
        <v>22.556198919262574</v>
      </c>
      <c r="AB80" s="21">
        <f>EXP(-LN(2)/2)*AB79+(1-EXP(-LN(2)/2))/(LN(2)/2)*V80*Y80*VLOOKUP('Données projet'!$B$9,Paramètres!$A$1:$I$89,3,0)*0.475*44/12</f>
        <v>8.8285730130085144E-2</v>
      </c>
      <c r="AC80" s="22">
        <f t="shared" si="57"/>
        <v>115.28461440748798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194.8881828356399</v>
      </c>
      <c r="T81" s="59">
        <f t="shared" si="88"/>
        <v>195.26562343155132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90.823513318438827</v>
      </c>
      <c r="AA81" s="21">
        <f>EXP(-LN(2)/25)*AA80+(1-EXP(-LN(2)/25))/(LN(2)/25)*Calculateur!V81*Calculateur!X81*VLOOKUP('Données projet'!$B$9,Paramètres!$A$1:$I$89,3,0)*0.475*44/12</f>
        <v>21.939398473636391</v>
      </c>
      <c r="AB81" s="21">
        <f>EXP(-LN(2)/2)*AB80+(1-EXP(-LN(2)/2))/(LN(2)/2)*V81*Y81*VLOOKUP('Données projet'!$B$9,Paramètres!$A$1:$I$89,3,0)*0.475*44/12</f>
        <v>6.2427438456988706E-2</v>
      </c>
      <c r="AC81" s="22">
        <f t="shared" si="57"/>
        <v>112.82533923053221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194.8881828356399</v>
      </c>
      <c r="T82" s="59">
        <f t="shared" si="88"/>
        <v>195.26562343155132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89.04251961913738</v>
      </c>
      <c r="AA82" s="21">
        <f>EXP(-LN(2)/25)*AA81+(1-EXP(-LN(2)/25))/(LN(2)/25)*Calculateur!V82*Calculateur!X82*VLOOKUP('Données projet'!$B$9,Paramètres!$A$1:$I$89,3,0)*0.475*44/12</f>
        <v>21.339464468631981</v>
      </c>
      <c r="AB82" s="21">
        <f>EXP(-LN(2)/2)*AB81+(1-EXP(-LN(2)/2))/(LN(2)/2)*V82*Y82*VLOOKUP('Données projet'!$B$9,Paramètres!$A$1:$I$89,3,0)*0.475*44/12</f>
        <v>4.4142865065042579E-2</v>
      </c>
      <c r="AC82" s="22">
        <f t="shared" si="57"/>
        <v>110.42612695283439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194.8881828356399</v>
      </c>
      <c r="T83" s="59">
        <f t="shared" si="88"/>
        <v>195.26562343155132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87.296450119980335</v>
      </c>
      <c r="AA83" s="21">
        <f>EXP(-LN(2)/25)*AA82+(1-EXP(-LN(2)/25))/(LN(2)/25)*Calculateur!V83*Calculateur!X83*VLOOKUP('Données projet'!$B$9,Paramètres!$A$1:$I$89,3,0)*0.475*44/12</f>
        <v>20.755935690543573</v>
      </c>
      <c r="AB83" s="21">
        <f>EXP(-LN(2)/2)*AB82+(1-EXP(-LN(2)/2))/(LN(2)/2)*V83*Y83*VLOOKUP('Données projet'!$B$9,Paramètres!$A$1:$I$89,3,0)*0.475*44/12</f>
        <v>3.1213719228494356E-2</v>
      </c>
      <c r="AC83" s="22">
        <f t="shared" si="57"/>
        <v>108.08359952975239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194.8881828356399</v>
      </c>
      <c r="T84" s="59">
        <f t="shared" si="88"/>
        <v>195.26562343155132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85.584619978704524</v>
      </c>
      <c r="AA84" s="21">
        <f>EXP(-LN(2)/25)*AA83+(1-EXP(-LN(2)/25))/(LN(2)/25)*Calculateur!V84*Calculateur!X84*VLOOKUP('Données projet'!$B$9,Paramètres!$A$1:$I$89,3,0)*0.475*44/12</f>
        <v>20.188363537578439</v>
      </c>
      <c r="AB84" s="21">
        <f>EXP(-LN(2)/2)*AB83+(1-EXP(-LN(2)/2))/(LN(2)/2)*V84*Y84*VLOOKUP('Données projet'!$B$9,Paramètres!$A$1:$I$89,3,0)*0.475*44/12</f>
        <v>2.2071432532521293E-2</v>
      </c>
      <c r="AC84" s="22">
        <f t="shared" si="57"/>
        <v>105.79505494881549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194.8881828356399</v>
      </c>
      <c r="T85" s="59">
        <f t="shared" si="88"/>
        <v>195.26562343155132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83.906357782385854</v>
      </c>
      <c r="AA85" s="21">
        <f>EXP(-LN(2)/25)*AA84+(1-EXP(-LN(2)/25))/(LN(2)/25)*Calculateur!V85*Calculateur!X85*VLOOKUP('Données projet'!$B$9,Paramètres!$A$1:$I$89,3,0)*0.475*44/12</f>
        <v>19.63631167498346</v>
      </c>
      <c r="AB85" s="21">
        <f>EXP(-LN(2)/2)*AB84+(1-EXP(-LN(2)/2))/(LN(2)/2)*V85*Y85*VLOOKUP('Données projet'!$B$9,Paramètres!$A$1:$I$89,3,0)*0.475*44/12</f>
        <v>1.5606859614247182E-2</v>
      </c>
      <c r="AC85" s="22">
        <f t="shared" si="57"/>
        <v>103.55827631698357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194.8881828356399</v>
      </c>
      <c r="T86" s="59">
        <f t="shared" si="88"/>
        <v>195.26562343155132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82.261005284098118</v>
      </c>
      <c r="AA86" s="21">
        <f>EXP(-LN(2)/25)*AA85+(1-EXP(-LN(2)/25))/(LN(2)/25)*Calculateur!V86*Calculateur!X86*VLOOKUP('Données projet'!$B$9,Paramètres!$A$1:$I$89,3,0)*0.475*44/12</f>
        <v>19.099355699602285</v>
      </c>
      <c r="AB86" s="21">
        <f>EXP(-LN(2)/2)*AB85+(1-EXP(-LN(2)/2))/(LN(2)/2)*V86*Y86*VLOOKUP('Données projet'!$B$9,Paramètres!$A$1:$I$89,3,0)*0.475*44/12</f>
        <v>1.1035716266260648E-2</v>
      </c>
      <c r="AC86" s="22">
        <f t="shared" si="57"/>
        <v>101.37139669996667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194.8881828356399</v>
      </c>
      <c r="T87" s="59">
        <f t="shared" si="88"/>
        <v>195.26562343155132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80.647917144735885</v>
      </c>
      <c r="AA87" s="21">
        <f>EXP(-LN(2)/25)*AA86+(1-EXP(-LN(2)/25))/(LN(2)/25)*Calculateur!V87*Calculateur!X87*VLOOKUP('Données projet'!$B$9,Paramètres!$A$1:$I$89,3,0)*0.475*44/12</f>
        <v>18.577082813605195</v>
      </c>
      <c r="AB87" s="21">
        <f>EXP(-LN(2)/2)*AB86+(1-EXP(-LN(2)/2))/(LN(2)/2)*V87*Y87*VLOOKUP('Données projet'!$B$9,Paramètres!$A$1:$I$89,3,0)*0.475*44/12</f>
        <v>7.8034298071235917E-3</v>
      </c>
      <c r="AC87" s="22">
        <f t="shared" si="57"/>
        <v>99.232803388148199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194.8881828356399</v>
      </c>
      <c r="T88" s="59">
        <f t="shared" si="88"/>
        <v>195.26562343155132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79.066460679899933</v>
      </c>
      <c r="AA88" s="21">
        <f>EXP(-LN(2)/25)*AA87+(1-EXP(-LN(2)/25))/(LN(2)/25)*Calculateur!V88*Calculateur!X88*VLOOKUP('Données projet'!$B$9,Paramètres!$A$1:$I$89,3,0)*0.475*44/12</f>
        <v>18.069091507140833</v>
      </c>
      <c r="AB88" s="21">
        <f>EXP(-LN(2)/2)*AB87+(1-EXP(-LN(2)/2))/(LN(2)/2)*V88*Y88*VLOOKUP('Données projet'!$B$9,Paramètres!$A$1:$I$89,3,0)*0.475*44/12</f>
        <v>5.517858133130325E-3</v>
      </c>
      <c r="AC88" s="22">
        <f t="shared" si="57"/>
        <v>97.14107004517389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194.8881828356399</v>
      </c>
      <c r="T89" s="59">
        <f t="shared" si="88"/>
        <v>195.26562343155132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77.516015611746212</v>
      </c>
      <c r="AA89" s="21">
        <f>EXP(-LN(2)/25)*AA88+(1-EXP(-LN(2)/25))/(LN(2)/25)*Calculateur!V89*Calculateur!X89*VLOOKUP('Données projet'!$B$9,Paramètres!$A$1:$I$89,3,0)*0.475*44/12</f>
        <v>17.574991249665842</v>
      </c>
      <c r="AB89" s="21">
        <f>EXP(-LN(2)/2)*AB88+(1-EXP(-LN(2)/2))/(LN(2)/2)*V89*Y89*VLOOKUP('Données projet'!$B$9,Paramètres!$A$1:$I$89,3,0)*0.475*44/12</f>
        <v>3.9017149035617967E-3</v>
      </c>
      <c r="AC89" s="22">
        <f t="shared" si="57"/>
        <v>95.094908576315618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194.8881828356399</v>
      </c>
      <c r="T90" s="59">
        <f t="shared" si="88"/>
        <v>195.26562343155132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75.995973825700872</v>
      </c>
      <c r="AA90" s="21">
        <f>EXP(-LN(2)/25)*AA89+(1-EXP(-LN(2)/25))/(LN(2)/25)*Calculateur!V90*Calculateur!X90*VLOOKUP('Données projet'!$B$9,Paramètres!$A$1:$I$89,3,0)*0.475*44/12</f>
        <v>17.094402189715108</v>
      </c>
      <c r="AB90" s="21">
        <f>EXP(-LN(2)/2)*AB89+(1-EXP(-LN(2)/2))/(LN(2)/2)*V90*Y90*VLOOKUP('Données projet'!$B$9,Paramètres!$A$1:$I$89,3,0)*0.475*44/12</f>
        <v>2.7589290665651629E-3</v>
      </c>
      <c r="AC90" s="22">
        <f t="shared" si="57"/>
        <v>93.093134944482543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194.8881828356399</v>
      </c>
      <c r="T91" s="59">
        <f t="shared" si="88"/>
        <v>195.26562343155132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74.50573913194593</v>
      </c>
      <c r="AA91" s="21">
        <f>EXP(-LN(2)/25)*AA90+(1-EXP(-LN(2)/25))/(LN(2)/25)*Calculateur!V91*Calculateur!X91*VLOOKUP('Données projet'!$B$9,Paramètres!$A$1:$I$89,3,0)*0.475*44/12</f>
        <v>16.626954862881806</v>
      </c>
      <c r="AB91" s="21">
        <f>EXP(-LN(2)/2)*AB90+(1-EXP(-LN(2)/2))/(LN(2)/2)*V91*Y91*VLOOKUP('Données projet'!$B$9,Paramètres!$A$1:$I$89,3,0)*0.475*44/12</f>
        <v>1.9508574517808986E-3</v>
      </c>
      <c r="AC91" s="22">
        <f t="shared" si="57"/>
        <v>91.134644852279507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194.8881828356399</v>
      </c>
      <c r="T92" s="59">
        <f t="shared" si="88"/>
        <v>195.26562343155132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73.044727031582113</v>
      </c>
      <c r="AA92" s="21">
        <f>EXP(-LN(2)/25)*AA91+(1-EXP(-LN(2)/25))/(LN(2)/25)*Calculateur!V92*Calculateur!X92*VLOOKUP('Données projet'!$B$9,Paramètres!$A$1:$I$89,3,0)*0.475*44/12</f>
        <v>16.172289907782748</v>
      </c>
      <c r="AB92" s="21">
        <f>EXP(-LN(2)/2)*AB91+(1-EXP(-LN(2)/2))/(LN(2)/2)*V92*Y92*VLOOKUP('Données projet'!$B$9,Paramètres!$A$1:$I$89,3,0)*0.475*44/12</f>
        <v>1.3794645332825817E-3</v>
      </c>
      <c r="AC92" s="22">
        <f t="shared" si="57"/>
        <v>89.218396403898154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194.8881828356399</v>
      </c>
      <c r="T93" s="59">
        <f t="shared" si="88"/>
        <v>195.26562343155132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71.61236448737705</v>
      </c>
      <c r="AA93" s="21">
        <f>EXP(-LN(2)/25)*AA92+(1-EXP(-LN(2)/25))/(LN(2)/25)*Calculateur!V93*Calculateur!X93*VLOOKUP('Données projet'!$B$9,Paramètres!$A$1:$I$89,3,0)*0.475*44/12</f>
        <v>15.730057789790665</v>
      </c>
      <c r="AB93" s="21">
        <f>EXP(-LN(2)/2)*AB92+(1-EXP(-LN(2)/2))/(LN(2)/2)*V93*Y93*VLOOKUP('Données projet'!$B$9,Paramètres!$A$1:$I$89,3,0)*0.475*44/12</f>
        <v>9.754287258904495E-4</v>
      </c>
      <c r="AC93" s="22">
        <f t="shared" si="57"/>
        <v>87.343397705893608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194.8881828356399</v>
      </c>
      <c r="T94" s="59">
        <f t="shared" si="88"/>
        <v>195.26562343155132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70.208089699008951</v>
      </c>
      <c r="AA94" s="21">
        <f>EXP(-LN(2)/25)*AA93+(1-EXP(-LN(2)/25))/(LN(2)/25)*Calculateur!V94*Calculateur!X94*VLOOKUP('Données projet'!$B$9,Paramètres!$A$1:$I$89,3,0)*0.475*44/12</f>
        <v>15.299918532321051</v>
      </c>
      <c r="AB94" s="21">
        <f>EXP(-LN(2)/2)*AB93+(1-EXP(-LN(2)/2))/(LN(2)/2)*V94*Y94*VLOOKUP('Données projet'!$B$9,Paramètres!$A$1:$I$89,3,0)*0.475*44/12</f>
        <v>6.8973226664129094E-4</v>
      </c>
      <c r="AC94" s="22">
        <f t="shared" si="57"/>
        <v>85.508697963596632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194.8881828356399</v>
      </c>
      <c r="T95" s="59">
        <f t="shared" si="88"/>
        <v>195.26562343155132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68.831351882717712</v>
      </c>
      <c r="AA95" s="21">
        <f>EXP(-LN(2)/25)*AA94+(1-EXP(-LN(2)/25))/(LN(2)/25)*Calculateur!V95*Calculateur!X95*VLOOKUP('Données projet'!$B$9,Paramètres!$A$1:$I$89,3,0)*0.475*44/12</f>
        <v>14.881541455466985</v>
      </c>
      <c r="AB95" s="21">
        <f>EXP(-LN(2)/2)*AB94+(1-EXP(-LN(2)/2))/(LN(2)/2)*V95*Y95*VLOOKUP('Données projet'!$B$9,Paramètres!$A$1:$I$89,3,0)*0.475*44/12</f>
        <v>4.877143629452248E-4</v>
      </c>
      <c r="AC95" s="22">
        <f t="shared" si="57"/>
        <v>83.713381052547646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194.8881828356399</v>
      </c>
      <c r="T96" s="59">
        <f t="shared" si="88"/>
        <v>195.26562343155132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67.481611055276787</v>
      </c>
      <c r="AA96" s="21">
        <f>EXP(-LN(2)/25)*AA95+(1-EXP(-LN(2)/25))/(LN(2)/25)*Calculateur!V96*Calculateur!X96*VLOOKUP('Données projet'!$B$9,Paramètres!$A$1:$I$89,3,0)*0.475*44/12</f>
        <v>14.474604921780987</v>
      </c>
      <c r="AB96" s="21">
        <f>EXP(-LN(2)/2)*AB95+(1-EXP(-LN(2)/2))/(LN(2)/2)*V96*Y96*VLOOKUP('Données projet'!$B$9,Paramètres!$A$1:$I$89,3,0)*0.475*44/12</f>
        <v>3.4486613332064553E-4</v>
      </c>
      <c r="AC96" s="22">
        <f t="shared" si="57"/>
        <v>81.956560843191099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194.8881828356399</v>
      </c>
      <c r="T97" s="59">
        <f t="shared" si="88"/>
        <v>195.26562343155132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66.158337822201375</v>
      </c>
      <c r="AA97" s="21">
        <f>EXP(-LN(2)/25)*AA96+(1-EXP(-LN(2)/25))/(LN(2)/25)*Calculateur!V97*Calculateur!X97*VLOOKUP('Données projet'!$B$9,Paramètres!$A$1:$I$89,3,0)*0.475*44/12</f>
        <v>14.078796089008495</v>
      </c>
      <c r="AB97" s="21">
        <f>EXP(-LN(2)/2)*AB96+(1-EXP(-LN(2)/2))/(LN(2)/2)*V97*Y97*VLOOKUP('Données projet'!$B$9,Paramètres!$A$1:$I$89,3,0)*0.475*44/12</f>
        <v>2.4385718147261243E-4</v>
      </c>
      <c r="AC97" s="22">
        <f t="shared" si="57"/>
        <v>80.23737776839134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194.8881828356399</v>
      </c>
      <c r="T98" s="59">
        <f t="shared" si="88"/>
        <v>195.26562343155132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64.861013170109587</v>
      </c>
      <c r="AA98" s="21">
        <f>EXP(-LN(2)/25)*AA97+(1-EXP(-LN(2)/25))/(LN(2)/25)*Calculateur!V98*Calculateur!X98*VLOOKUP('Données projet'!$B$9,Paramètres!$A$1:$I$89,3,0)*0.475*44/12</f>
        <v>13.693810669582849</v>
      </c>
      <c r="AB98" s="21">
        <f>EXP(-LN(2)/2)*AB97+(1-EXP(-LN(2)/2))/(LN(2)/2)*V98*Y98*VLOOKUP('Données projet'!$B$9,Paramètres!$A$1:$I$89,3,0)*0.475*44/12</f>
        <v>1.7243306666032279E-4</v>
      </c>
      <c r="AC98" s="22">
        <f t="shared" si="57"/>
        <v>78.554996272759098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194.8881828356399</v>
      </c>
      <c r="T99" s="59">
        <f t="shared" si="88"/>
        <v>195.26562343155132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63.589128263155416</v>
      </c>
      <c r="AA99" s="21">
        <f>EXP(-LN(2)/25)*AA98+(1-EXP(-LN(2)/25))/(LN(2)/25)*Calculateur!V99*Calculateur!X99*VLOOKUP('Données projet'!$B$9,Paramètres!$A$1:$I$89,3,0)*0.475*44/12</f>
        <v>13.3193526966969</v>
      </c>
      <c r="AB99" s="21">
        <f>EXP(-LN(2)/2)*AB98+(1-EXP(-LN(2)/2))/(LN(2)/2)*V99*Y99*VLOOKUP('Données projet'!$B$9,Paramètres!$A$1:$I$89,3,0)*0.475*44/12</f>
        <v>1.2192859073630624E-4</v>
      </c>
      <c r="AC99" s="22">
        <f t="shared" si="57"/>
        <v>76.908602888443042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194.8881828356399</v>
      </c>
      <c r="T100" s="59">
        <f t="shared" si="88"/>
        <v>195.26562343155132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62.342184243453424</v>
      </c>
      <c r="AA100" s="21">
        <f>EXP(-LN(2)/25)*AA99+(1-EXP(-LN(2)/25))/(LN(2)/25)*Calculateur!V100*Calculateur!X100*VLOOKUP('Données projet'!$B$9,Paramètres!$A$1:$I$89,3,0)*0.475*44/12</f>
        <v>12.955134296771407</v>
      </c>
      <c r="AB100" s="21">
        <f>EXP(-LN(2)/2)*AB99+(1-EXP(-LN(2)/2))/(LN(2)/2)*V100*Y100*VLOOKUP('Données projet'!$B$9,Paramètres!$A$1:$I$89,3,0)*0.475*44/12</f>
        <v>8.6216533330161409E-5</v>
      </c>
      <c r="AC100" s="22">
        <f t="shared" si="57"/>
        <v>75.297404756758169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194.8881828356399</v>
      </c>
      <c r="T101" s="59">
        <f t="shared" si="88"/>
        <v>195.26562343155132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61.119692035417039</v>
      </c>
      <c r="AA101" s="21">
        <f>EXP(-LN(2)/25)*AA100+(1-EXP(-LN(2)/25))/(LN(2)/25)*Calculateur!V101*Calculateur!X101*VLOOKUP('Données projet'!$B$9,Paramètres!$A$1:$I$89,3,0)*0.475*44/12</f>
        <v>12.60087546814529</v>
      </c>
      <c r="AB101" s="21">
        <f>EXP(-LN(2)/2)*AB100+(1-EXP(-LN(2)/2))/(LN(2)/2)*V101*Y101*VLOOKUP('Données projet'!$B$9,Paramètres!$A$1:$I$89,3,0)*0.475*44/12</f>
        <v>6.0964295368153128E-5</v>
      </c>
      <c r="AC101" s="22">
        <f t="shared" si="57"/>
        <v>73.720628467857708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194.8881828356399</v>
      </c>
      <c r="T102" s="59">
        <f t="shared" si="88"/>
        <v>195.26562343155132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59.921172153933625</v>
      </c>
      <c r="AA102" s="21">
        <f>EXP(-LN(2)/25)*AA101+(1-EXP(-LN(2)/25))/(LN(2)/25)*Calculateur!V102*Calculateur!X102*VLOOKUP('Données projet'!$B$9,Paramètres!$A$1:$I$89,3,0)*0.475*44/12</f>
        <v>12.256303865817616</v>
      </c>
      <c r="AB102" s="21">
        <f>EXP(-LN(2)/2)*AB101+(1-EXP(-LN(2)/2))/(LN(2)/2)*V102*Y102*VLOOKUP('Données projet'!$B$9,Paramètres!$A$1:$I$89,3,0)*0.475*44/12</f>
        <v>4.3108266665080711E-5</v>
      </c>
      <c r="AC102" s="22">
        <f t="shared" si="57"/>
        <v>72.177519128017906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194.8881828356399</v>
      </c>
      <c r="T103" s="59">
        <f t="shared" si="88"/>
        <v>195.26562343155132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58.746154516301154</v>
      </c>
      <c r="AA103" s="21">
        <f>EXP(-LN(2)/25)*AA102+(1-EXP(-LN(2)/25))/(LN(2)/25)*Calculateur!V103*Calculateur!X103*VLOOKUP('Données projet'!$B$9,Paramètres!$A$1:$I$89,3,0)*0.475*44/12</f>
        <v>11.921154592075824</v>
      </c>
      <c r="AB103" s="21">
        <f>EXP(-LN(2)/2)*AB102+(1-EXP(-LN(2)/2))/(LN(2)/2)*V103*Y103*VLOOKUP('Données projet'!$B$9,Paramètres!$A$1:$I$89,3,0)*0.475*44/12</f>
        <v>3.0482147684076571E-5</v>
      </c>
      <c r="AC103" s="22">
        <f t="shared" si="57"/>
        <v>70.667339590524662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194.8881828356399</v>
      </c>
      <c r="T104" s="59">
        <f t="shared" si="88"/>
        <v>195.26562343155132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57.594178257852661</v>
      </c>
      <c r="AA104" s="21">
        <f>EXP(-LN(2)/25)*AA103+(1-EXP(-LN(2)/25))/(LN(2)/25)*Calculateur!V104*Calculateur!X104*VLOOKUP('Données projet'!$B$9,Paramètres!$A$1:$I$89,3,0)*0.475*44/12</f>
        <v>11.595169992849238</v>
      </c>
      <c r="AB104" s="21">
        <f>EXP(-LN(2)/2)*AB103+(1-EXP(-LN(2)/2))/(LN(2)/2)*V104*Y104*VLOOKUP('Données projet'!$B$9,Paramètres!$A$1:$I$89,3,0)*0.475*44/12</f>
        <v>2.1554133332540359E-5</v>
      </c>
      <c r="AC104" s="22">
        <f t="shared" si="57"/>
        <v>69.189369804835223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194.8881828356399</v>
      </c>
      <c r="T105" s="59">
        <f t="shared" si="88"/>
        <v>195.26562343155132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56.464791551196207</v>
      </c>
      <c r="AA105" s="21">
        <f>EXP(-LN(2)/25)*AA104+(1-EXP(-LN(2)/25))/(LN(2)/25)*Calculateur!V105*Calculateur!X105*VLOOKUP('Données projet'!$B$9,Paramètres!$A$1:$I$89,3,0)*0.475*44/12</f>
        <v>11.278099459631287</v>
      </c>
      <c r="AB105" s="21">
        <f>EXP(-LN(2)/2)*AB104+(1-EXP(-LN(2)/2))/(LN(2)/2)*V105*Y105*VLOOKUP('Données projet'!$B$9,Paramètres!$A$1:$I$89,3,0)*0.475*44/12</f>
        <v>1.5241073842038287E-5</v>
      </c>
      <c r="AC105" s="22">
        <f t="shared" si="57"/>
        <v>67.742906251901331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194.8881828356399</v>
      </c>
      <c r="T106" s="59">
        <f t="shared" si="88"/>
        <v>195.26562343155132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55.357551428999415</v>
      </c>
      <c r="AA106" s="21">
        <f>EXP(-LN(2)/25)*AA105+(1-EXP(-LN(2)/25))/(LN(2)/25)*Calculateur!V106*Calculateur!X106*VLOOKUP('Données projet'!$B$9,Paramètres!$A$1:$I$89,3,0)*0.475*44/12</f>
        <v>10.969699236818196</v>
      </c>
      <c r="AB106" s="21">
        <f>EXP(-LN(2)/2)*AB105+(1-EXP(-LN(2)/2))/(LN(2)/2)*V106*Y106*VLOOKUP('Données projet'!$B$9,Paramètres!$A$1:$I$89,3,0)*0.475*44/12</f>
        <v>1.0777066666270181E-5</v>
      </c>
      <c r="AC106" s="22">
        <f t="shared" si="57"/>
        <v>66.327261442884279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194.8881828356399</v>
      </c>
      <c r="T107" s="59">
        <f t="shared" si="88"/>
        <v>195.26562343155132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54.272023610249114</v>
      </c>
      <c r="AA107" s="21">
        <f>EXP(-LN(2)/25)*AA106+(1-EXP(-LN(2)/25))/(LN(2)/25)*Calculateur!V107*Calculateur!X107*VLOOKUP('Données projet'!$B$9,Paramètres!$A$1:$I$89,3,0)*0.475*44/12</f>
        <v>10.66973223431599</v>
      </c>
      <c r="AB107" s="21">
        <f>EXP(-LN(2)/2)*AB106+(1-EXP(-LN(2)/2))/(LN(2)/2)*V107*Y107*VLOOKUP('Données projet'!$B$9,Paramètres!$A$1:$I$89,3,0)*0.475*44/12</f>
        <v>7.6205369210191443E-6</v>
      </c>
      <c r="AC107" s="22">
        <f t="shared" si="57"/>
        <v>64.941763465102028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194.8881828356399</v>
      </c>
      <c r="T108" s="59">
        <f t="shared" si="88"/>
        <v>195.26562343155132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53.207782329917912</v>
      </c>
      <c r="AA108" s="21">
        <f>EXP(-LN(2)/25)*AA107+(1-EXP(-LN(2)/25))/(LN(2)/25)*Calculateur!V108*Calculateur!X108*VLOOKUP('Données projet'!$B$9,Paramètres!$A$1:$I$89,3,0)*0.475*44/12</f>
        <v>10.377967845271787</v>
      </c>
      <c r="AB108" s="21">
        <f>EXP(-LN(2)/2)*AB107+(1-EXP(-LN(2)/2))/(LN(2)/2)*V108*Y108*VLOOKUP('Données projet'!$B$9,Paramètres!$A$1:$I$89,3,0)*0.475*44/12</f>
        <v>5.3885333331350914E-6</v>
      </c>
      <c r="AC108" s="22">
        <f t="shared" si="57"/>
        <v>63.585755563723033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194.8881828356399</v>
      </c>
      <c r="T109" s="59">
        <f t="shared" si="88"/>
        <v>195.26562343155132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52.164410171970921</v>
      </c>
      <c r="AA109" s="21">
        <f>EXP(-LN(2)/25)*AA108+(1-EXP(-LN(2)/25))/(LN(2)/25)*Calculateur!V109*Calculateur!X109*VLOOKUP('Données projet'!$B$9,Paramètres!$A$1:$I$89,3,0)*0.475*44/12</f>
        <v>10.09418176878922</v>
      </c>
      <c r="AB109" s="21">
        <f>EXP(-LN(2)/2)*AB108+(1-EXP(-LN(2)/2))/(LN(2)/2)*V109*Y109*VLOOKUP('Données projet'!$B$9,Paramètres!$A$1:$I$89,3,0)*0.475*44/12</f>
        <v>3.810268460509573E-6</v>
      </c>
      <c r="AC109" s="22">
        <f t="shared" si="57"/>
        <v>62.258595751028601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194.8881828356399</v>
      </c>
      <c r="T110" s="59">
        <f t="shared" si="88"/>
        <v>195.26562343155132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51.141497905647093</v>
      </c>
      <c r="AA110" s="21">
        <f>EXP(-LN(2)/25)*AA109+(1-EXP(-LN(2)/25))/(LN(2)/25)*Calculateur!V110*Calculateur!X110*VLOOKUP('Données projet'!$B$9,Paramètres!$A$1:$I$89,3,0)*0.475*44/12</f>
        <v>9.8181558374917302</v>
      </c>
      <c r="AB110" s="21">
        <f>EXP(-LN(2)/2)*AB109+(1-EXP(-LN(2)/2))/(LN(2)/2)*V110*Y110*VLOOKUP('Données projet'!$B$9,Paramètres!$A$1:$I$89,3,0)*0.475*44/12</f>
        <v>2.6942666665675461E-6</v>
      </c>
      <c r="AC110" s="22">
        <f t="shared" si="57"/>
        <v>60.959656437405492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194.8881828356399</v>
      </c>
      <c r="T111" s="59">
        <f t="shared" si="88"/>
        <v>195.26562343155132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50.138644324951002</v>
      </c>
      <c r="AA111" s="21">
        <f>EXP(-LN(2)/25)*AA110+(1-EXP(-LN(2)/25))/(LN(2)/25)*Calculateur!V111*Calculateur!X111*VLOOKUP('Données projet'!$B$9,Paramètres!$A$1:$I$89,3,0)*0.475*44/12</f>
        <v>9.5496778498011423</v>
      </c>
      <c r="AB111" s="21">
        <f>EXP(-LN(2)/2)*AB110+(1-EXP(-LN(2)/2))/(LN(2)/2)*V111*Y111*VLOOKUP('Données projet'!$B$9,Paramètres!$A$1:$I$89,3,0)*0.475*44/12</f>
        <v>1.9051342302547867E-6</v>
      </c>
      <c r="AC111" s="22">
        <f t="shared" si="57"/>
        <v>59.688324079886378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194.8881828356399</v>
      </c>
      <c r="T112" s="59">
        <f t="shared" si="88"/>
        <v>195.26562343155132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49.155456091292073</v>
      </c>
      <c r="AA112" s="21">
        <f>EXP(-LN(2)/25)*AA111+(1-EXP(-LN(2)/25))/(LN(2)/25)*Calculateur!V112*Calculateur!X112*VLOOKUP('Données projet'!$B$9,Paramètres!$A$1:$I$89,3,0)*0.475*44/12</f>
        <v>9.2885414068025973</v>
      </c>
      <c r="AB112" s="21">
        <f>EXP(-LN(2)/2)*AB111+(1-EXP(-LN(2)/2))/(LN(2)/2)*V112*Y112*VLOOKUP('Données projet'!$B$9,Paramètres!$A$1:$I$89,3,0)*0.475*44/12</f>
        <v>1.3471333332837733E-6</v>
      </c>
      <c r="AC112" s="22">
        <f t="shared" si="57"/>
        <v>58.443998845228009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194.8881828356399</v>
      </c>
      <c r="T113" s="59">
        <f t="shared" si="88"/>
        <v>195.26562343155132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48.19154757920959</v>
      </c>
      <c r="AA113" s="21">
        <f>EXP(-LN(2)/25)*AA112+(1-EXP(-LN(2)/25))/(LN(2)/25)*Calculateur!V113*Calculateur!X113*VLOOKUP('Données projet'!$B$9,Paramètres!$A$1:$I$89,3,0)*0.475*44/12</f>
        <v>9.0345457535704163</v>
      </c>
      <c r="AB113" s="21">
        <f>EXP(-LN(2)/2)*AB112+(1-EXP(-LN(2)/2))/(LN(2)/2)*V113*Y113*VLOOKUP('Données projet'!$B$9,Paramètres!$A$1:$I$89,3,0)*0.475*44/12</f>
        <v>9.5256711512739357E-7</v>
      </c>
      <c r="AC113" s="22">
        <f t="shared" si="57"/>
        <v>57.226094285347124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194.8881828356399</v>
      </c>
      <c r="T114" s="59">
        <f t="shared" si="88"/>
        <v>195.26562343155132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47.246540725122905</v>
      </c>
      <c r="AA114" s="21">
        <f>EXP(-LN(2)/25)*AA113+(1-EXP(-LN(2)/25))/(LN(2)/25)*Calculateur!V114*Calculateur!X114*VLOOKUP('Données projet'!$B$9,Paramètres!$A$1:$I$89,3,0)*0.475*44/12</f>
        <v>8.7874956248329212</v>
      </c>
      <c r="AB114" s="21">
        <f>EXP(-LN(2)/2)*AB113+(1-EXP(-LN(2)/2))/(LN(2)/2)*V114*Y114*VLOOKUP('Données projet'!$B$9,Paramètres!$A$1:$I$89,3,0)*0.475*44/12</f>
        <v>6.7356666664188675E-7</v>
      </c>
      <c r="AC114" s="22">
        <f t="shared" si="57"/>
        <v>56.034037023522494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194.8881828356399</v>
      </c>
      <c r="T115" s="59">
        <f t="shared" si="88"/>
        <v>195.26562343155132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46.320064879047592</v>
      </c>
      <c r="AA115" s="21">
        <f>EXP(-LN(2)/25)*AA114+(1-EXP(-LN(2)/25))/(LN(2)/25)*Calculateur!V115*Calculateur!X115*VLOOKUP('Données projet'!$B$9,Paramètres!$A$1:$I$89,3,0)*0.475*44/12</f>
        <v>8.5472010948575541</v>
      </c>
      <c r="AB115" s="21">
        <f>EXP(-LN(2)/2)*AB114+(1-EXP(-LN(2)/2))/(LN(2)/2)*V115*Y115*VLOOKUP('Données projet'!$B$9,Paramètres!$A$1:$I$89,3,0)*0.475*44/12</f>
        <v>4.7628355756369684E-7</v>
      </c>
      <c r="AC115" s="22">
        <f t="shared" si="57"/>
        <v>54.867266450188708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194.8881828356399</v>
      </c>
      <c r="T116" s="59">
        <f t="shared" si="88"/>
        <v>195.26562343155132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45.41175665921935</v>
      </c>
      <c r="AA116" s="21">
        <f>EXP(-LN(2)/25)*AA115+(1-EXP(-LN(2)/25))/(LN(2)/25)*Calculateur!V116*Calculateur!X116*VLOOKUP('Données projet'!$B$9,Paramètres!$A$1:$I$89,3,0)*0.475*44/12</f>
        <v>8.3134774314409032</v>
      </c>
      <c r="AB116" s="21">
        <f>EXP(-LN(2)/2)*AB115+(1-EXP(-LN(2)/2))/(LN(2)/2)*V116*Y116*VLOOKUP('Données projet'!$B$9,Paramètres!$A$1:$I$89,3,0)*0.475*44/12</f>
        <v>3.3678333332094343E-7</v>
      </c>
      <c r="AC116" s="22">
        <f t="shared" si="57"/>
        <v>53.725234427443581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194.8881828356399</v>
      </c>
      <c r="T117" s="59">
        <f t="shared" si="88"/>
        <v>195.26562343155132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44.521259809568626</v>
      </c>
      <c r="AA117" s="21">
        <f>EXP(-LN(2)/25)*AA116+(1-EXP(-LN(2)/25))/(LN(2)/25)*Calculateur!V117*Calculateur!X117*VLOOKUP('Données projet'!$B$9,Paramètres!$A$1:$I$89,3,0)*0.475*44/12</f>
        <v>8.0861449538913739</v>
      </c>
      <c r="AB117" s="21">
        <f>EXP(-LN(2)/2)*AB116+(1-EXP(-LN(2)/2))/(LN(2)/2)*V117*Y117*VLOOKUP('Données projet'!$B$9,Paramètres!$A$1:$I$89,3,0)*0.475*44/12</f>
        <v>2.3814177878184847E-7</v>
      </c>
      <c r="AC117" s="22">
        <f t="shared" si="57"/>
        <v>52.607405001601776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194.8881828356399</v>
      </c>
      <c r="T118" s="59">
        <f t="shared" si="88"/>
        <v>195.26562343155132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43.648225059990111</v>
      </c>
      <c r="AA118" s="21">
        <f>EXP(-LN(2)/25)*AA117+(1-EXP(-LN(2)/25))/(LN(2)/25)*Calculateur!V118*Calculateur!X118*VLOOKUP('Données projet'!$B$9,Paramètres!$A$1:$I$89,3,0)*0.475*44/12</f>
        <v>7.8650288948953326</v>
      </c>
      <c r="AB118" s="21">
        <f>EXP(-LN(2)/2)*AB117+(1-EXP(-LN(2)/2))/(LN(2)/2)*V118*Y118*VLOOKUP('Données projet'!$B$9,Paramètres!$A$1:$I$89,3,0)*0.475*44/12</f>
        <v>1.6839166666047174E-7</v>
      </c>
      <c r="AC118" s="22">
        <f t="shared" si="57"/>
        <v>51.513254123277108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194.8881828356399</v>
      </c>
      <c r="T119" s="59">
        <f t="shared" si="88"/>
        <v>195.26562343155132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42.792309989352212</v>
      </c>
      <c r="AA119" s="21">
        <f>EXP(-LN(2)/25)*AA118+(1-EXP(-LN(2)/25))/(LN(2)/25)*Calculateur!V119*Calculateur!X119*VLOOKUP('Données projet'!$B$9,Paramètres!$A$1:$I$89,3,0)*0.475*44/12</f>
        <v>7.6499592661605256</v>
      </c>
      <c r="AB119" s="21">
        <f>EXP(-LN(2)/2)*AB118+(1-EXP(-LN(2)/2))/(LN(2)/2)*V119*Y119*VLOOKUP('Données projet'!$B$9,Paramètres!$A$1:$I$89,3,0)*0.475*44/12</f>
        <v>1.1907088939092425E-7</v>
      </c>
      <c r="AC119" s="22">
        <f t="shared" si="57"/>
        <v>50.442269374583631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194.8881828356399</v>
      </c>
      <c r="T120" s="59">
        <f t="shared" si="88"/>
        <v>195.26562343155132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41.953178891192877</v>
      </c>
      <c r="AA120" s="21">
        <f>EXP(-LN(2)/25)*AA119+(1-EXP(-LN(2)/25))/(LN(2)/25)*Calculateur!V120*Calculateur!X120*VLOOKUP('Données projet'!$B$9,Paramètres!$A$1:$I$89,3,0)*0.475*44/12</f>
        <v>7.4407707277334927</v>
      </c>
      <c r="AB120" s="21">
        <f>EXP(-LN(2)/2)*AB119+(1-EXP(-LN(2)/2))/(LN(2)/2)*V120*Y120*VLOOKUP('Données projet'!$B$9,Paramètres!$A$1:$I$89,3,0)*0.475*44/12</f>
        <v>8.4195833330235883E-8</v>
      </c>
      <c r="AC120" s="22">
        <f t="shared" si="57"/>
        <v>49.393949703122203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194.8881828356399</v>
      </c>
      <c r="T121" s="59">
        <f t="shared" si="88"/>
        <v>195.26562343155132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41.130502642049017</v>
      </c>
      <c r="AA121" s="21">
        <f>EXP(-LN(2)/25)*AA120+(1-EXP(-LN(2)/25))/(LN(2)/25)*Calculateur!V121*Calculateur!X121*VLOOKUP('Données projet'!$B$9,Paramètres!$A$1:$I$89,3,0)*0.475*44/12</f>
        <v>7.2373024608904934</v>
      </c>
      <c r="AB121" s="21">
        <f>EXP(-LN(2)/2)*AB120+(1-EXP(-LN(2)/2))/(LN(2)/2)*V121*Y121*VLOOKUP('Données projet'!$B$9,Paramètres!$A$1:$I$89,3,0)*0.475*44/12</f>
        <v>5.9535444695462131E-8</v>
      </c>
      <c r="AC121" s="22">
        <f t="shared" si="57"/>
        <v>48.367805162474959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194.8881828356399</v>
      </c>
      <c r="T122" s="59">
        <f t="shared" si="88"/>
        <v>195.26562343155132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40.3239585723679</v>
      </c>
      <c r="AA122" s="21">
        <f>EXP(-LN(2)/25)*AA121+(1-EXP(-LN(2)/25))/(LN(2)/25)*Calculateur!V122*Calculateur!X122*VLOOKUP('Données projet'!$B$9,Paramètres!$A$1:$I$89,3,0)*0.475*44/12</f>
        <v>7.0393980445042477</v>
      </c>
      <c r="AB122" s="21">
        <f>EXP(-LN(2)/2)*AB121+(1-EXP(-LN(2)/2))/(LN(2)/2)*V122*Y122*VLOOKUP('Données projet'!$B$9,Paramètres!$A$1:$I$89,3,0)*0.475*44/12</f>
        <v>4.2097916665117948E-8</v>
      </c>
      <c r="AC122" s="22">
        <f t="shared" si="57"/>
        <v>47.363356658970062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194.8881828356399</v>
      </c>
      <c r="T123" s="59">
        <f t="shared" si="88"/>
        <v>195.26562343155132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39.533230339949924</v>
      </c>
      <c r="AA123" s="21">
        <f>EXP(-LN(2)/25)*AA122+(1-EXP(-LN(2)/25))/(LN(2)/25)*Calculateur!V123*Calculateur!X123*VLOOKUP('Données projet'!$B$9,Paramètres!$A$1:$I$89,3,0)*0.475*44/12</f>
        <v>6.8469053347914244</v>
      </c>
      <c r="AB123" s="21">
        <f>EXP(-LN(2)/2)*AB122+(1-EXP(-LN(2)/2))/(LN(2)/2)*V123*Y123*VLOOKUP('Données projet'!$B$9,Paramètres!$A$1:$I$89,3,0)*0.475*44/12</f>
        <v>2.9767722347731072E-8</v>
      </c>
      <c r="AC123" s="22">
        <f t="shared" si="57"/>
        <v>46.380135704509065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194.8881828356399</v>
      </c>
      <c r="T124" s="59">
        <f t="shared" si="88"/>
        <v>195.26562343155132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38.758007805873063</v>
      </c>
      <c r="AA124" s="21">
        <f>EXP(-LN(2)/25)*AA123+(1-EXP(-LN(2)/25))/(LN(2)/25)*Calculateur!V124*Calculateur!X124*VLOOKUP('Données projet'!$B$9,Paramètres!$A$1:$I$89,3,0)*0.475*44/12</f>
        <v>6.6596763483484498</v>
      </c>
      <c r="AB124" s="21">
        <f>EXP(-LN(2)/2)*AB123+(1-EXP(-LN(2)/2))/(LN(2)/2)*V124*Y124*VLOOKUP('Données projet'!$B$9,Paramètres!$A$1:$I$89,3,0)*0.475*44/12</f>
        <v>2.1048958332558977E-8</v>
      </c>
      <c r="AC124" s="22">
        <f t="shared" si="57"/>
        <v>45.417684175270473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194.8881828356399</v>
      </c>
      <c r="T125" s="59">
        <f t="shared" si="88"/>
        <v>195.26562343155132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37.997986912850394</v>
      </c>
      <c r="AA125" s="21">
        <f>EXP(-LN(2)/25)*AA124+(1-EXP(-LN(2)/25))/(LN(2)/25)*Calculateur!V125*Calculateur!X125*VLOOKUP('Données projet'!$B$9,Paramètres!$A$1:$I$89,3,0)*0.475*44/12</f>
        <v>6.4775671483857034</v>
      </c>
      <c r="AB125" s="21">
        <f>EXP(-LN(2)/2)*AB124+(1-EXP(-LN(2)/2))/(LN(2)/2)*V125*Y125*VLOOKUP('Données projet'!$B$9,Paramètres!$A$1:$I$89,3,0)*0.475*44/12</f>
        <v>1.4883861173865538E-8</v>
      </c>
      <c r="AC125" s="22">
        <f t="shared" si="57"/>
        <v>44.475554076119955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194.8881828356399</v>
      </c>
      <c r="T126" s="59">
        <f t="shared" si="88"/>
        <v>195.26562343155132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37.252869565972929</v>
      </c>
      <c r="AA126" s="21">
        <f>EXP(-LN(2)/25)*AA125+(1-EXP(-LN(2)/25))/(LN(2)/25)*Calculateur!V126*Calculateur!X126*VLOOKUP('Données projet'!$B$9,Paramètres!$A$1:$I$89,3,0)*0.475*44/12</f>
        <v>6.300437734072645</v>
      </c>
      <c r="AB126" s="21">
        <f>EXP(-LN(2)/2)*AB125+(1-EXP(-LN(2)/2))/(LN(2)/2)*V126*Y126*VLOOKUP('Données projet'!$B$9,Paramètres!$A$1:$I$89,3,0)*0.475*44/12</f>
        <v>1.052447916627949E-8</v>
      </c>
      <c r="AC126" s="22">
        <f t="shared" si="57"/>
        <v>43.553307310570055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194.8881828356399</v>
      </c>
      <c r="T127" s="59">
        <f t="shared" si="88"/>
        <v>195.26562343155132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36.522363515791021</v>
      </c>
      <c r="AA127" s="21">
        <f>EXP(-LN(2)/25)*AA126+(1-EXP(-LN(2)/25))/(LN(2)/25)*Calculateur!V127*Calculateur!X127*VLOOKUP('Données projet'!$B$9,Paramètres!$A$1:$I$89,3,0)*0.475*44/12</f>
        <v>6.1281519329088079</v>
      </c>
      <c r="AB127" s="21">
        <f>EXP(-LN(2)/2)*AB126+(1-EXP(-LN(2)/2))/(LN(2)/2)*V127*Y127*VLOOKUP('Données projet'!$B$9,Paramètres!$A$1:$I$89,3,0)*0.475*44/12</f>
        <v>7.4419305869327706E-9</v>
      </c>
      <c r="AC127" s="22">
        <f t="shared" si="57"/>
        <v>42.650515456141761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194.8881828356399</v>
      </c>
      <c r="T128" s="59">
        <f t="shared" si="88"/>
        <v>195.26562343155132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35.80618224368849</v>
      </c>
      <c r="AA128" s="21">
        <f>EXP(-LN(2)/25)*AA127+(1-EXP(-LN(2)/25))/(LN(2)/25)*Calculateur!V128*Calculateur!X128*VLOOKUP('Données projet'!$B$9,Paramètres!$A$1:$I$89,3,0)*0.475*44/12</f>
        <v>5.9605772960379122</v>
      </c>
      <c r="AB128" s="21">
        <f>EXP(-LN(2)/2)*AB127+(1-EXP(-LN(2)/2))/(LN(2)/2)*V128*Y128*VLOOKUP('Données projet'!$B$9,Paramètres!$A$1:$I$89,3,0)*0.475*44/12</f>
        <v>5.262239583139746E-9</v>
      </c>
      <c r="AC128" s="22">
        <f t="shared" si="57"/>
        <v>41.766759544988638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194.8881828356399</v>
      </c>
      <c r="T129" s="59">
        <f t="shared" si="88"/>
        <v>195.26562343155132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35.104044849504447</v>
      </c>
      <c r="AA129" s="21">
        <f>EXP(-LN(2)/25)*AA128+(1-EXP(-LN(2)/25))/(LN(2)/25)*Calculateur!V129*Calculateur!X129*VLOOKUP('Données projet'!$B$9,Paramètres!$A$1:$I$89,3,0)*0.475*44/12</f>
        <v>5.7975849964246189</v>
      </c>
      <c r="AB129" s="21">
        <f>EXP(-LN(2)/2)*AB128+(1-EXP(-LN(2)/2))/(LN(2)/2)*V129*Y129*VLOOKUP('Données projet'!$B$9,Paramètres!$A$1:$I$89,3,0)*0.475*44/12</f>
        <v>3.7209652934663857E-9</v>
      </c>
      <c r="AC129" s="22">
        <f t="shared" si="57"/>
        <v>40.901629849650028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194.8881828356399</v>
      </c>
      <c r="T130" s="59">
        <f t="shared" si="88"/>
        <v>195.26562343155132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34.415675941358828</v>
      </c>
      <c r="AA130" s="21">
        <f>EXP(-LN(2)/25)*AA129+(1-EXP(-LN(2)/25))/(LN(2)/25)*Calculateur!V130*Calculateur!X130*VLOOKUP('Données projet'!$B$9,Paramètres!$A$1:$I$89,3,0)*0.475*44/12</f>
        <v>5.6390497298156435</v>
      </c>
      <c r="AB130" s="21">
        <f>EXP(-LN(2)/2)*AB129+(1-EXP(-LN(2)/2))/(LN(2)/2)*V130*Y130*VLOOKUP('Données projet'!$B$9,Paramètres!$A$1:$I$89,3,0)*0.475*44/12</f>
        <v>2.6311197915698734E-9</v>
      </c>
      <c r="AC130" s="22">
        <f t="shared" si="57"/>
        <v>40.054725673805592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194.8881828356399</v>
      </c>
      <c r="T131" s="59">
        <f t="shared" si="88"/>
        <v>195.26562343155132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33.740805527638365</v>
      </c>
      <c r="AA131" s="21">
        <f>EXP(-LN(2)/25)*AA130+(1-EXP(-LN(2)/25))/(LN(2)/25)*Calculateur!V131*Calculateur!X131*VLOOKUP('Données projet'!$B$9,Paramètres!$A$1:$I$89,3,0)*0.475*44/12</f>
        <v>5.4848496184090978</v>
      </c>
      <c r="AB131" s="21">
        <f>EXP(-LN(2)/2)*AB130+(1-EXP(-LN(2)/2))/(LN(2)/2)*V131*Y131*VLOOKUP('Données projet'!$B$9,Paramètres!$A$1:$I$89,3,0)*0.475*44/12</f>
        <v>1.8604826467331931E-9</v>
      </c>
      <c r="AC131" s="22">
        <f t="shared" si="57"/>
        <v>39.22565514790795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194.8881828356399</v>
      </c>
      <c r="T132" s="59">
        <f t="shared" si="88"/>
        <v>195.26562343155132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33.079168911100659</v>
      </c>
      <c r="AA132" s="21">
        <f>EXP(-LN(2)/25)*AA131+(1-EXP(-LN(2)/25))/(LN(2)/25)*Calculateur!V132*Calculateur!X132*VLOOKUP('Données projet'!$B$9,Paramètres!$A$1:$I$89,3,0)*0.475*44/12</f>
        <v>5.3348661171579952</v>
      </c>
      <c r="AB132" s="21">
        <f>EXP(-LN(2)/2)*AB131+(1-EXP(-LN(2)/2))/(LN(2)/2)*V132*Y132*VLOOKUP('Données projet'!$B$9,Paramètres!$A$1:$I$89,3,0)*0.475*44/12</f>
        <v>1.3155598957849369E-9</v>
      </c>
      <c r="AC132" s="22">
        <f t="shared" ref="AC132:AC153" si="111">SUM(Z132:AB132)</f>
        <v>38.414035029574215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194.8881828356399</v>
      </c>
      <c r="T133" s="59">
        <f t="shared" ref="T133:T196" si="142">$T$3</f>
        <v>195.26562343155132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32.430506585054765</v>
      </c>
      <c r="AA133" s="21">
        <f>EXP(-LN(2)/25)*AA132+(1-EXP(-LN(2)/25))/(LN(2)/25)*Calculateur!V133*Calculateur!X133*VLOOKUP('Données projet'!$B$9,Paramètres!$A$1:$I$89,3,0)*0.475*44/12</f>
        <v>5.1889839226358934</v>
      </c>
      <c r="AB133" s="21">
        <f>EXP(-LN(2)/2)*AB132+(1-EXP(-LN(2)/2))/(LN(2)/2)*V133*Y133*VLOOKUP('Données projet'!$B$9,Paramètres!$A$1:$I$89,3,0)*0.475*44/12</f>
        <v>9.3024132336659673E-10</v>
      </c>
      <c r="AC133" s="22">
        <f t="shared" si="111"/>
        <v>37.619490508620899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194.8881828356399</v>
      </c>
      <c r="T134" s="59">
        <f t="shared" si="142"/>
        <v>195.26562343155132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31.79456413157768</v>
      </c>
      <c r="AA134" s="21">
        <f>EXP(-LN(2)/25)*AA133+(1-EXP(-LN(2)/25))/(LN(2)/25)*Calculateur!V134*Calculateur!X134*VLOOKUP('Données projet'!$B$9,Paramètres!$A$1:$I$89,3,0)*0.475*44/12</f>
        <v>5.0470908843946098</v>
      </c>
      <c r="AB134" s="21">
        <f>EXP(-LN(2)/2)*AB133+(1-EXP(-LN(2)/2))/(LN(2)/2)*V134*Y134*VLOOKUP('Données projet'!$B$9,Paramètres!$A$1:$I$89,3,0)*0.475*44/12</f>
        <v>6.5777994789246856E-10</v>
      </c>
      <c r="AC134" s="22">
        <f t="shared" si="111"/>
        <v>36.841655016630071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194.8881828356399</v>
      </c>
      <c r="T135" s="59">
        <f t="shared" si="142"/>
        <v>195.26562343155132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31.171092121726684</v>
      </c>
      <c r="AA135" s="21">
        <f>EXP(-LN(2)/25)*AA134+(1-EXP(-LN(2)/25))/(LN(2)/25)*Calculateur!V135*Calculateur!X135*VLOOKUP('Données projet'!$B$9,Paramètres!$A$1:$I$89,3,0)*0.475*44/12</f>
        <v>4.9090779187458651</v>
      </c>
      <c r="AB135" s="21">
        <f>EXP(-LN(2)/2)*AB134+(1-EXP(-LN(2)/2))/(LN(2)/2)*V135*Y135*VLOOKUP('Données projet'!$B$9,Paramètres!$A$1:$I$89,3,0)*0.475*44/12</f>
        <v>4.6512066168329842E-10</v>
      </c>
      <c r="AC135" s="22">
        <f t="shared" si="111"/>
        <v>36.080170040937674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194.8881828356399</v>
      </c>
      <c r="T136" s="59">
        <f t="shared" si="142"/>
        <v>195.26562343155132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30.559846017708491</v>
      </c>
      <c r="AA136" s="21">
        <f>EXP(-LN(2)/25)*AA135+(1-EXP(-LN(2)/25))/(LN(2)/25)*Calculateur!V136*Calculateur!X136*VLOOKUP('Données projet'!$B$9,Paramètres!$A$1:$I$89,3,0)*0.475*44/12</f>
        <v>4.7748389249005712</v>
      </c>
      <c r="AB136" s="21">
        <f>EXP(-LN(2)/2)*AB135+(1-EXP(-LN(2)/2))/(LN(2)/2)*V136*Y136*VLOOKUP('Données projet'!$B$9,Paramètres!$A$1:$I$89,3,0)*0.475*44/12</f>
        <v>3.2888997394623433E-10</v>
      </c>
      <c r="AC136" s="22">
        <f t="shared" si="111"/>
        <v>35.334684942937947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194.8881828356399</v>
      </c>
      <c r="T137" s="59">
        <f t="shared" si="142"/>
        <v>195.26562343155132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29.960586076966784</v>
      </c>
      <c r="AA137" s="21">
        <f>EXP(-LN(2)/25)*AA136+(1-EXP(-LN(2)/25))/(LN(2)/25)*Calculateur!V137*Calculateur!X137*VLOOKUP('Données projet'!$B$9,Paramètres!$A$1:$I$89,3,0)*0.475*44/12</f>
        <v>4.6442707034012987</v>
      </c>
      <c r="AB137" s="21">
        <f>EXP(-LN(2)/2)*AB136+(1-EXP(-LN(2)/2))/(LN(2)/2)*V137*Y137*VLOOKUP('Données projet'!$B$9,Paramètres!$A$1:$I$89,3,0)*0.475*44/12</f>
        <v>2.3256033084164926E-10</v>
      </c>
      <c r="AC137" s="22">
        <f t="shared" si="111"/>
        <v>34.604856780600642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194.8881828356399</v>
      </c>
      <c r="T138" s="59">
        <f t="shared" si="142"/>
        <v>195.26562343155132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29.373077258150548</v>
      </c>
      <c r="AA138" s="21">
        <f>EXP(-LN(2)/25)*AA137+(1-EXP(-LN(2)/25))/(LN(2)/25)*Calculateur!V138*Calculateur!X138*VLOOKUP('Données projet'!$B$9,Paramètres!$A$1:$I$89,3,0)*0.475*44/12</f>
        <v>4.5172728767852082</v>
      </c>
      <c r="AB138" s="21">
        <f>EXP(-LN(2)/2)*AB137+(1-EXP(-LN(2)/2))/(LN(2)/2)*V138*Y138*VLOOKUP('Données projet'!$B$9,Paramètres!$A$1:$I$89,3,0)*0.475*44/12</f>
        <v>1.6444498697311719E-10</v>
      </c>
      <c r="AC138" s="22">
        <f t="shared" si="111"/>
        <v>33.890350135100206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194.8881828356399</v>
      </c>
      <c r="T139" s="59">
        <f t="shared" si="142"/>
        <v>195.26562343155132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28.797089128926306</v>
      </c>
      <c r="AA139" s="21">
        <f>EXP(-LN(2)/25)*AA138+(1-EXP(-LN(2)/25))/(LN(2)/25)*Calculateur!V139*Calculateur!X139*VLOOKUP('Données projet'!$B$9,Paramètres!$A$1:$I$89,3,0)*0.475*44/12</f>
        <v>4.3937478124164606</v>
      </c>
      <c r="AB139" s="21">
        <f>EXP(-LN(2)/2)*AB138+(1-EXP(-LN(2)/2))/(LN(2)/2)*V139*Y139*VLOOKUP('Données projet'!$B$9,Paramètres!$A$1:$I$89,3,0)*0.475*44/12</f>
        <v>1.1628016542082464E-10</v>
      </c>
      <c r="AC139" s="22">
        <f t="shared" si="111"/>
        <v>33.190836941459047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194.8881828356399</v>
      </c>
      <c r="T140" s="59">
        <f t="shared" si="142"/>
        <v>195.26562343155132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28.232395775598079</v>
      </c>
      <c r="AA140" s="21">
        <f>EXP(-LN(2)/25)*AA139+(1-EXP(-LN(2)/25))/(LN(2)/25)*Calculateur!V140*Calculateur!X140*VLOOKUP('Données projet'!$B$9,Paramètres!$A$1:$I$89,3,0)*0.475*44/12</f>
        <v>4.273600547428777</v>
      </c>
      <c r="AB140" s="21">
        <f>EXP(-LN(2)/2)*AB139+(1-EXP(-LN(2)/2))/(LN(2)/2)*V140*Y140*VLOOKUP('Données projet'!$B$9,Paramètres!$A$1:$I$89,3,0)*0.475*44/12</f>
        <v>8.2222493486558609E-11</v>
      </c>
      <c r="AC140" s="22">
        <f t="shared" si="111"/>
        <v>32.50599632310908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194.8881828356399</v>
      </c>
      <c r="T141" s="59">
        <f t="shared" si="142"/>
        <v>195.26562343155132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27.678775714499682</v>
      </c>
      <c r="AA141" s="21">
        <f>EXP(-LN(2)/25)*AA140+(1-EXP(-LN(2)/25))/(LN(2)/25)*Calculateur!V141*Calculateur!X141*VLOOKUP('Données projet'!$B$9,Paramètres!$A$1:$I$89,3,0)*0.475*44/12</f>
        <v>4.1567387157204516</v>
      </c>
      <c r="AB141" s="21">
        <f>EXP(-LN(2)/2)*AB140+(1-EXP(-LN(2)/2))/(LN(2)/2)*V141*Y141*VLOOKUP('Données projet'!$B$9,Paramètres!$A$1:$I$89,3,0)*0.475*44/12</f>
        <v>5.8140082710412328E-11</v>
      </c>
      <c r="AC141" s="22">
        <f t="shared" si="111"/>
        <v>31.835514430278273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194.8881828356399</v>
      </c>
      <c r="T142" s="59">
        <f t="shared" si="142"/>
        <v>195.26562343155132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27.136011805124532</v>
      </c>
      <c r="AA142" s="21">
        <f>EXP(-LN(2)/25)*AA141+(1-EXP(-LN(2)/25))/(LN(2)/25)*Calculateur!V142*Calculateur!X142*VLOOKUP('Données projet'!$B$9,Paramètres!$A$1:$I$89,3,0)*0.475*44/12</f>
        <v>4.0430724769456869</v>
      </c>
      <c r="AB142" s="21">
        <f>EXP(-LN(2)/2)*AB141+(1-EXP(-LN(2)/2))/(LN(2)/2)*V142*Y142*VLOOKUP('Données projet'!$B$9,Paramètres!$A$1:$I$89,3,0)*0.475*44/12</f>
        <v>4.1111246743279311E-11</v>
      </c>
      <c r="AC142" s="22">
        <f t="shared" si="111"/>
        <v>31.179084282111333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194.8881828356399</v>
      </c>
      <c r="T143" s="59">
        <f t="shared" si="142"/>
        <v>195.26562343155132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26.603891164958934</v>
      </c>
      <c r="AA143" s="21">
        <f>EXP(-LN(2)/25)*AA142+(1-EXP(-LN(2)/25))/(LN(2)/25)*Calculateur!V143*Calculateur!X143*VLOOKUP('Données projet'!$B$9,Paramètres!$A$1:$I$89,3,0)*0.475*44/12</f>
        <v>3.9325144474476663</v>
      </c>
      <c r="AB143" s="21">
        <f>EXP(-LN(2)/2)*AB142+(1-EXP(-LN(2)/2))/(LN(2)/2)*V143*Y143*VLOOKUP('Données projet'!$B$9,Paramètres!$A$1:$I$89,3,0)*0.475*44/12</f>
        <v>2.9070041355206171E-11</v>
      </c>
      <c r="AC143" s="22">
        <f t="shared" si="111"/>
        <v>30.536405612435669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194.8881828356399</v>
      </c>
      <c r="T144" s="59">
        <f t="shared" si="142"/>
        <v>195.26562343155132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26.082205085985439</v>
      </c>
      <c r="AA144" s="21">
        <f>EXP(-LN(2)/25)*AA143+(1-EXP(-LN(2)/25))/(LN(2)/25)*Calculateur!V144*Calculateur!X144*VLOOKUP('Données projet'!$B$9,Paramètres!$A$1:$I$89,3,0)*0.475*44/12</f>
        <v>3.8249796330802628</v>
      </c>
      <c r="AB144" s="21">
        <f>EXP(-LN(2)/2)*AB143+(1-EXP(-LN(2)/2))/(LN(2)/2)*V144*Y144*VLOOKUP('Données projet'!$B$9,Paramètres!$A$1:$I$89,3,0)*0.475*44/12</f>
        <v>2.0555623371639659E-11</v>
      </c>
      <c r="AC144" s="22">
        <f t="shared" si="111"/>
        <v>29.90718471908626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194.8881828356399</v>
      </c>
      <c r="T145" s="59">
        <f t="shared" si="142"/>
        <v>195.26562343155132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25.570748952823525</v>
      </c>
      <c r="AA145" s="21">
        <f>EXP(-LN(2)/25)*AA144+(1-EXP(-LN(2)/25))/(LN(2)/25)*Calculateur!V145*Calculateur!X145*VLOOKUP('Données projet'!$B$9,Paramètres!$A$1:$I$89,3,0)*0.475*44/12</f>
        <v>3.7203853638667463</v>
      </c>
      <c r="AB145" s="21">
        <f>EXP(-LN(2)/2)*AB144+(1-EXP(-LN(2)/2))/(LN(2)/2)*V145*Y145*VLOOKUP('Données projet'!$B$9,Paramètres!$A$1:$I$89,3,0)*0.475*44/12</f>
        <v>1.4535020677603087E-11</v>
      </c>
      <c r="AC145" s="22">
        <f t="shared" si="111"/>
        <v>29.291134316704806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194.8881828356399</v>
      </c>
      <c r="T146" s="59">
        <f t="shared" si="142"/>
        <v>195.26562343155132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25.06932216247548</v>
      </c>
      <c r="AA146" s="21">
        <f>EXP(-LN(2)/25)*AA145+(1-EXP(-LN(2)/25))/(LN(2)/25)*Calculateur!V146*Calculateur!X146*VLOOKUP('Données projet'!$B$9,Paramètres!$A$1:$I$89,3,0)*0.475*44/12</f>
        <v>3.6186512304452467</v>
      </c>
      <c r="AB146" s="21">
        <f>EXP(-LN(2)/2)*AB145+(1-EXP(-LN(2)/2))/(LN(2)/2)*V146*Y146*VLOOKUP('Données projet'!$B$9,Paramètres!$A$1:$I$89,3,0)*0.475*44/12</f>
        <v>1.0277811685819831E-11</v>
      </c>
      <c r="AC146" s="22">
        <f t="shared" si="111"/>
        <v>28.687973392931003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194.8881828356399</v>
      </c>
      <c r="T147" s="59">
        <f t="shared" si="142"/>
        <v>195.26562343155132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24.577728045646015</v>
      </c>
      <c r="AA147" s="21">
        <f>EXP(-LN(2)/25)*AA146+(1-EXP(-LN(2)/25))/(LN(2)/25)*Calculateur!V147*Calculateur!X147*VLOOKUP('Données projet'!$B$9,Paramètres!$A$1:$I$89,3,0)*0.475*44/12</f>
        <v>3.5196990222521238</v>
      </c>
      <c r="AB147" s="21">
        <f>EXP(-LN(2)/2)*AB146+(1-EXP(-LN(2)/2))/(LN(2)/2)*V147*Y147*VLOOKUP('Données projet'!$B$9,Paramètres!$A$1:$I$89,3,0)*0.475*44/12</f>
        <v>7.2675103388015451E-12</v>
      </c>
      <c r="AC147" s="22">
        <f t="shared" si="111"/>
        <v>28.097427067905407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194.8881828356399</v>
      </c>
      <c r="T148" s="59">
        <f t="shared" si="142"/>
        <v>195.26562343155132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24.095773789604774</v>
      </c>
      <c r="AA148" s="21">
        <f>EXP(-LN(2)/25)*AA147+(1-EXP(-LN(2)/25))/(LN(2)/25)*Calculateur!V148*Calculateur!X148*VLOOKUP('Données projet'!$B$9,Paramètres!$A$1:$I$89,3,0)*0.475*44/12</f>
        <v>3.4234526673957122</v>
      </c>
      <c r="AB148" s="21">
        <f>EXP(-LN(2)/2)*AB147+(1-EXP(-LN(2)/2))/(LN(2)/2)*V148*Y148*VLOOKUP('Données projet'!$B$9,Paramètres!$A$1:$I$89,3,0)*0.475*44/12</f>
        <v>5.1389058429099163E-12</v>
      </c>
      <c r="AC148" s="22">
        <f t="shared" si="111"/>
        <v>27.519226457005622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194.8881828356399</v>
      </c>
      <c r="T149" s="59">
        <f t="shared" si="142"/>
        <v>195.26562343155132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23.623270362561431</v>
      </c>
      <c r="AA149" s="21">
        <f>EXP(-LN(2)/25)*AA148+(1-EXP(-LN(2)/25))/(LN(2)/25)*Calculateur!V149*Calculateur!X149*VLOOKUP('Données projet'!$B$9,Paramètres!$A$1:$I$89,3,0)*0.475*44/12</f>
        <v>3.3298381741742249</v>
      </c>
      <c r="AB149" s="21">
        <f>EXP(-LN(2)/2)*AB148+(1-EXP(-LN(2)/2))/(LN(2)/2)*V149*Y149*VLOOKUP('Données projet'!$B$9,Paramètres!$A$1:$I$89,3,0)*0.475*44/12</f>
        <v>3.6337551694007729E-12</v>
      </c>
      <c r="AC149" s="22">
        <f t="shared" si="111"/>
        <v>26.95310853673929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194.8881828356399</v>
      </c>
      <c r="T150" s="59">
        <f t="shared" si="142"/>
        <v>195.26562343155132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23.160032439523775</v>
      </c>
      <c r="AA150" s="21">
        <f>EXP(-LN(2)/25)*AA149+(1-EXP(-LN(2)/25))/(LN(2)/25)*Calculateur!V150*Calculateur!X150*VLOOKUP('Données projet'!$B$9,Paramètres!$A$1:$I$89,3,0)*0.475*44/12</f>
        <v>3.2387835741928517</v>
      </c>
      <c r="AB150" s="21">
        <f>EXP(-LN(2)/2)*AB149+(1-EXP(-LN(2)/2))/(LN(2)/2)*V150*Y150*VLOOKUP('Données projet'!$B$9,Paramètres!$A$1:$I$89,3,0)*0.475*44/12</f>
        <v>2.5694529214549585E-12</v>
      </c>
      <c r="AC150" s="22">
        <f t="shared" si="111"/>
        <v>26.398816013719195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194.8881828356399</v>
      </c>
      <c r="T151" s="59">
        <f t="shared" si="142"/>
        <v>195.26562343155132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22.705878329609654</v>
      </c>
      <c r="AA151" s="21">
        <f>EXP(-LN(2)/25)*AA150+(1-EXP(-LN(2)/25))/(LN(2)/25)*Calculateur!V151*Calculateur!X151*VLOOKUP('Données projet'!$B$9,Paramètres!$A$1:$I$89,3,0)*0.475*44/12</f>
        <v>3.1502188670363225</v>
      </c>
      <c r="AB151" s="21">
        <f>EXP(-LN(2)/2)*AB150+(1-EXP(-LN(2)/2))/(LN(2)/2)*V151*Y151*VLOOKUP('Données projet'!$B$9,Paramètres!$A$1:$I$89,3,0)*0.475*44/12</f>
        <v>1.8168775847003869E-12</v>
      </c>
      <c r="AC151" s="22">
        <f t="shared" si="111"/>
        <v>25.856097196647791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194.8881828356399</v>
      </c>
      <c r="T152" s="59">
        <f t="shared" si="142"/>
        <v>195.26562343155132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22.260629904784292</v>
      </c>
      <c r="AA152" s="21">
        <f>EXP(-LN(2)/25)*AA151+(1-EXP(-LN(2)/25))/(LN(2)/25)*Calculateur!V152*Calculateur!X152*VLOOKUP('Données projet'!$B$9,Paramètres!$A$1:$I$89,3,0)*0.475*44/12</f>
        <v>3.0640759664544039</v>
      </c>
      <c r="AB152" s="21">
        <f>EXP(-LN(2)/2)*AB151+(1-EXP(-LN(2)/2))/(LN(2)/2)*V152*Y152*VLOOKUP('Données projet'!$B$9,Paramètres!$A$1:$I$89,3,0)*0.475*44/12</f>
        <v>1.2847264607274795E-12</v>
      </c>
      <c r="AC152" s="22">
        <f t="shared" si="111"/>
        <v>25.324705871239981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194.8881828356399</v>
      </c>
      <c r="T153" s="59">
        <f t="shared" si="142"/>
        <v>195.26562343155132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21.824112529995034</v>
      </c>
      <c r="AA153" s="21">
        <f>EXP(-LN(2)/25)*AA152+(1-EXP(-LN(2)/25))/(LN(2)/25)*Calculateur!V153*Calculateur!X153*VLOOKUP('Données projet'!$B$9,Paramètres!$A$1:$I$89,3,0)*0.475*44/12</f>
        <v>2.9802886480189561</v>
      </c>
      <c r="AB153" s="21">
        <f>EXP(-LN(2)/2)*AB152+(1-EXP(-LN(2)/2))/(LN(2)/2)*V153*Y153*VLOOKUP('Données projet'!$B$9,Paramètres!$A$1:$I$89,3,0)*0.475*44/12</f>
        <v>9.0843879235019354E-13</v>
      </c>
      <c r="AC153" s="22">
        <f t="shared" si="111"/>
        <v>24.804401178014899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194.8881828356399</v>
      </c>
      <c r="T154" s="59">
        <f t="shared" si="142"/>
        <v>195.26562343155132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21.396154994676085</v>
      </c>
      <c r="AA154" s="21">
        <f>EXP(-LN(2)/25)*AA153+(1-EXP(-LN(2)/25))/(LN(2)/25)*Calculateur!V154*Calculateur!X154*VLOOKUP('Données projet'!$B$9,Paramètres!$A$1:$I$89,3,0)*0.475*44/12</f>
        <v>2.8987924982123094</v>
      </c>
      <c r="AB154" s="21">
        <f>EXP(-LN(2)/2)*AB153+(1-EXP(-LN(2)/2))/(LN(2)/2)*V154*Y154*VLOOKUP('Données projet'!$B$9,Paramètres!$A$1:$I$89,3,0)*0.475*44/12</f>
        <v>6.4236323036373984E-13</v>
      </c>
      <c r="AC154" s="22">
        <f t="shared" ref="AC154:AC203" si="163">SUM(Z154:AB154)</f>
        <v>24.294947492889037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194.8881828356399</v>
      </c>
      <c r="T155" s="59">
        <f t="shared" si="142"/>
        <v>195.26562343155132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20.976589445596417</v>
      </c>
      <c r="AA155" s="21">
        <f>EXP(-LN(2)/25)*AA154+(1-EXP(-LN(2)/25))/(LN(2)/25)*Calculateur!V155*Calculateur!X155*VLOOKUP('Données projet'!$B$9,Paramètres!$A$1:$I$89,3,0)*0.475*44/12</f>
        <v>2.8195248649078217</v>
      </c>
      <c r="AB155" s="21">
        <f>EXP(-LN(2)/2)*AB154+(1-EXP(-LN(2)/2))/(LN(2)/2)*V155*Y155*VLOOKUP('Données projet'!$B$9,Paramètres!$A$1:$I$89,3,0)*0.475*44/12</f>
        <v>4.5421939617509682E-13</v>
      </c>
      <c r="AC155" s="22">
        <f t="shared" si="163"/>
        <v>23.796114310504695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194.8881828356399</v>
      </c>
      <c r="T156" s="59">
        <f t="shared" si="142"/>
        <v>195.26562343155132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20.565251321024487</v>
      </c>
      <c r="AA156" s="21">
        <f>EXP(-LN(2)/25)*AA155+(1-EXP(-LN(2)/25))/(LN(2)/25)*Calculateur!V156*Calculateur!X156*VLOOKUP('Données projet'!$B$9,Paramètres!$A$1:$I$89,3,0)*0.475*44/12</f>
        <v>2.7424248092045489</v>
      </c>
      <c r="AB156" s="21">
        <f>EXP(-LN(2)/2)*AB155+(1-EXP(-LN(2)/2))/(LN(2)/2)*V156*Y156*VLOOKUP('Données projet'!$B$9,Paramètres!$A$1:$I$89,3,0)*0.475*44/12</f>
        <v>3.2118161518186997E-13</v>
      </c>
      <c r="AC156" s="22">
        <f t="shared" si="163"/>
        <v>23.307676130229357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194.8881828356399</v>
      </c>
      <c r="T157" s="59">
        <f t="shared" si="142"/>
        <v>195.26562343155132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20.161979286183929</v>
      </c>
      <c r="AA157" s="21">
        <f>EXP(-LN(2)/25)*AA156+(1-EXP(-LN(2)/25))/(LN(2)/25)*Calculateur!V157*Calculateur!X157*VLOOKUP('Données projet'!$B$9,Paramètres!$A$1:$I$89,3,0)*0.475*44/12</f>
        <v>2.6674330585789976</v>
      </c>
      <c r="AB157" s="21">
        <f>EXP(-LN(2)/2)*AB156+(1-EXP(-LN(2)/2))/(LN(2)/2)*V157*Y157*VLOOKUP('Données projet'!$B$9,Paramètres!$A$1:$I$89,3,0)*0.475*44/12</f>
        <v>2.2710969808754846E-13</v>
      </c>
      <c r="AC157" s="22">
        <f t="shared" si="163"/>
        <v>22.829412344763153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194.8881828356399</v>
      </c>
      <c r="T158" s="59">
        <f t="shared" si="142"/>
        <v>195.26562343155132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19.766615169974941</v>
      </c>
      <c r="AA158" s="21">
        <f>EXP(-LN(2)/25)*AA157+(1-EXP(-LN(2)/25))/(LN(2)/25)*Calculateur!V158*Calculateur!X158*VLOOKUP('Données projet'!$B$9,Paramètres!$A$1:$I$89,3,0)*0.475*44/12</f>
        <v>2.5944919613179467</v>
      </c>
      <c r="AB158" s="21">
        <f>EXP(-LN(2)/2)*AB157+(1-EXP(-LN(2)/2))/(LN(2)/2)*V158*Y158*VLOOKUP('Données projet'!$B$9,Paramètres!$A$1:$I$89,3,0)*0.475*44/12</f>
        <v>1.6059080759093501E-13</v>
      </c>
      <c r="AC158" s="22">
        <f t="shared" si="163"/>
        <v>22.361107131293046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194.8881828356399</v>
      </c>
      <c r="T159" s="59">
        <f t="shared" si="142"/>
        <v>195.26562343155132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19.37900390293651</v>
      </c>
      <c r="AA159" s="21">
        <f>EXP(-LN(2)/25)*AA158+(1-EXP(-LN(2)/25))/(LN(2)/25)*Calculateur!V159*Calculateur!X159*VLOOKUP('Données projet'!$B$9,Paramètres!$A$1:$I$89,3,0)*0.475*44/12</f>
        <v>2.5235454421973049</v>
      </c>
      <c r="AB159" s="21">
        <f>EXP(-LN(2)/2)*AB158+(1-EXP(-LN(2)/2))/(LN(2)/2)*V159*Y159*VLOOKUP('Données projet'!$B$9,Paramètres!$A$1:$I$89,3,0)*0.475*44/12</f>
        <v>1.1355484904377424E-13</v>
      </c>
      <c r="AC159" s="22">
        <f t="shared" si="163"/>
        <v>21.902549345133927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194.8881828356399</v>
      </c>
      <c r="T160" s="59">
        <f t="shared" si="142"/>
        <v>195.26562343155132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18.998993456425175</v>
      </c>
      <c r="AA160" s="21">
        <f>EXP(-LN(2)/25)*AA159+(1-EXP(-LN(2)/25))/(LN(2)/25)*Calculateur!V160*Calculateur!X160*VLOOKUP('Données projet'!$B$9,Paramètres!$A$1:$I$89,3,0)*0.475*44/12</f>
        <v>2.4545389593729325</v>
      </c>
      <c r="AB160" s="21">
        <f>EXP(-LN(2)/2)*AB159+(1-EXP(-LN(2)/2))/(LN(2)/2)*V160*Y160*VLOOKUP('Données projet'!$B$9,Paramètres!$A$1:$I$89,3,0)*0.475*44/12</f>
        <v>8.0295403795467518E-14</v>
      </c>
      <c r="AC160" s="22">
        <f t="shared" si="163"/>
        <v>21.45353241579819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194.8881828356399</v>
      </c>
      <c r="T161" s="59">
        <f t="shared" si="142"/>
        <v>195.26562343155132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18.626434782986443</v>
      </c>
      <c r="AA161" s="21">
        <f>EXP(-LN(2)/25)*AA160+(1-EXP(-LN(2)/25))/(LN(2)/25)*Calculateur!V161*Calculateur!X161*VLOOKUP('Données projet'!$B$9,Paramètres!$A$1:$I$89,3,0)*0.475*44/12</f>
        <v>2.3874194624502856</v>
      </c>
      <c r="AB161" s="21">
        <f>EXP(-LN(2)/2)*AB160+(1-EXP(-LN(2)/2))/(LN(2)/2)*V161*Y161*VLOOKUP('Données projet'!$B$9,Paramètres!$A$1:$I$89,3,0)*0.475*44/12</f>
        <v>5.6777424521887134E-14</v>
      </c>
      <c r="AC161" s="22">
        <f t="shared" si="163"/>
        <v>21.013854245436786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194.8881828356399</v>
      </c>
      <c r="T162" s="59">
        <f t="shared" si="142"/>
        <v>195.26562343155132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18.261181757895493</v>
      </c>
      <c r="AA162" s="21">
        <f>EXP(-LN(2)/25)*AA161+(1-EXP(-LN(2)/25))/(LN(2)/25)*Calculateur!V162*Calculateur!X162*VLOOKUP('Données projet'!$B$9,Paramètres!$A$1:$I$89,3,0)*0.475*44/12</f>
        <v>2.3221353517006493</v>
      </c>
      <c r="AB162" s="21">
        <f>EXP(-LN(2)/2)*AB161+(1-EXP(-LN(2)/2))/(LN(2)/2)*V162*Y162*VLOOKUP('Données projet'!$B$9,Paramètres!$A$1:$I$89,3,0)*0.475*44/12</f>
        <v>4.0147701897733765E-14</v>
      </c>
      <c r="AC162" s="22">
        <f t="shared" si="163"/>
        <v>20.58331710959618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194.8881828356399</v>
      </c>
      <c r="T163" s="59">
        <f t="shared" si="142"/>
        <v>195.26562343155132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17.903091121844227</v>
      </c>
      <c r="AA163" s="21">
        <f>EXP(-LN(2)/25)*AA162+(1-EXP(-LN(2)/25))/(LN(2)/25)*Calculateur!V163*Calculateur!X163*VLOOKUP('Données projet'!$B$9,Paramètres!$A$1:$I$89,3,0)*0.475*44/12</f>
        <v>2.2586364383926041</v>
      </c>
      <c r="AB163" s="21">
        <f>EXP(-LN(2)/2)*AB162+(1-EXP(-LN(2)/2))/(LN(2)/2)*V163*Y163*VLOOKUP('Données projet'!$B$9,Paramètres!$A$1:$I$89,3,0)*0.475*44/12</f>
        <v>2.838871226094357E-14</v>
      </c>
      <c r="AC163" s="22">
        <f t="shared" si="163"/>
        <v>20.161727560236859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194.8881828356399</v>
      </c>
      <c r="T164" s="59">
        <f t="shared" si="142"/>
        <v>195.26562343155132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17.552022424752206</v>
      </c>
      <c r="AA164" s="21">
        <f>EXP(-LN(2)/25)*AA163+(1-EXP(-LN(2)/25))/(LN(2)/25)*Calculateur!V164*Calculateur!X164*VLOOKUP('Données projet'!$B$9,Paramètres!$A$1:$I$89,3,0)*0.475*44/12</f>
        <v>2.1968739062082303</v>
      </c>
      <c r="AB164" s="21">
        <f>EXP(-LN(2)/2)*AB163+(1-EXP(-LN(2)/2))/(LN(2)/2)*V164*Y164*VLOOKUP('Données projet'!$B$9,Paramètres!$A$1:$I$89,3,0)*0.475*44/12</f>
        <v>2.0073850948866886E-14</v>
      </c>
      <c r="AC164" s="22">
        <f t="shared" si="163"/>
        <v>19.748896330960456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194.8881828356399</v>
      </c>
      <c r="T165" s="59">
        <f t="shared" si="142"/>
        <v>195.26562343155132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17.207837970679396</v>
      </c>
      <c r="AA165" s="21">
        <f>EXP(-LN(2)/25)*AA164+(1-EXP(-LN(2)/25))/(LN(2)/25)*Calculateur!V165*Calculateur!X165*VLOOKUP('Données projet'!$B$9,Paramètres!$A$1:$I$89,3,0)*0.475*44/12</f>
        <v>2.1368002737143885</v>
      </c>
      <c r="AB165" s="21">
        <f>EXP(-LN(2)/2)*AB164+(1-EXP(-LN(2)/2))/(LN(2)/2)*V165*Y165*VLOOKUP('Données projet'!$B$9,Paramètres!$A$1:$I$89,3,0)*0.475*44/12</f>
        <v>1.4194356130471787E-14</v>
      </c>
      <c r="AC165" s="22">
        <f t="shared" si="163"/>
        <v>19.344638244393799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194.8881828356399</v>
      </c>
      <c r="T166" s="59">
        <f t="shared" si="142"/>
        <v>195.26562343155132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16.870402763819165</v>
      </c>
      <c r="AA166" s="21">
        <f>EXP(-LN(2)/25)*AA165+(1-EXP(-LN(2)/25))/(LN(2)/25)*Calculateur!V166*Calculateur!X166*VLOOKUP('Données projet'!$B$9,Paramètres!$A$1:$I$89,3,0)*0.475*44/12</f>
        <v>2.0783693578602258</v>
      </c>
      <c r="AB166" s="21">
        <f>EXP(-LN(2)/2)*AB165+(1-EXP(-LN(2)/2))/(LN(2)/2)*V166*Y166*VLOOKUP('Données projet'!$B$9,Paramètres!$A$1:$I$89,3,0)*0.475*44/12</f>
        <v>1.0036925474433444E-14</v>
      </c>
      <c r="AC166" s="22">
        <f t="shared" si="163"/>
        <v>18.948772121679401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194.8881828356399</v>
      </c>
      <c r="T167" s="59">
        <f t="shared" si="142"/>
        <v>195.26562343155132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16.539584455550312</v>
      </c>
      <c r="AA167" s="21">
        <f>EXP(-LN(2)/25)*AA166+(1-EXP(-LN(2)/25))/(LN(2)/25)*Calculateur!V167*Calculateur!X167*VLOOKUP('Données projet'!$B$9,Paramètres!$A$1:$I$89,3,0)*0.475*44/12</f>
        <v>2.0215362384728435</v>
      </c>
      <c r="AB167" s="21">
        <f>EXP(-LN(2)/2)*AB166+(1-EXP(-LN(2)/2))/(LN(2)/2)*V167*Y167*VLOOKUP('Données projet'!$B$9,Paramètres!$A$1:$I$89,3,0)*0.475*44/12</f>
        <v>7.0971780652358949E-15</v>
      </c>
      <c r="AC167" s="22">
        <f t="shared" si="163"/>
        <v>18.561120694023163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194.8881828356399</v>
      </c>
      <c r="T168" s="59">
        <f t="shared" si="142"/>
        <v>195.26562343155132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16.215253292527365</v>
      </c>
      <c r="AA168" s="21">
        <f>EXP(-LN(2)/25)*AA167+(1-EXP(-LN(2)/25))/(LN(2)/25)*Calculateur!V168*Calculateur!X168*VLOOKUP('Données projet'!$B$9,Paramètres!$A$1:$I$89,3,0)*0.475*44/12</f>
        <v>1.9662572237238332</v>
      </c>
      <c r="AB168" s="21">
        <f>EXP(-LN(2)/2)*AB167+(1-EXP(-LN(2)/2))/(LN(2)/2)*V168*Y168*VLOOKUP('Données projet'!$B$9,Paramètres!$A$1:$I$89,3,0)*0.475*44/12</f>
        <v>5.018462737216723E-15</v>
      </c>
      <c r="AC168" s="22">
        <f t="shared" si="163"/>
        <v>18.181510516251201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194.8881828356399</v>
      </c>
      <c r="T169" s="59">
        <f t="shared" si="142"/>
        <v>195.26562343155132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15.897282065788822</v>
      </c>
      <c r="AA169" s="21">
        <f>EXP(-LN(2)/25)*AA168+(1-EXP(-LN(2)/25))/(LN(2)/25)*Calculateur!V169*Calculateur!X169*VLOOKUP('Données projet'!$B$9,Paramètres!$A$1:$I$89,3,0)*0.475*44/12</f>
        <v>1.9124898165401314</v>
      </c>
      <c r="AB169" s="21">
        <f>EXP(-LN(2)/2)*AB168+(1-EXP(-LN(2)/2))/(LN(2)/2)*V169*Y169*VLOOKUP('Données projet'!$B$9,Paramètres!$A$1:$I$89,3,0)*0.475*44/12</f>
        <v>3.5485890326179478E-15</v>
      </c>
      <c r="AC169" s="22">
        <f t="shared" si="163"/>
        <v>17.809771882328956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194.8881828356399</v>
      </c>
      <c r="T170" s="59">
        <f t="shared" si="142"/>
        <v>195.26562343155132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15.585546060863326</v>
      </c>
      <c r="AA170" s="21">
        <f>EXP(-LN(2)/25)*AA169+(1-EXP(-LN(2)/25))/(LN(2)/25)*Calculateur!V170*Calculateur!X170*VLOOKUP('Données projet'!$B$9,Paramètres!$A$1:$I$89,3,0)*0.475*44/12</f>
        <v>1.8601926819333732</v>
      </c>
      <c r="AB170" s="21">
        <f>EXP(-LN(2)/2)*AB169+(1-EXP(-LN(2)/2))/(LN(2)/2)*V170*Y170*VLOOKUP('Données projet'!$B$9,Paramètres!$A$1:$I$89,3,0)*0.475*44/12</f>
        <v>2.5092313686083619E-15</v>
      </c>
      <c r="AC170" s="22">
        <f t="shared" si="163"/>
        <v>17.445738742796703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194.8881828356399</v>
      </c>
      <c r="T171" s="59">
        <f t="shared" si="142"/>
        <v>195.26562343155132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15.279923008854229</v>
      </c>
      <c r="AA171" s="21">
        <f>EXP(-LN(2)/25)*AA170+(1-EXP(-LN(2)/25))/(LN(2)/25)*Calculateur!V171*Calculateur!X171*VLOOKUP('Données projet'!$B$9,Paramètres!$A$1:$I$89,3,0)*0.475*44/12</f>
        <v>1.8093256152226234</v>
      </c>
      <c r="AB171" s="21">
        <f>EXP(-LN(2)/2)*AB170+(1-EXP(-LN(2)/2))/(LN(2)/2)*V171*Y171*VLOOKUP('Données projet'!$B$9,Paramètres!$A$1:$I$89,3,0)*0.475*44/12</f>
        <v>1.7742945163089743E-15</v>
      </c>
      <c r="AC171" s="22">
        <f t="shared" si="163"/>
        <v>17.089248624076852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194.8881828356399</v>
      </c>
      <c r="T172" s="59">
        <f t="shared" si="142"/>
        <v>195.26562343155132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14.980293038483376</v>
      </c>
      <c r="AA172" s="21">
        <f>EXP(-LN(2)/25)*AA171+(1-EXP(-LN(2)/25))/(LN(2)/25)*Calculateur!V172*Calculateur!X172*VLOOKUP('Données projet'!$B$9,Paramètres!$A$1:$I$89,3,0)*0.475*44/12</f>
        <v>1.7598495111260619</v>
      </c>
      <c r="AB172" s="21">
        <f>EXP(-LN(2)/2)*AB171+(1-EXP(-LN(2)/2))/(LN(2)/2)*V172*Y172*VLOOKUP('Données projet'!$B$9,Paramètres!$A$1:$I$89,3,0)*0.475*44/12</f>
        <v>1.2546156843041811E-15</v>
      </c>
      <c r="AC172" s="22">
        <f t="shared" si="163"/>
        <v>16.740142549609438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194.8881828356399</v>
      </c>
      <c r="T173" s="59">
        <f t="shared" si="142"/>
        <v>195.26562343155132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14.68653862907526</v>
      </c>
      <c r="AA173" s="21">
        <f>EXP(-LN(2)/25)*AA172+(1-EXP(-LN(2)/25))/(LN(2)/25)*Calculateur!V173*Calculateur!X173*VLOOKUP('Données projet'!$B$9,Paramètres!$A$1:$I$89,3,0)*0.475*44/12</f>
        <v>1.7117263336978561</v>
      </c>
      <c r="AB173" s="21">
        <f>EXP(-LN(2)/2)*AB172+(1-EXP(-LN(2)/2))/(LN(2)/2)*V173*Y173*VLOOKUP('Données projet'!$B$9,Paramètres!$A$1:$I$89,3,0)*0.475*44/12</f>
        <v>8.8714725815448726E-16</v>
      </c>
      <c r="AC173" s="22">
        <f t="shared" si="163"/>
        <v>16.398264962773116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194.8881828356399</v>
      </c>
      <c r="T174" s="59">
        <f t="shared" si="142"/>
        <v>195.26562343155132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14.398544564463139</v>
      </c>
      <c r="AA174" s="21">
        <f>EXP(-LN(2)/25)*AA173+(1-EXP(-LN(2)/25))/(LN(2)/25)*Calculateur!V174*Calculateur!X174*VLOOKUP('Données projet'!$B$9,Paramètres!$A$1:$I$89,3,0)*0.475*44/12</f>
        <v>1.6649190870871124</v>
      </c>
      <c r="AB174" s="21">
        <f>EXP(-LN(2)/2)*AB173+(1-EXP(-LN(2)/2))/(LN(2)/2)*V174*Y174*VLOOKUP('Données projet'!$B$9,Paramètres!$A$1:$I$89,3,0)*0.475*44/12</f>
        <v>6.2730784215209067E-16</v>
      </c>
      <c r="AC174" s="22">
        <f t="shared" si="163"/>
        <v>16.063463651550251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194.8881828356399</v>
      </c>
      <c r="T175" s="59">
        <f t="shared" si="142"/>
        <v>195.26562343155132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14.116197887799027</v>
      </c>
      <c r="AA175" s="21">
        <f>EXP(-LN(2)/25)*AA174+(1-EXP(-LN(2)/25))/(LN(2)/25)*Calculateur!V175*Calculateur!X175*VLOOKUP('Données projet'!$B$9,Paramètres!$A$1:$I$89,3,0)*0.475*44/12</f>
        <v>1.6193917870964258</v>
      </c>
      <c r="AB175" s="21">
        <f>EXP(-LN(2)/2)*AB174+(1-EXP(-LN(2)/2))/(LN(2)/2)*V175*Y175*VLOOKUP('Données projet'!$B$9,Paramètres!$A$1:$I$89,3,0)*0.475*44/12</f>
        <v>4.4357362907724373E-16</v>
      </c>
      <c r="AC175" s="22">
        <f t="shared" si="163"/>
        <v>15.735589674895452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194.8881828356399</v>
      </c>
      <c r="T176" s="59">
        <f t="shared" si="142"/>
        <v>195.26562343155132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13.839387857249829</v>
      </c>
      <c r="AA176" s="21">
        <f>EXP(-LN(2)/25)*AA175+(1-EXP(-LN(2)/25))/(LN(2)/25)*Calculateur!V176*Calculateur!X176*VLOOKUP('Données projet'!$B$9,Paramètres!$A$1:$I$89,3,0)*0.475*44/12</f>
        <v>1.5751094335181612</v>
      </c>
      <c r="AB176" s="21">
        <f>EXP(-LN(2)/2)*AB175+(1-EXP(-LN(2)/2))/(LN(2)/2)*V176*Y176*VLOOKUP('Données projet'!$B$9,Paramètres!$A$1:$I$89,3,0)*0.475*44/12</f>
        <v>3.1365392107604539E-16</v>
      </c>
      <c r="AC176" s="22">
        <f t="shared" si="163"/>
        <v>15.41449729076799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194.8881828356399</v>
      </c>
      <c r="T177" s="59">
        <f t="shared" si="142"/>
        <v>195.26562343155132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13.568005902562254</v>
      </c>
      <c r="AA177" s="21">
        <f>EXP(-LN(2)/25)*AA176+(1-EXP(-LN(2)/25))/(LN(2)/25)*Calculateur!V177*Calculateur!X177*VLOOKUP('Données projet'!$B$9,Paramètres!$A$1:$I$89,3,0)*0.475*44/12</f>
        <v>1.532037983227202</v>
      </c>
      <c r="AB177" s="21">
        <f>EXP(-LN(2)/2)*AB176+(1-EXP(-LN(2)/2))/(LN(2)/2)*V177*Y177*VLOOKUP('Données projet'!$B$9,Paramètres!$A$1:$I$89,3,0)*0.475*44/12</f>
        <v>2.2178681453862189E-16</v>
      </c>
      <c r="AC177" s="22">
        <f t="shared" si="163"/>
        <v>15.100043885789455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194.8881828356399</v>
      </c>
      <c r="T178" s="59">
        <f t="shared" si="142"/>
        <v>195.26562343155132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13.301945582479455</v>
      </c>
      <c r="AA178" s="21">
        <f>EXP(-LN(2)/25)*AA177+(1-EXP(-LN(2)/25))/(LN(2)/25)*Calculateur!V178*Calculateur!X178*VLOOKUP('Données projet'!$B$9,Paramètres!$A$1:$I$89,3,0)*0.475*44/12</f>
        <v>1.490144324009478</v>
      </c>
      <c r="AB178" s="21">
        <f>EXP(-LN(2)/2)*AB177+(1-EXP(-LN(2)/2))/(LN(2)/2)*V178*Y178*VLOOKUP('Données projet'!$B$9,Paramètres!$A$1:$I$89,3,0)*0.475*44/12</f>
        <v>1.5682696053802272E-16</v>
      </c>
      <c r="AC178" s="22">
        <f t="shared" si="163"/>
        <v>14.792089906488933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194.8881828356399</v>
      </c>
      <c r="T179" s="59">
        <f t="shared" si="142"/>
        <v>195.26562343155132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13.041102542992707</v>
      </c>
      <c r="AA179" s="21">
        <f>EXP(-LN(2)/25)*AA178+(1-EXP(-LN(2)/25))/(LN(2)/25)*Calculateur!V179*Calculateur!X179*VLOOKUP('Données projet'!$B$9,Paramètres!$A$1:$I$89,3,0)*0.475*44/12</f>
        <v>1.4493962491061547</v>
      </c>
      <c r="AB179" s="21">
        <f>EXP(-LN(2)/2)*AB178+(1-EXP(-LN(2)/2))/(LN(2)/2)*V179*Y179*VLOOKUP('Données projet'!$B$9,Paramètres!$A$1:$I$89,3,0)*0.475*44/12</f>
        <v>1.1089340726931096E-16</v>
      </c>
      <c r="AC179" s="22">
        <f t="shared" si="163"/>
        <v>14.490498792098862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194.8881828356399</v>
      </c>
      <c r="T180" s="59">
        <f t="shared" si="142"/>
        <v>195.26562343155132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12.78537447641175</v>
      </c>
      <c r="AA180" s="21">
        <f>EXP(-LN(2)/25)*AA179+(1-EXP(-LN(2)/25))/(LN(2)/25)*Calculateur!V180*Calculateur!X180*VLOOKUP('Données projet'!$B$9,Paramètres!$A$1:$I$89,3,0)*0.475*44/12</f>
        <v>1.4097624324539109</v>
      </c>
      <c r="AB180" s="21">
        <f>EXP(-LN(2)/2)*AB179+(1-EXP(-LN(2)/2))/(LN(2)/2)*V180*Y180*VLOOKUP('Données projet'!$B$9,Paramètres!$A$1:$I$89,3,0)*0.475*44/12</f>
        <v>7.8413480269011371E-17</v>
      </c>
      <c r="AC180" s="22">
        <f t="shared" si="163"/>
        <v>14.195136908865662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194.8881828356399</v>
      </c>
      <c r="T181" s="59">
        <f t="shared" si="142"/>
        <v>195.26562343155132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12.534661081237727</v>
      </c>
      <c r="AA181" s="21">
        <f>EXP(-LN(2)/25)*AA180+(1-EXP(-LN(2)/25))/(LN(2)/25)*Calculateur!V181*Calculateur!X181*VLOOKUP('Données projet'!$B$9,Paramètres!$A$1:$I$89,3,0)*0.475*44/12</f>
        <v>1.3712124046022744</v>
      </c>
      <c r="AB181" s="21">
        <f>EXP(-LN(2)/2)*AB180+(1-EXP(-LN(2)/2))/(LN(2)/2)*V181*Y181*VLOOKUP('Données projet'!$B$9,Paramètres!$A$1:$I$89,3,0)*0.475*44/12</f>
        <v>5.544670363465549E-17</v>
      </c>
      <c r="AC181" s="22">
        <f t="shared" si="163"/>
        <v>13.905873485840003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194.8881828356399</v>
      </c>
      <c r="T182" s="59">
        <f t="shared" si="142"/>
        <v>195.26562343155132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12.288864022822995</v>
      </c>
      <c r="AA182" s="21">
        <f>EXP(-LN(2)/25)*AA181+(1-EXP(-LN(2)/25))/(LN(2)/25)*Calculateur!V182*Calculateur!X182*VLOOKUP('Données projet'!$B$9,Paramètres!$A$1:$I$89,3,0)*0.475*44/12</f>
        <v>1.3337165292894988</v>
      </c>
      <c r="AB182" s="21">
        <f>EXP(-LN(2)/2)*AB181+(1-EXP(-LN(2)/2))/(LN(2)/2)*V182*Y182*VLOOKUP('Données projet'!$B$9,Paramètres!$A$1:$I$89,3,0)*0.475*44/12</f>
        <v>3.9206740134505692E-17</v>
      </c>
      <c r="AC182" s="22">
        <f t="shared" si="163"/>
        <v>13.622580552112494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194.8881828356399</v>
      </c>
      <c r="T183" s="59">
        <f t="shared" si="142"/>
        <v>195.26562343155132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12.047886894802375</v>
      </c>
      <c r="AA183" s="21">
        <f>EXP(-LN(2)/25)*AA182+(1-EXP(-LN(2)/25))/(LN(2)/25)*Calculateur!V183*Calculateur!X183*VLOOKUP('Données projet'!$B$9,Paramètres!$A$1:$I$89,3,0)*0.475*44/12</f>
        <v>1.2972459806589733</v>
      </c>
      <c r="AB183" s="21">
        <f>EXP(-LN(2)/2)*AB182+(1-EXP(-LN(2)/2))/(LN(2)/2)*V183*Y183*VLOOKUP('Données projet'!$B$9,Paramètres!$A$1:$I$89,3,0)*0.475*44/12</f>
        <v>2.7723351817327748E-17</v>
      </c>
      <c r="AC183" s="22">
        <f t="shared" si="163"/>
        <v>13.345132875461347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194.8881828356399</v>
      </c>
      <c r="T184" s="59">
        <f t="shared" si="142"/>
        <v>195.26562343155132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11.811635181280703</v>
      </c>
      <c r="AA184" s="21">
        <f>EXP(-LN(2)/25)*AA183+(1-EXP(-LN(2)/25))/(LN(2)/25)*Calculateur!V184*Calculateur!X184*VLOOKUP('Données projet'!$B$9,Paramètres!$A$1:$I$89,3,0)*0.475*44/12</f>
        <v>1.2617727210986525</v>
      </c>
      <c r="AB184" s="21">
        <f>EXP(-LN(2)/2)*AB183+(1-EXP(-LN(2)/2))/(LN(2)/2)*V184*Y184*VLOOKUP('Données projet'!$B$9,Paramètres!$A$1:$I$89,3,0)*0.475*44/12</f>
        <v>1.9603370067252849E-17</v>
      </c>
      <c r="AC184" s="22">
        <f t="shared" si="163"/>
        <v>13.073407902379355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194.8881828356399</v>
      </c>
      <c r="T185" s="59">
        <f t="shared" si="142"/>
        <v>195.26562343155132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11.580016219761875</v>
      </c>
      <c r="AA185" s="21">
        <f>EXP(-LN(2)/25)*AA184+(1-EXP(-LN(2)/25))/(LN(2)/25)*Calculateur!V185*Calculateur!X185*VLOOKUP('Données projet'!$B$9,Paramètres!$A$1:$I$89,3,0)*0.475*44/12</f>
        <v>1.2272694796864663</v>
      </c>
      <c r="AB185" s="21">
        <f>EXP(-LN(2)/2)*AB184+(1-EXP(-LN(2)/2))/(LN(2)/2)*V185*Y185*VLOOKUP('Données projet'!$B$9,Paramètres!$A$1:$I$89,3,0)*0.475*44/12</f>
        <v>1.3861675908663877E-17</v>
      </c>
      <c r="AC185" s="22">
        <f t="shared" si="163"/>
        <v>12.807285699448341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194.8881828356399</v>
      </c>
      <c r="T186" s="59">
        <f t="shared" si="142"/>
        <v>195.26562343155132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11.352939164804814</v>
      </c>
      <c r="AA186" s="21">
        <f>EXP(-LN(2)/25)*AA185+(1-EXP(-LN(2)/25))/(LN(2)/25)*Calculateur!V186*Calculateur!X186*VLOOKUP('Données projet'!$B$9,Paramètres!$A$1:$I$89,3,0)*0.475*44/12</f>
        <v>1.1937097312251428</v>
      </c>
      <c r="AB186" s="21">
        <f>EXP(-LN(2)/2)*AB185+(1-EXP(-LN(2)/2))/(LN(2)/2)*V186*Y186*VLOOKUP('Données projet'!$B$9,Paramètres!$A$1:$I$89,3,0)*0.475*44/12</f>
        <v>9.801685033626426E-18</v>
      </c>
      <c r="AC186" s="22">
        <f t="shared" si="163"/>
        <v>12.546648896029957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194.8881828356399</v>
      </c>
      <c r="T187" s="59">
        <f t="shared" si="142"/>
        <v>195.26562343155132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11.130314952392133</v>
      </c>
      <c r="AA187" s="21">
        <f>EXP(-LN(2)/25)*AA186+(1-EXP(-LN(2)/25))/(LN(2)/25)*Calculateur!V187*Calculateur!X187*VLOOKUP('Données projet'!$B$9,Paramètres!$A$1:$I$89,3,0)*0.475*44/12</f>
        <v>1.1610676758503247</v>
      </c>
      <c r="AB187" s="21">
        <f>EXP(-LN(2)/2)*AB186+(1-EXP(-LN(2)/2))/(LN(2)/2)*V187*Y187*VLOOKUP('Données projet'!$B$9,Paramètres!$A$1:$I$89,3,0)*0.475*44/12</f>
        <v>6.9308379543319394E-18</v>
      </c>
      <c r="AC187" s="22">
        <f t="shared" si="163"/>
        <v>12.291382628242458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194.8881828356399</v>
      </c>
      <c r="T188" s="59">
        <f t="shared" si="142"/>
        <v>195.26562343155132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10.912056264997505</v>
      </c>
      <c r="AA188" s="21">
        <f>EXP(-LN(2)/25)*AA187+(1-EXP(-LN(2)/25))/(LN(2)/25)*Calculateur!V188*Calculateur!X188*VLOOKUP('Données projet'!$B$9,Paramètres!$A$1:$I$89,3,0)*0.475*44/12</f>
        <v>1.129318219196302</v>
      </c>
      <c r="AB188" s="21">
        <f>EXP(-LN(2)/2)*AB187+(1-EXP(-LN(2)/2))/(LN(2)/2)*V188*Y188*VLOOKUP('Données projet'!$B$9,Paramètres!$A$1:$I$89,3,0)*0.475*44/12</f>
        <v>4.9008425168132138E-18</v>
      </c>
      <c r="AC188" s="22">
        <f t="shared" si="163"/>
        <v>12.041374484193806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194.8881828356399</v>
      </c>
      <c r="T189" s="59">
        <f t="shared" si="142"/>
        <v>195.26562343155132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10.69807749733803</v>
      </c>
      <c r="AA189" s="21">
        <f>EXP(-LN(2)/25)*AA188+(1-EXP(-LN(2)/25))/(LN(2)/25)*Calculateur!V189*Calculateur!X189*VLOOKUP('Données projet'!$B$9,Paramètres!$A$1:$I$89,3,0)*0.475*44/12</f>
        <v>1.0984369531041152</v>
      </c>
      <c r="AB189" s="21">
        <f>EXP(-LN(2)/2)*AB188+(1-EXP(-LN(2)/2))/(LN(2)/2)*V189*Y189*VLOOKUP('Données projet'!$B$9,Paramètres!$A$1:$I$89,3,0)*0.475*44/12</f>
        <v>3.4654189771659701E-18</v>
      </c>
      <c r="AC189" s="22">
        <f t="shared" si="163"/>
        <v>11.796514450442146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194.8881828356399</v>
      </c>
      <c r="T190" s="59">
        <f t="shared" si="142"/>
        <v>195.26562343155132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10.488294722798196</v>
      </c>
      <c r="AA190" s="21">
        <f>EXP(-LN(2)/25)*AA189+(1-EXP(-LN(2)/25))/(LN(2)/25)*Calculateur!V190*Calculateur!X190*VLOOKUP('Données projet'!$B$9,Paramètres!$A$1:$I$89,3,0)*0.475*44/12</f>
        <v>1.0684001368571943</v>
      </c>
      <c r="AB190" s="21">
        <f>EXP(-LN(2)/2)*AB189+(1-EXP(-LN(2)/2))/(LN(2)/2)*V190*Y190*VLOOKUP('Données projet'!$B$9,Paramètres!$A$1:$I$89,3,0)*0.475*44/12</f>
        <v>2.4504212584066073E-18</v>
      </c>
      <c r="AC190" s="22">
        <f t="shared" si="163"/>
        <v>11.556694859655391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194.8881828356399</v>
      </c>
      <c r="T191" s="59">
        <f t="shared" si="142"/>
        <v>195.26562343155132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10.282625660512231</v>
      </c>
      <c r="AA191" s="21">
        <f>EXP(-LN(2)/25)*AA190+(1-EXP(-LN(2)/25))/(LN(2)/25)*Calculateur!V191*Calculateur!X191*VLOOKUP('Données projet'!$B$9,Paramètres!$A$1:$I$89,3,0)*0.475*44/12</f>
        <v>1.0391846789301129</v>
      </c>
      <c r="AB191" s="21">
        <f>EXP(-LN(2)/2)*AB190+(1-EXP(-LN(2)/2))/(LN(2)/2)*V191*Y191*VLOOKUP('Données projet'!$B$9,Paramètres!$A$1:$I$89,3,0)*0.475*44/12</f>
        <v>1.7327094885829854E-18</v>
      </c>
      <c r="AC191" s="22">
        <f t="shared" si="163"/>
        <v>11.321810339442344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194.8881828356399</v>
      </c>
      <c r="T192" s="59">
        <f t="shared" si="142"/>
        <v>195.26562343155132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10.080989643091952</v>
      </c>
      <c r="AA192" s="21">
        <f>EXP(-LN(2)/25)*AA191+(1-EXP(-LN(2)/25))/(LN(2)/25)*Calculateur!V192*Calculateur!X192*VLOOKUP('Données projet'!$B$9,Paramètres!$A$1:$I$89,3,0)*0.475*44/12</f>
        <v>1.0107681192364217</v>
      </c>
      <c r="AB192" s="21">
        <f>EXP(-LN(2)/2)*AB191+(1-EXP(-LN(2)/2))/(LN(2)/2)*V192*Y192*VLOOKUP('Données projet'!$B$9,Paramètres!$A$1:$I$89,3,0)*0.475*44/12</f>
        <v>1.2252106292033038E-18</v>
      </c>
      <c r="AC192" s="22">
        <f t="shared" si="163"/>
        <v>11.091757762328374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194.8881828356399</v>
      </c>
      <c r="T193" s="59">
        <f t="shared" si="142"/>
        <v>195.26562343155132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9.8833075849874579</v>
      </c>
      <c r="AA193" s="21">
        <f>EXP(-LN(2)/25)*AA192+(1-EXP(-LN(2)/25))/(LN(2)/25)*Calculateur!V193*Calculateur!X193*VLOOKUP('Données projet'!$B$9,Paramètres!$A$1:$I$89,3,0)*0.475*44/12</f>
        <v>0.98312861186191658</v>
      </c>
      <c r="AB193" s="21">
        <f>EXP(-LN(2)/2)*AB192+(1-EXP(-LN(2)/2))/(LN(2)/2)*V193*Y193*VLOOKUP('Données projet'!$B$9,Paramètres!$A$1:$I$89,3,0)*0.475*44/12</f>
        <v>8.6635474429149281E-19</v>
      </c>
      <c r="AC193" s="22">
        <f t="shared" si="163"/>
        <v>10.866436196849374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194.8881828356399</v>
      </c>
      <c r="T194" s="59">
        <f t="shared" si="142"/>
        <v>195.26562343155132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9.6895019514682428</v>
      </c>
      <c r="AA194" s="21">
        <f>EXP(-LN(2)/25)*AA193+(1-EXP(-LN(2)/25))/(LN(2)/25)*Calculateur!V194*Calculateur!X194*VLOOKUP('Données projet'!$B$9,Paramètres!$A$1:$I$89,3,0)*0.475*44/12</f>
        <v>0.9562449082700657</v>
      </c>
      <c r="AB194" s="21">
        <f>EXP(-LN(2)/2)*AB193+(1-EXP(-LN(2)/2))/(LN(2)/2)*V194*Y194*VLOOKUP('Données projet'!$B$9,Paramètres!$A$1:$I$89,3,0)*0.475*44/12</f>
        <v>6.1260531460165201E-19</v>
      </c>
      <c r="AC194" s="22">
        <f t="shared" si="163"/>
        <v>10.645746859738308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194.8881828356399</v>
      </c>
      <c r="T195" s="59">
        <f t="shared" si="142"/>
        <v>195.26562343155132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9.4994967282125753</v>
      </c>
      <c r="AA195" s="21">
        <f>EXP(-LN(2)/25)*AA194+(1-EXP(-LN(2)/25))/(LN(2)/25)*Calculateur!V195*Calculateur!X195*VLOOKUP('Données projet'!$B$9,Paramètres!$A$1:$I$89,3,0)*0.475*44/12</f>
        <v>0.93009634096668659</v>
      </c>
      <c r="AB195" s="21">
        <f>EXP(-LN(2)/2)*AB194+(1-EXP(-LN(2)/2))/(LN(2)/2)*V195*Y195*VLOOKUP('Données projet'!$B$9,Paramètres!$A$1:$I$89,3,0)*0.475*44/12</f>
        <v>4.331773721457465E-19</v>
      </c>
      <c r="AC195" s="22">
        <f t="shared" si="163"/>
        <v>10.429593069179262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194.8881828356399</v>
      </c>
      <c r="T196" s="59">
        <f t="shared" si="142"/>
        <v>195.26562343155132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9.3132173914932093</v>
      </c>
      <c r="AA196" s="21">
        <f>EXP(-LN(2)/25)*AA195+(1-EXP(-LN(2)/25))/(LN(2)/25)*Calculateur!V196*Calculateur!X196*VLOOKUP('Données projet'!$B$9,Paramètres!$A$1:$I$89,3,0)*0.475*44/12</f>
        <v>0.90466280761131168</v>
      </c>
      <c r="AB196" s="21">
        <f>EXP(-LN(2)/2)*AB195+(1-EXP(-LN(2)/2))/(LN(2)/2)*V196*Y196*VLOOKUP('Données projet'!$B$9,Paramètres!$A$1:$I$89,3,0)*0.475*44/12</f>
        <v>3.0630265730082605E-19</v>
      </c>
      <c r="AC196" s="22">
        <f t="shared" si="163"/>
        <v>10.21788019910452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194.8881828356399</v>
      </c>
      <c r="T197" s="59">
        <f t="shared" ref="T197:T203" si="204">$T$3</f>
        <v>195.26562343155132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9.1305908789477339</v>
      </c>
      <c r="AA197" s="21">
        <f>EXP(-LN(2)/25)*AA196+(1-EXP(-LN(2)/25))/(LN(2)/25)*Calculateur!V197*Calculateur!X197*VLOOKUP('Données projet'!$B$9,Paramètres!$A$1:$I$89,3,0)*0.475*44/12</f>
        <v>0.87992475556303096</v>
      </c>
      <c r="AB197" s="21">
        <f>EXP(-LN(2)/2)*AB196+(1-EXP(-LN(2)/2))/(LN(2)/2)*V197*Y197*VLOOKUP('Données projet'!$B$9,Paramètres!$A$1:$I$89,3,0)*0.475*44/12</f>
        <v>2.1658868607287327E-19</v>
      </c>
      <c r="AC197" s="22">
        <f t="shared" si="163"/>
        <v>10.010515634510766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194.8881828356399</v>
      </c>
      <c r="T198" s="59">
        <f t="shared" si="204"/>
        <v>195.26562343155132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8.9515455609221011</v>
      </c>
      <c r="AA198" s="21">
        <f>EXP(-LN(2)/25)*AA197+(1-EXP(-LN(2)/25))/(LN(2)/25)*Calculateur!V198*Calculateur!X198*VLOOKUP('Données projet'!$B$9,Paramètres!$A$1:$I$89,3,0)*0.475*44/12</f>
        <v>0.85586316684892805</v>
      </c>
      <c r="AB198" s="21">
        <f>EXP(-LN(2)/2)*AB197+(1-EXP(-LN(2)/2))/(LN(2)/2)*V198*Y198*VLOOKUP('Données projet'!$B$9,Paramètres!$A$1:$I$89,3,0)*0.475*44/12</f>
        <v>1.5315132865041305E-19</v>
      </c>
      <c r="AC198" s="22">
        <f t="shared" si="163"/>
        <v>9.8074087277710298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194.8881828356399</v>
      </c>
      <c r="T199" s="59">
        <f t="shared" si="204"/>
        <v>195.26562343155132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8.7760112123760905</v>
      </c>
      <c r="AA199" s="21">
        <f>EXP(-LN(2)/25)*AA198+(1-EXP(-LN(2)/25))/(LN(2)/25)*Calculateur!V199*Calculateur!X199*VLOOKUP('Données projet'!$B$9,Paramètres!$A$1:$I$89,3,0)*0.475*44/12</f>
        <v>0.83245954354355622</v>
      </c>
      <c r="AB199" s="21">
        <f>EXP(-LN(2)/2)*AB198+(1-EXP(-LN(2)/2))/(LN(2)/2)*V199*Y199*VLOOKUP('Données projet'!$B$9,Paramètres!$A$1:$I$89,3,0)*0.475*44/12</f>
        <v>1.0829434303643665E-19</v>
      </c>
      <c r="AC199" s="22">
        <f t="shared" si="163"/>
        <v>9.6084707559196474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194.8881828356399</v>
      </c>
      <c r="T200" s="59">
        <f t="shared" si="204"/>
        <v>195.26562343155132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8.6039189853396856</v>
      </c>
      <c r="AA200" s="21">
        <f>EXP(-LN(2)/25)*AA199+(1-EXP(-LN(2)/25))/(LN(2)/25)*Calculateur!V200*Calculateur!X200*VLOOKUP('Données projet'!$B$9,Paramètres!$A$1:$I$89,3,0)*0.475*44/12</f>
        <v>0.80969589354821292</v>
      </c>
      <c r="AB200" s="21">
        <f>EXP(-LN(2)/2)*AB199+(1-EXP(-LN(2)/2))/(LN(2)/2)*V200*Y200*VLOOKUP('Données projet'!$B$9,Paramètres!$A$1:$I$89,3,0)*0.475*44/12</f>
        <v>7.6575664325206537E-20</v>
      </c>
      <c r="AC200" s="22">
        <f t="shared" si="163"/>
        <v>9.4136148788878984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194.8881828356399</v>
      </c>
      <c r="T201" s="59">
        <f t="shared" si="204"/>
        <v>195.26562343155132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8.4352013819095717</v>
      </c>
      <c r="AA201" s="21">
        <f>EXP(-LN(2)/25)*AA200+(1-EXP(-LN(2)/25))/(LN(2)/25)*Calculateur!V201*Calculateur!X201*VLOOKUP('Données projet'!$B$9,Paramètres!$A$1:$I$89,3,0)*0.475*44/12</f>
        <v>0.78755471675908062</v>
      </c>
      <c r="AB201" s="21">
        <f>EXP(-LN(2)/2)*AB200+(1-EXP(-LN(2)/2))/(LN(2)/2)*V201*Y201*VLOOKUP('Données projet'!$B$9,Paramètres!$A$1:$I$89,3,0)*0.475*44/12</f>
        <v>5.4147171518218337E-20</v>
      </c>
      <c r="AC201" s="22">
        <f t="shared" si="163"/>
        <v>9.2227560986686523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194.8881828356399</v>
      </c>
      <c r="T202" s="59">
        <f t="shared" si="204"/>
        <v>195.26562343155132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8.2697922277751452</v>
      </c>
      <c r="AA202" s="21">
        <f>EXP(-LN(2)/25)*AA201+(1-EXP(-LN(2)/25))/(LN(2)/25)*Calculateur!V202*Calculateur!X202*VLOOKUP('Données projet'!$B$9,Paramètres!$A$1:$I$89,3,0)*0.475*44/12</f>
        <v>0.76601899161360099</v>
      </c>
      <c r="AB202" s="21">
        <f>EXP(-LN(2)/2)*AB201+(1-EXP(-LN(2)/2))/(LN(2)/2)*V202*Y202*VLOOKUP('Données projet'!$B$9,Paramètres!$A$1:$I$89,3,0)*0.475*44/12</f>
        <v>3.8287832162603275E-20</v>
      </c>
      <c r="AC202" s="22">
        <f t="shared" si="163"/>
        <v>9.0358112193887461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194.8881828356399</v>
      </c>
      <c r="T203" s="59">
        <f t="shared" si="204"/>
        <v>195.26562343155132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8.1076266462636717</v>
      </c>
      <c r="AA203" s="21">
        <f>EXP(-LN(2)/25)*AA202+(1-EXP(-LN(2)/25))/(LN(2)/25)*Calculateur!V203*Calculateur!X203*VLOOKUP('Données projet'!$B$9,Paramètres!$A$1:$I$89,3,0)*0.475*44/12</f>
        <v>0.74507216200473902</v>
      </c>
      <c r="AB203" s="21">
        <f>EXP(-LN(2)/2)*AB202+(1-EXP(-LN(2)/2))/(LN(2)/2)*V203*Y203*VLOOKUP('Données projet'!$B$9,Paramètres!$A$1:$I$89,3,0)*0.475*44/12</f>
        <v>2.7073585759109171E-20</v>
      </c>
      <c r="AC203" s="22">
        <f t="shared" si="163"/>
        <v>8.8526988082684106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1.3292852468636394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5.97</v>
      </c>
      <c r="C6" s="147">
        <f ca="1">IF(OR('Données projet'!B9="",'Données projet'!C9="",'Données projet'!C9=0%),0,Calculateur!S3)</f>
        <v>194.8881828356399</v>
      </c>
      <c r="D6" s="147">
        <f>IF(OR('Données projet'!B9="",'Données projet'!C9="",'Données projet'!C9=0%),0,Calculateur!T3)</f>
        <v>195.26562343155132</v>
      </c>
      <c r="E6" s="147">
        <f ca="1">MIN(C6,D6)</f>
        <v>194.8881828356399</v>
      </c>
      <c r="F6" s="147">
        <f ca="1">E6*B6</f>
        <v>1163.4824515287701</v>
      </c>
      <c r="G6" s="147">
        <f ca="1">F6*(100%-'Données projet'!$C$24)*(100%-'Données projet'!$C$25)*(100%-'Données projet'!$C$26)*(100%-'Données projet'!$C$27)</f>
        <v>890.06407541950921</v>
      </c>
      <c r="H6" s="148">
        <f>IF(OR('Données projet'!B9="",'Données projet'!C9="",'Données projet'!C9=0%),0,AVERAGE(Calculateur!$AC$3:$AC$33)*B6)</f>
        <v>59.215852848548188</v>
      </c>
      <c r="I6" s="149">
        <f>H6*(100%-'Données projet'!$C$24)*(100%-'Données projet'!$C$25)*(100%-'Données projet'!$C$26)*(100%-'Données projet'!$C$27)</f>
        <v>45.300127429139359</v>
      </c>
      <c r="J6" s="150">
        <f>IF(OR('Données projet'!B9="",'Données projet'!C9="",'Données projet'!C9=0%),0,SUM(Calculateur!$V$3:$V$33)*VLOOKUP('Données projet'!$B$9,Paramètres!$A$1:$I$89,9,0)*B6)</f>
        <v>506.66930769230765</v>
      </c>
      <c r="K6" s="151">
        <f>J6*(100%-'Données projet'!$C$24)*(100%-'Données projet'!$C$25)*(100%-'Données projet'!$C$26)*(100%-'Données projet'!$C$27)</f>
        <v>387.60202038461534</v>
      </c>
      <c r="L6" s="152">
        <f ca="1">G6+I6+K6</f>
        <v>1322.9662232332639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1163.4824515287701</v>
      </c>
      <c r="G16" s="166">
        <f t="shared" ca="1" si="3"/>
        <v>890.06407541950921</v>
      </c>
      <c r="H16" s="167">
        <f t="shared" si="3"/>
        <v>59.215852848548188</v>
      </c>
      <c r="I16" s="167">
        <f t="shared" si="3"/>
        <v>45.300127429139359</v>
      </c>
      <c r="J16" s="168">
        <f t="shared" si="3"/>
        <v>506.66930769230765</v>
      </c>
      <c r="K16" s="168">
        <f t="shared" si="3"/>
        <v>387.60202038461534</v>
      </c>
      <c r="L16" s="169">
        <f t="shared" ca="1" si="3"/>
        <v>1322.9662232332639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E23" sqref="E23:E3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2329.946753362527</v>
      </c>
      <c r="U10" s="178">
        <f>'Données projet'!D9</f>
        <v>5.97</v>
      </c>
      <c r="V10" s="177">
        <f>U10*T10</f>
        <v>13909.782117574287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2621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17</v>
      </c>
      <c r="B23" s="181">
        <f>'Données projet'!D36</f>
        <v>42.084615384615383</v>
      </c>
      <c r="C23" s="193">
        <v>10</v>
      </c>
      <c r="D23" s="182">
        <f>B23*C23</f>
        <v>420.84615384615381</v>
      </c>
      <c r="E23" s="193">
        <v>300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-1063.7776910381544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23</v>
      </c>
      <c r="B24" s="181">
        <f>'Données projet'!D37</f>
        <v>54.099999999999994</v>
      </c>
      <c r="C24" s="193">
        <v>18</v>
      </c>
      <c r="D24" s="182">
        <f t="shared" ref="D24:D42" si="2">B24*C24</f>
        <v>973.8</v>
      </c>
      <c r="E24" s="193">
        <v>300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29</v>
      </c>
      <c r="B25" s="181">
        <f>'Données projet'!D38</f>
        <v>47.661538461538463</v>
      </c>
      <c r="C25" s="193">
        <v>25</v>
      </c>
      <c r="D25" s="182">
        <f t="shared" si="2"/>
        <v>1191.5384615384617</v>
      </c>
      <c r="E25" s="193">
        <v>300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-1063.7776910381544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0</v>
      </c>
      <c r="C26" s="193">
        <v>25</v>
      </c>
      <c r="D26" s="182">
        <f t="shared" si="2"/>
        <v>0</v>
      </c>
      <c r="E26" s="193">
        <v>300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36</v>
      </c>
      <c r="B27" s="181">
        <f>'Données projet'!D40</f>
        <v>64.553846153846152</v>
      </c>
      <c r="C27" s="193">
        <v>35</v>
      </c>
      <c r="D27" s="182">
        <f t="shared" si="2"/>
        <v>2259.3846153846152</v>
      </c>
      <c r="E27" s="193">
        <v>300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44</v>
      </c>
      <c r="B28" s="181">
        <f>'Données projet'!D41</f>
        <v>64.476923076923072</v>
      </c>
      <c r="C28" s="193">
        <v>35</v>
      </c>
      <c r="D28" s="182">
        <f t="shared" si="2"/>
        <v>2256.6923076923076</v>
      </c>
      <c r="E28" s="193">
        <v>300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52</v>
      </c>
      <c r="B29" s="181">
        <f>'Données projet'!D42</f>
        <v>61.784615384615378</v>
      </c>
      <c r="C29" s="193">
        <v>35</v>
      </c>
      <c r="D29" s="182">
        <f t="shared" si="2"/>
        <v>2162.4615384615381</v>
      </c>
      <c r="E29" s="193">
        <v>300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60</v>
      </c>
      <c r="B30" s="181">
        <f>'Données projet'!D43</f>
        <v>353.5</v>
      </c>
      <c r="C30" s="193">
        <v>40</v>
      </c>
      <c r="D30" s="182">
        <f t="shared" si="2"/>
        <v>14140</v>
      </c>
      <c r="E30" s="193">
        <v>300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2024-01-18T16:51:23Z</dcterms:modified>
</cp:coreProperties>
</file>