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Sabres\Balizac et Origne (33) - consorts DOUPOUY\doc final\"/>
    </mc:Choice>
  </mc:AlternateContent>
  <xr:revisionPtr revIDLastSave="0" documentId="13_ncr:1_{4E5448BF-1A96-4F64-81EB-324ED67AAE02}" xr6:coauthVersionLast="36" xr6:coauthVersionMax="36" xr10:uidLastSave="{00000000-0000-0000-0000-000000000000}"/>
  <bookViews>
    <workbookView xWindow="0" yWindow="0" windowWidth="28800" windowHeight="12615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68" i="2" a="1"/>
  <c r="BC68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83" i="2" a="1"/>
  <c r="BC83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185" i="2" l="1" a="1"/>
  <c r="BC185" i="2" s="1"/>
  <c r="BC58" i="2" a="1"/>
  <c r="BC58" i="2" s="1"/>
  <c r="BC143" i="2" a="1"/>
  <c r="BC143" i="2" s="1"/>
  <c r="BC32" i="2" a="1"/>
  <c r="BC32" i="2" s="1"/>
  <c r="BC65" i="2" a="1"/>
  <c r="BC65" i="2" s="1"/>
  <c r="BC151" i="2" a="1"/>
  <c r="BC151" i="2" s="1"/>
  <c r="BC7" i="2" a="1"/>
  <c r="BC7" i="2" s="1"/>
  <c r="BD7" i="2" s="1"/>
  <c r="BC31" i="2" a="1"/>
  <c r="BC31" i="2" s="1"/>
  <c r="BC84" i="2" a="1"/>
  <c r="BC84" i="2" s="1"/>
  <c r="BC164" i="2" a="1"/>
  <c r="BC164" i="2" s="1"/>
  <c r="BC114" i="2" a="1"/>
  <c r="BC114" i="2" s="1"/>
  <c r="BC34" i="2" a="1"/>
  <c r="BC34" i="2" s="1"/>
  <c r="BC117" i="2" a="1"/>
  <c r="BC117" i="2" s="1"/>
  <c r="BC181" i="2" a="1"/>
  <c r="BC181" i="2" s="1"/>
  <c r="BC192" i="2" a="1"/>
  <c r="BC192" i="2" s="1"/>
  <c r="BC126" i="2" a="1"/>
  <c r="BC126" i="2" s="1"/>
  <c r="BC18" i="2" a="1"/>
  <c r="BC18" i="2" s="1"/>
  <c r="BC55" i="2" a="1"/>
  <c r="BC55" i="2" s="1"/>
  <c r="BC82" i="2" a="1"/>
  <c r="BC82" i="2" s="1"/>
  <c r="BC38" i="2" a="1"/>
  <c r="BC38" i="2" s="1"/>
  <c r="BC130" i="2" a="1"/>
  <c r="BC130" i="2" s="1"/>
  <c r="BC47" i="2" a="1"/>
  <c r="BC47" i="2" s="1"/>
  <c r="AH90" i="2" a="1"/>
  <c r="AH90" i="2" s="1"/>
  <c r="AH199" i="2" a="1"/>
  <c r="AH199" i="2" s="1"/>
  <c r="AH151" i="2" a="1"/>
  <c r="AH151" i="2" s="1"/>
  <c r="AH163" i="2" a="1"/>
  <c r="AH163" i="2" s="1"/>
  <c r="AH62" i="2" a="1"/>
  <c r="AH62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<sst xmlns="http://schemas.openxmlformats.org/spreadsheetml/2006/main" count="1171" uniqueCount="324">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</sst>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239.90544326410898</c:v>
                </c:pt>
                <c:pt idx="27">
                  <c:v>257.6548036297558</c:v>
                </c:pt>
                <c:pt idx="28">
                  <c:v>275.37652518894964</c:v>
                </c:pt>
                <c:pt idx="29">
                  <c:v>293.0726366827804</c:v>
                </c:pt>
                <c:pt idx="30">
                  <c:v>310.74490180919639</c:v>
                </c:pt>
                <c:pt idx="31">
                  <c:v>326.89289569121826</c:v>
                </c:pt>
                <c:pt idx="32">
                  <c:v>343.02327921316777</c:v>
                </c:pt>
                <c:pt idx="33">
                  <c:v>359.13699693842636</c:v>
                </c:pt>
                <c:pt idx="34">
                  <c:v>375.23490175863373</c:v>
                </c:pt>
                <c:pt idx="35">
                  <c:v>391.31776742377127</c:v>
                </c:pt>
                <c:pt idx="36">
                  <c:v>407.38629890446555</c:v>
                </c:pt>
                <c:pt idx="37">
                  <c:v>423.44114103397595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90" zoomScaleNormal="90" workbookViewId="0">
      <selection activeCell="F7" sqref="F7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13.45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0.09</v>
      </c>
      <c r="D9" s="36">
        <f t="shared" ref="D9:D18" si="0">C9*$C$5</f>
        <v>1.2104999999999999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36</v>
      </c>
      <c r="C10" s="35">
        <v>0.11</v>
      </c>
      <c r="D10" s="36">
        <f t="shared" si="0"/>
        <v>1.4795</v>
      </c>
      <c r="E10" s="37">
        <v>34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36</v>
      </c>
      <c r="C11" s="35">
        <v>0.8</v>
      </c>
      <c r="D11" s="36">
        <f t="shared" si="0"/>
        <v>10.76</v>
      </c>
      <c r="E11" s="37">
        <v>38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13.45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maritime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13</v>
      </c>
      <c r="B62" s="63">
        <v>101</v>
      </c>
      <c r="C62" s="63">
        <v>1</v>
      </c>
      <c r="D62" s="63">
        <v>28</v>
      </c>
      <c r="E62" s="54"/>
      <c r="F62" s="54"/>
      <c r="G62" s="54">
        <v>1</v>
      </c>
      <c r="H62" s="54"/>
      <c r="I62" s="56">
        <f>IFERROR(B62/A62,"")</f>
        <v>7.7692307692307692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18</v>
      </c>
      <c r="B63" s="63">
        <v>166</v>
      </c>
      <c r="C63" s="63">
        <v>2</v>
      </c>
      <c r="D63" s="63">
        <v>40</v>
      </c>
      <c r="E63" s="54">
        <v>0.25</v>
      </c>
      <c r="F63" s="54"/>
      <c r="G63" s="54">
        <v>0.75</v>
      </c>
      <c r="H63" s="54"/>
      <c r="I63" s="52">
        <f>IF(A63&lt;&gt;0,(B63-(B62-D62))/(A63-A62),"")</f>
        <v>18.600000000000001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23</v>
      </c>
      <c r="B64" s="63">
        <v>215</v>
      </c>
      <c r="C64" s="63">
        <v>3</v>
      </c>
      <c r="D64" s="63">
        <v>52</v>
      </c>
      <c r="E64" s="54">
        <v>0.5</v>
      </c>
      <c r="F64" s="54"/>
      <c r="G64" s="54">
        <v>0.5</v>
      </c>
      <c r="H64" s="54"/>
      <c r="I64" s="52">
        <f>IF(A64&lt;&gt;0,(B64-(B63-D63))/(A64-A63),"")</f>
        <v>17.8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269</v>
      </c>
      <c r="C65" s="63">
        <v>4</v>
      </c>
      <c r="D65" s="63">
        <v>0</v>
      </c>
      <c r="E65" s="54"/>
      <c r="F65" s="54"/>
      <c r="G65" s="54"/>
      <c r="H65" s="54"/>
      <c r="I65" s="52">
        <f>IF(A65&lt;&gt;0,(B65-(B64-D64))/(A65-A64),"")</f>
        <v>15.142857142857142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34</v>
      </c>
      <c r="B66" s="63">
        <v>325</v>
      </c>
      <c r="C66" s="63">
        <v>5</v>
      </c>
      <c r="D66" s="63">
        <v>325</v>
      </c>
      <c r="E66" s="54">
        <v>0.7</v>
      </c>
      <c r="F66" s="54"/>
      <c r="G66" s="54">
        <v>0.3</v>
      </c>
      <c r="H66" s="54"/>
      <c r="I66" s="52">
        <f t="shared" ref="I66:I81" si="2">IF(A66&lt;&gt;0,(B66-(B65-D65))/(A66-A65),"")</f>
        <v>14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Pin maritime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13</v>
      </c>
      <c r="B88" s="63">
        <v>75</v>
      </c>
      <c r="C88" s="63">
        <v>1</v>
      </c>
      <c r="D88" s="63">
        <v>15</v>
      </c>
      <c r="E88" s="54"/>
      <c r="F88" s="54"/>
      <c r="G88" s="54">
        <v>1</v>
      </c>
      <c r="H88" s="93"/>
      <c r="I88" s="56">
        <f>IFERROR(B88/A88,"")</f>
        <v>5.7692307692307692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19</v>
      </c>
      <c r="B89" s="63">
        <v>163</v>
      </c>
      <c r="C89" s="63">
        <v>2</v>
      </c>
      <c r="D89" s="63">
        <v>40</v>
      </c>
      <c r="E89" s="54">
        <v>0.3</v>
      </c>
      <c r="F89" s="54"/>
      <c r="G89" s="54">
        <v>0.7</v>
      </c>
      <c r="H89" s="93"/>
      <c r="I89" s="56">
        <f t="shared" ref="I89:I107" si="3">IF(A89&lt;&gt;0,(B89-(B88-D88))/(A89-A88),"")</f>
        <v>17.166666666666668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25</v>
      </c>
      <c r="B90" s="63">
        <v>222</v>
      </c>
      <c r="C90" s="63">
        <v>3</v>
      </c>
      <c r="D90" s="63">
        <v>54</v>
      </c>
      <c r="E90" s="93">
        <v>0.4</v>
      </c>
      <c r="F90" s="93">
        <v>0.2</v>
      </c>
      <c r="G90" s="93">
        <v>0.4</v>
      </c>
      <c r="H90" s="93"/>
      <c r="I90" s="56">
        <f t="shared" si="3"/>
        <v>16.5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30</v>
      </c>
      <c r="B91" s="63">
        <v>237</v>
      </c>
      <c r="C91" s="63">
        <v>4</v>
      </c>
      <c r="D91" s="63">
        <v>0</v>
      </c>
      <c r="E91" s="93"/>
      <c r="F91" s="93"/>
      <c r="G91" s="93"/>
      <c r="H91" s="93"/>
      <c r="I91" s="56">
        <f t="shared" si="3"/>
        <v>13.8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38</v>
      </c>
      <c r="B92" s="63">
        <v>338</v>
      </c>
      <c r="C92" s="63">
        <v>5</v>
      </c>
      <c r="D92" s="63">
        <v>338</v>
      </c>
      <c r="E92" s="93">
        <v>0.7</v>
      </c>
      <c r="F92" s="93"/>
      <c r="G92" s="93">
        <v>0.3</v>
      </c>
      <c r="H92" s="93"/>
      <c r="I92" s="56">
        <f t="shared" si="3"/>
        <v>12.625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Pin maritime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>Pin maritime</v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147.72913422715322</v>
      </c>
      <c r="T3" s="62">
        <f>IF('Données projet'!E9&gt;30,$R$33-$H$33,LOOKUP('Données projet'!$E$9,$A$3:$A$203,R3:R203)-LOOKUP('Données projet'!$E$9,$A$3:$A$203,$H$3:$H$203))</f>
        <v>361.07991692964799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293.33333333333331</v>
      </c>
      <c r="AN3" s="62">
        <f ca="1">AVERAGE(OFFSET($AM$3,0,0,'Données projet'!$E$10+1,1))-AVERAGE(OFFSET($H$3,0,0,'Données projet'!$E$10+1,1))</f>
        <v>151.58413719376074</v>
      </c>
      <c r="AO3" s="62">
        <f>IF('Données projet'!E10&gt;30,$AM$33-$H$33,LOOKUP('Données projet'!$E$10,$A$3:$A$203,AM3:AM203)-LOOKUP('Données projet'!$E$10,$A$3:$A$203,$H$3:$H$203))</f>
        <v>310.105543138185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293.33333333333331</v>
      </c>
      <c r="BI3" s="62">
        <f ca="1">AVERAGE(OFFSET($BH$3,0,0,'Données projet'!$E$11+1,1))-AVERAGE(OFFSET($H$3,0,0,'Données projet'!$E$11+1,1))</f>
        <v>157.98488572680344</v>
      </c>
      <c r="BJ3" s="62">
        <f>IF('Données projet'!E11&gt;30,$BH$33-$H$33,LOOKUP('Données projet'!$E$11,$A$3:$A$203,BH3:BH203)-LOOKUP('Données projet'!$E$11,$A$3:$A$203,$H$3:$H$203))</f>
        <v>269.20989374735825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147.72913422715322</v>
      </c>
      <c r="T4" s="62">
        <f>$T$3</f>
        <v>361.07991692964799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7.7692307692307692</v>
      </c>
      <c r="AI4" s="14">
        <f>IF('Données projet'!$A$62&gt;35,AI3+AH4-AQ3,IF(A4&lt;'Données projet'!$A$62,$AF$205^A4,IF(A4='Données projet'!$A$62,'Données projet'!$B$62,AI3+AH4-AQ3)))</f>
        <v>1.4261938757879591</v>
      </c>
      <c r="AJ4" s="14">
        <f>AI4*VLOOKUP('Données projet'!$B$10,Paramètres!$A$1:$I$89,3,0)*VLOOKUP('Données projet'!$B$10,Paramètres!$A$1:$I$89,5,0)</f>
        <v>0.85286393772119951</v>
      </c>
      <c r="AK4" s="14">
        <f>EXP(-1.0587+0.8836*LN(AJ4)+0.284)</f>
        <v>0.40038464441801103</v>
      </c>
      <c r="AL4" s="22">
        <f t="shared" ref="AL4:AL67" si="4">(AJ4+AK4)*0.475*44/12</f>
        <v>2.1827412805591249</v>
      </c>
      <c r="AM4" s="62">
        <f t="shared" ref="AM4:AM67" si="5">AL4+(AD4+AE4)*44/12</f>
        <v>295.51607461389244</v>
      </c>
      <c r="AN4" s="62">
        <f ca="1">AVERAGE(OFFSET($AM$3,0,0,'Données projet'!$E$10+1,1))-AVERAGE(OFFSET($H$3,0,0,'Données projet'!$E$10+1,1))</f>
        <v>151.58413719376074</v>
      </c>
      <c r="AO4" s="62">
        <f>$AO$3</f>
        <v>310.105543138185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5.7692307692307692</v>
      </c>
      <c r="BD4" s="13">
        <f>IF('Données projet'!$A$88&gt;35,BD3+BC4-BL3,IF(A4&lt;'Données projet'!$A$88,$BA$205^A4,IF(A4='Données projet'!$A$88,'Données projet'!$B$88,BD3+BC4-BL3)))</f>
        <v>1.3939124009120489</v>
      </c>
      <c r="BE4" s="14">
        <f>BD4*VLOOKUP('Données projet'!$B$11,Paramètres!$A$1:$I$89,3,0)*VLOOKUP('Données projet'!$B$11,Paramètres!$A$1:$I$89,5,0)</f>
        <v>0.83355961574540538</v>
      </c>
      <c r="BF4" s="14">
        <f>EXP(-1.0587+0.8836*LN(BE4)+0.284)</f>
        <v>0.39236630327500827</v>
      </c>
      <c r="BG4" s="22">
        <f t="shared" ref="BG4:BG67" si="7">(BE4+BF4)*0.475*44/12</f>
        <v>2.1351543089605536</v>
      </c>
      <c r="BH4" s="62">
        <f t="shared" ref="BH4:BH67" si="8">BG4+(AY4+AZ4)*44/12</f>
        <v>295.46848764229389</v>
      </c>
      <c r="BI4" s="62">
        <f ca="1">AVERAGE(OFFSET($BH$3,0,0,'Données projet'!$E$11+1,1))-AVERAGE(OFFSET($H$3,0,0,'Données projet'!$E$11+1,1))</f>
        <v>157.98488572680344</v>
      </c>
      <c r="BJ4" s="62">
        <f>$BJ$3</f>
        <v>269.20989374735825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147.72913422715322</v>
      </c>
      <c r="T5" s="62">
        <f t="shared" ref="T5:T68" si="34">$T$3</f>
        <v>361.07991692964799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7.7692307692307692</v>
      </c>
      <c r="AI5" s="14">
        <f>IF('Données projet'!$A$62&gt;35,AI4+AH5-AQ4,IF(A5&lt;'Données projet'!$A$62,$AF$205^A5,IF(A5='Données projet'!$A$62,'Données projet'!$B$62,AI4+AH5-AQ4)))</f>
        <v>2.0340289713350805</v>
      </c>
      <c r="AJ5" s="14">
        <f>AI5*VLOOKUP('Données projet'!$B$10,Paramètres!$A$1:$I$89,3,0)*VLOOKUP('Données projet'!$B$10,Paramètres!$A$1:$I$89,5,0)</f>
        <v>1.2163493248583781</v>
      </c>
      <c r="AK5" s="14">
        <f t="shared" ref="AK5:AK68" si="35">EXP(-1.0587+0.8836*LN(AJ5)+0.284)</f>
        <v>0.54791046443869817</v>
      </c>
      <c r="AL5" s="22">
        <f t="shared" si="4"/>
        <v>3.072752466359074</v>
      </c>
      <c r="AM5" s="62">
        <f t="shared" si="5"/>
        <v>296.40608579969239</v>
      </c>
      <c r="AN5" s="62">
        <f ca="1">AVERAGE(OFFSET($AM$3,0,0,'Données projet'!$E$10+1,1))-AVERAGE(OFFSET($H$3,0,0,'Données projet'!$E$10+1,1))</f>
        <v>151.58413719376074</v>
      </c>
      <c r="AO5" s="62">
        <f t="shared" ref="AO5:AO68" si="36">$AO$3</f>
        <v>310.105543138185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5.7692307692307692</v>
      </c>
      <c r="BD5" s="13">
        <f>IF('Données projet'!$A$88&gt;35,BD4+BC5-BL4,IF(A5&lt;'Données projet'!$A$88,$BA$205^A5,IF(A5='Données projet'!$A$88,'Données projet'!$B$88,BD4+BC5-BL4)))</f>
        <v>1.9429917814163926</v>
      </c>
      <c r="BE5" s="14">
        <f>BD5*VLOOKUP('Données projet'!$B$11,Paramètres!$A$1:$I$89,3,0)*VLOOKUP('Données projet'!$B$11,Paramètres!$A$1:$I$89,5,0)</f>
        <v>1.1619090852870029</v>
      </c>
      <c r="BF5" s="14">
        <f t="shared" ref="BF5:BF68" si="37">EXP(-1.0587+0.8836*LN(BE5)+0.284)</f>
        <v>0.52618464987689018</v>
      </c>
      <c r="BG5" s="22">
        <f t="shared" si="7"/>
        <v>2.9400965887437809</v>
      </c>
      <c r="BH5" s="62">
        <f t="shared" si="8"/>
        <v>296.27342992207707</v>
      </c>
      <c r="BI5" s="62">
        <f ca="1">AVERAGE(OFFSET($BH$3,0,0,'Données projet'!$E$11+1,1))-AVERAGE(OFFSET($H$3,0,0,'Données projet'!$E$11+1,1))</f>
        <v>157.98488572680344</v>
      </c>
      <c r="BJ5" s="62">
        <f t="shared" ref="BJ5:BJ68" si="38">$BJ$3</f>
        <v>269.20989374735825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147.72913422715322</v>
      </c>
      <c r="T6" s="62">
        <f t="shared" si="34"/>
        <v>361.07991692964799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7.7692307692307692</v>
      </c>
      <c r="AI6" s="14">
        <f>IF('Données projet'!$A$62&gt;35,AI5+AH6-AQ5,IF(A6&lt;'Données projet'!$A$62,$AF$205^A6,IF(A6='Données projet'!$A$62,'Données projet'!$B$62,AI5+AH6-AQ5)))</f>
        <v>2.9009196620933739</v>
      </c>
      <c r="AJ6" s="14">
        <f>AI6*VLOOKUP('Données projet'!$B$10,Paramètres!$A$1:$I$89,3,0)*VLOOKUP('Données projet'!$B$10,Paramètres!$A$1:$I$89,5,0)</f>
        <v>1.7347499579318377</v>
      </c>
      <c r="AK6" s="14">
        <f t="shared" si="35"/>
        <v>0.74979368271678282</v>
      </c>
      <c r="AL6" s="22">
        <f t="shared" si="4"/>
        <v>4.3272468407963478</v>
      </c>
      <c r="AM6" s="62">
        <f t="shared" si="5"/>
        <v>297.66058017412968</v>
      </c>
      <c r="AN6" s="62">
        <f ca="1">AVERAGE(OFFSET($AM$3,0,0,'Données projet'!$E$10+1,1))-AVERAGE(OFFSET($H$3,0,0,'Données projet'!$E$10+1,1))</f>
        <v>151.58413719376074</v>
      </c>
      <c r="AO6" s="62">
        <f t="shared" si="36"/>
        <v>310.105543138185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5.7692307692307692</v>
      </c>
      <c r="BD6" s="13">
        <f>IF('Données projet'!$A$88&gt;35,BD5+BC6-BL5,IF(A6&lt;'Données projet'!$A$88,$BA$205^A6,IF(A6='Données projet'!$A$88,'Données projet'!$B$88,BD5+BC6-BL5)))</f>
        <v>2.7083603389865027</v>
      </c>
      <c r="BE6" s="14">
        <f>BD6*VLOOKUP('Données projet'!$B$11,Paramètres!$A$1:$I$89,3,0)*VLOOKUP('Données projet'!$B$11,Paramètres!$A$1:$I$89,5,0)</f>
        <v>1.6195994827139286</v>
      </c>
      <c r="BF6" s="14">
        <f t="shared" si="37"/>
        <v>0.70564236392136903</v>
      </c>
      <c r="BG6" s="22">
        <f t="shared" si="7"/>
        <v>4.0497962162231431</v>
      </c>
      <c r="BH6" s="62">
        <f t="shared" si="8"/>
        <v>297.38312954955643</v>
      </c>
      <c r="BI6" s="62">
        <f ca="1">AVERAGE(OFFSET($BH$3,0,0,'Données projet'!$E$11+1,1))-AVERAGE(OFFSET($H$3,0,0,'Données projet'!$E$11+1,1))</f>
        <v>157.98488572680344</v>
      </c>
      <c r="BJ6" s="62">
        <f t="shared" si="38"/>
        <v>269.20989374735825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147.72913422715322</v>
      </c>
      <c r="T7" s="62">
        <f t="shared" si="34"/>
        <v>361.07991692964799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7.7692307692307692</v>
      </c>
      <c r="AI7" s="14">
        <f>IF('Données projet'!$A$62&gt;35,AI6+AH7-AQ6,IF(A7&lt;'Données projet'!$A$62,$AF$205^A7,IF(A7='Données projet'!$A$62,'Données projet'!$B$62,AI6+AH7-AQ6)))</f>
        <v>4.1372738562304461</v>
      </c>
      <c r="AJ7" s="14">
        <f>AI7*VLOOKUP('Données projet'!$B$10,Paramètres!$A$1:$I$89,3,0)*VLOOKUP('Données projet'!$B$10,Paramètres!$A$1:$I$89,5,0)</f>
        <v>2.474089766025807</v>
      </c>
      <c r="AK7" s="14">
        <f t="shared" si="35"/>
        <v>1.0260628389675426</v>
      </c>
      <c r="AL7" s="22">
        <f t="shared" si="4"/>
        <v>6.0960991203634167</v>
      </c>
      <c r="AM7" s="62">
        <f t="shared" si="5"/>
        <v>299.42943245369673</v>
      </c>
      <c r="AN7" s="62">
        <f ca="1">AVERAGE(OFFSET($AM$3,0,0,'Données projet'!$E$10+1,1))-AVERAGE(OFFSET($H$3,0,0,'Données projet'!$E$10+1,1))</f>
        <v>151.58413719376074</v>
      </c>
      <c r="AO7" s="62">
        <f t="shared" si="36"/>
        <v>310.105543138185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5.7692307692307692</v>
      </c>
      <c r="BD7" s="13">
        <f>IF('Données projet'!$A$88&gt;35,BD6+BC7-BL6,IF(A7&lt;'Données projet'!$A$88,$BA$205^A7,IF(A7='Données projet'!$A$88,'Données projet'!$B$88,BD6+BC7-BL6)))</f>
        <v>3.775217062651647</v>
      </c>
      <c r="BE7" s="14">
        <f>BD7*VLOOKUP('Données projet'!$B$11,Paramètres!$A$1:$I$89,3,0)*VLOOKUP('Données projet'!$B$11,Paramètres!$A$1:$I$89,5,0)</f>
        <v>2.2575798034656849</v>
      </c>
      <c r="BF7" s="14">
        <f t="shared" si="37"/>
        <v>0.94630496324253699</v>
      </c>
      <c r="BG7" s="22">
        <f t="shared" si="7"/>
        <v>5.5800993020168193</v>
      </c>
      <c r="BH7" s="62">
        <f t="shared" si="8"/>
        <v>298.91343263535015</v>
      </c>
      <c r="BI7" s="62">
        <f ca="1">AVERAGE(OFFSET($BH$3,0,0,'Données projet'!$E$11+1,1))-AVERAGE(OFFSET($H$3,0,0,'Données projet'!$E$11+1,1))</f>
        <v>157.98488572680344</v>
      </c>
      <c r="BJ7" s="62">
        <f t="shared" si="38"/>
        <v>269.20989374735825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147.72913422715322</v>
      </c>
      <c r="T8" s="62">
        <f t="shared" si="34"/>
        <v>361.07991692964799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7.7692307692307692</v>
      </c>
      <c r="AI8" s="14">
        <f>IF('Données projet'!$A$62&gt;35,AI7+AH8-AQ7,IF(A8&lt;'Données projet'!$A$62,$AF$205^A8,IF(A8='Données projet'!$A$62,'Données projet'!$B$62,AI7+AH8-AQ7)))</f>
        <v>5.9005546362134957</v>
      </c>
      <c r="AJ8" s="14">
        <f>AI8*VLOOKUP('Données projet'!$B$10,Paramètres!$A$1:$I$89,3,0)*VLOOKUP('Données projet'!$B$10,Paramètres!$A$1:$I$89,5,0)</f>
        <v>3.5285316724556708</v>
      </c>
      <c r="AK8" s="14">
        <f t="shared" si="35"/>
        <v>1.404126193348852</v>
      </c>
      <c r="AL8" s="22">
        <f t="shared" si="4"/>
        <v>8.5910457829428761</v>
      </c>
      <c r="AM8" s="62">
        <f t="shared" si="5"/>
        <v>301.92437911627621</v>
      </c>
      <c r="AN8" s="62">
        <f ca="1">AVERAGE(OFFSET($AM$3,0,0,'Données projet'!$E$10+1,1))-AVERAGE(OFFSET($H$3,0,0,'Données projet'!$E$10+1,1))</f>
        <v>151.58413719376074</v>
      </c>
      <c r="AO8" s="62">
        <f t="shared" si="36"/>
        <v>310.105543138185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5.7692307692307692</v>
      </c>
      <c r="BD8" s="13">
        <f>IF('Données projet'!$A$88&gt;35,BD7+BC8-BL7,IF(A8&lt;'Données projet'!$A$88,$BA$205^A8,IF(A8='Données projet'!$A$88,'Données projet'!$B$88,BD7+BC8-BL7)))</f>
        <v>5.2623218797648903</v>
      </c>
      <c r="BE8" s="14">
        <f>BD8*VLOOKUP('Données projet'!$B$11,Paramètres!$A$1:$I$89,3,0)*VLOOKUP('Données projet'!$B$11,Paramètres!$A$1:$I$89,5,0)</f>
        <v>3.1468684840994046</v>
      </c>
      <c r="BF8" s="14">
        <f t="shared" si="37"/>
        <v>1.2690466576879811</v>
      </c>
      <c r="BG8" s="22">
        <f t="shared" si="7"/>
        <v>7.6910522052796955</v>
      </c>
      <c r="BH8" s="62">
        <f t="shared" si="8"/>
        <v>301.02438553861299</v>
      </c>
      <c r="BI8" s="62">
        <f ca="1">AVERAGE(OFFSET($BH$3,0,0,'Données projet'!$E$11+1,1))-AVERAGE(OFFSET($H$3,0,0,'Données projet'!$E$11+1,1))</f>
        <v>157.98488572680344</v>
      </c>
      <c r="BJ8" s="62">
        <f t="shared" si="38"/>
        <v>269.20989374735825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147.72913422715322</v>
      </c>
      <c r="T9" s="62">
        <f t="shared" si="34"/>
        <v>361.07991692964799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7.7692307692307692</v>
      </c>
      <c r="AI9" s="14">
        <f>IF('Données projet'!$A$62&gt;35,AI8+AH9-AQ8,IF(A9&lt;'Données projet'!$A$62,$AF$205^A9,IF(A9='Données projet'!$A$62,'Données projet'!$B$62,AI8+AH9-AQ8)))</f>
        <v>8.4153348859199362</v>
      </c>
      <c r="AJ9" s="14">
        <f>AI9*VLOOKUP('Données projet'!$B$10,Paramètres!$A$1:$I$89,3,0)*VLOOKUP('Données projet'!$B$10,Paramètres!$A$1:$I$89,5,0)</f>
        <v>5.0323702617801223</v>
      </c>
      <c r="AK9" s="14">
        <f t="shared" si="35"/>
        <v>1.9214908599868947</v>
      </c>
      <c r="AL9" s="22">
        <f t="shared" si="4"/>
        <v>12.111308120410888</v>
      </c>
      <c r="AM9" s="62">
        <f t="shared" si="5"/>
        <v>305.44464145374423</v>
      </c>
      <c r="AN9" s="62">
        <f ca="1">AVERAGE(OFFSET($AM$3,0,0,'Données projet'!$E$10+1,1))-AVERAGE(OFFSET($H$3,0,0,'Données projet'!$E$10+1,1))</f>
        <v>151.58413719376074</v>
      </c>
      <c r="AO9" s="62">
        <f t="shared" si="36"/>
        <v>310.105543138185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5.7692307692307692</v>
      </c>
      <c r="BD9" s="13">
        <f>IF('Données projet'!$A$88&gt;35,BD8+BC9-BL8,IF(A9&lt;'Données projet'!$A$88,$BA$205^A9,IF(A9='Données projet'!$A$88,'Données projet'!$B$88,BD8+BC9-BL8)))</f>
        <v>7.3352157257950852</v>
      </c>
      <c r="BE9" s="14">
        <f>BD9*VLOOKUP('Données projet'!$B$11,Paramètres!$A$1:$I$89,3,0)*VLOOKUP('Données projet'!$B$11,Paramètres!$A$1:$I$89,5,0)</f>
        <v>4.3864590040254612</v>
      </c>
      <c r="BF9" s="14">
        <f t="shared" si="37"/>
        <v>1.7018609031391834</v>
      </c>
      <c r="BG9" s="22">
        <f t="shared" si="7"/>
        <v>10.603823838311754</v>
      </c>
      <c r="BH9" s="62">
        <f t="shared" si="8"/>
        <v>303.93715717164508</v>
      </c>
      <c r="BI9" s="62">
        <f ca="1">AVERAGE(OFFSET($BH$3,0,0,'Données projet'!$E$11+1,1))-AVERAGE(OFFSET($H$3,0,0,'Données projet'!$E$11+1,1))</f>
        <v>157.98488572680344</v>
      </c>
      <c r="BJ9" s="62">
        <f t="shared" si="38"/>
        <v>269.20989374735825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147.72913422715322</v>
      </c>
      <c r="T10" s="62">
        <f t="shared" si="34"/>
        <v>361.07991692964799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7.7692307692307692</v>
      </c>
      <c r="AI10" s="14">
        <f>IF('Données projet'!$A$62&gt;35,AI9+AH10-AQ9,IF(A10&lt;'Données projet'!$A$62,$AF$205^A10,IF(A10='Données projet'!$A$62,'Données projet'!$B$62,AI9+AH10-AQ9)))</f>
        <v>12.001899077003776</v>
      </c>
      <c r="AJ10" s="14">
        <f>AI10*VLOOKUP('Données projet'!$B$10,Paramètres!$A$1:$I$89,3,0)*VLOOKUP('Données projet'!$B$10,Paramètres!$A$1:$I$89,5,0)</f>
        <v>7.1771356480482584</v>
      </c>
      <c r="AK10" s="14">
        <f t="shared" si="35"/>
        <v>2.6294838330787229</v>
      </c>
      <c r="AL10" s="22">
        <f t="shared" si="4"/>
        <v>17.079862262962827</v>
      </c>
      <c r="AM10" s="62">
        <f t="shared" si="5"/>
        <v>310.41319559629613</v>
      </c>
      <c r="AN10" s="62">
        <f ca="1">AVERAGE(OFFSET($AM$3,0,0,'Données projet'!$E$10+1,1))-AVERAGE(OFFSET($H$3,0,0,'Données projet'!$E$10+1,1))</f>
        <v>151.58413719376074</v>
      </c>
      <c r="AO10" s="62">
        <f t="shared" si="36"/>
        <v>310.105543138185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5.7692307692307692</v>
      </c>
      <c r="BD10" s="13">
        <f>IF('Données projet'!$A$88&gt;35,BD9+BC10-BL9,IF(A10&lt;'Données projet'!$A$88,$BA$205^A10,IF(A10='Données projet'!$A$88,'Données projet'!$B$88,BD9+BC10-BL9)))</f>
        <v>10.224648163550844</v>
      </c>
      <c r="BE10" s="14">
        <f>BD10*VLOOKUP('Données projet'!$B$11,Paramètres!$A$1:$I$89,3,0)*VLOOKUP('Données projet'!$B$11,Paramètres!$A$1:$I$89,5,0)</f>
        <v>6.1143396018034055</v>
      </c>
      <c r="BF10" s="14">
        <f t="shared" si="37"/>
        <v>2.2822884533736612</v>
      </c>
      <c r="BG10" s="22">
        <f t="shared" si="7"/>
        <v>14.624127196100055</v>
      </c>
      <c r="BH10" s="62">
        <f t="shared" si="8"/>
        <v>307.95746052943338</v>
      </c>
      <c r="BI10" s="62">
        <f ca="1">AVERAGE(OFFSET($BH$3,0,0,'Données projet'!$E$11+1,1))-AVERAGE(OFFSET($H$3,0,0,'Données projet'!$E$11+1,1))</f>
        <v>157.98488572680344</v>
      </c>
      <c r="BJ10" s="62">
        <f t="shared" si="38"/>
        <v>269.20989374735825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147.72913422715322</v>
      </c>
      <c r="T11" s="62">
        <f t="shared" si="34"/>
        <v>361.07991692964799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7.7692307692307692</v>
      </c>
      <c r="AI11" s="14">
        <f>IF('Données projet'!$A$62&gt;35,AI10+AH11-AQ10,IF(A11&lt;'Données projet'!$A$62,$AF$205^A11,IF(A11='Données projet'!$A$62,'Données projet'!$B$62,AI10+AH11-AQ10)))</f>
        <v>17.117034961447946</v>
      </c>
      <c r="AJ11" s="14">
        <f>AI11*VLOOKUP('Données projet'!$B$10,Paramètres!$A$1:$I$89,3,0)*VLOOKUP('Données projet'!$B$10,Paramètres!$A$1:$I$89,5,0)</f>
        <v>10.235986906945872</v>
      </c>
      <c r="AK11" s="14">
        <f t="shared" si="35"/>
        <v>3.5983440631455994</v>
      </c>
      <c r="AL11" s="22">
        <f t="shared" si="4"/>
        <v>24.094793106242644</v>
      </c>
      <c r="AM11" s="62">
        <f t="shared" si="5"/>
        <v>317.42812643957598</v>
      </c>
      <c r="AN11" s="62">
        <f ca="1">AVERAGE(OFFSET($AM$3,0,0,'Données projet'!$E$10+1,1))-AVERAGE(OFFSET($H$3,0,0,'Données projet'!$E$10+1,1))</f>
        <v>151.58413719376074</v>
      </c>
      <c r="AO11" s="62">
        <f t="shared" si="36"/>
        <v>310.105543138185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5.7692307692307692</v>
      </c>
      <c r="BD11" s="13">
        <f>IF('Données projet'!$A$88&gt;35,BD10+BC11-BL10,IF(A11&lt;'Données projet'!$A$88,$BA$205^A11,IF(A11='Données projet'!$A$88,'Données projet'!$B$88,BD10+BC11-BL10)))</f>
        <v>14.252263870136129</v>
      </c>
      <c r="BE11" s="14">
        <f>BD11*VLOOKUP('Données projet'!$B$11,Paramètres!$A$1:$I$89,3,0)*VLOOKUP('Données projet'!$B$11,Paramètres!$A$1:$I$89,5,0)</f>
        <v>8.5228537943414064</v>
      </c>
      <c r="BF11" s="14">
        <f t="shared" si="37"/>
        <v>3.0606735102702713</v>
      </c>
      <c r="BG11" s="22">
        <f t="shared" si="7"/>
        <v>20.174643388865338</v>
      </c>
      <c r="BH11" s="62">
        <f t="shared" si="8"/>
        <v>313.50797672219863</v>
      </c>
      <c r="BI11" s="62">
        <f ca="1">AVERAGE(OFFSET($BH$3,0,0,'Données projet'!$E$11+1,1))-AVERAGE(OFFSET($H$3,0,0,'Données projet'!$E$11+1,1))</f>
        <v>157.98488572680344</v>
      </c>
      <c r="BJ11" s="62">
        <f t="shared" si="38"/>
        <v>269.20989374735825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147.72913422715322</v>
      </c>
      <c r="T12" s="62">
        <f t="shared" si="34"/>
        <v>361.07991692964799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7.7692307692307692</v>
      </c>
      <c r="AI12" s="14">
        <f>IF('Données projet'!$A$62&gt;35,AI11+AH12-AQ11,IF(A12&lt;'Données projet'!$A$62,$AF$205^A12,IF(A12='Données projet'!$A$62,'Données projet'!$B$62,AI11+AH12-AQ11)))</f>
        <v>24.412210433665443</v>
      </c>
      <c r="AJ12" s="14">
        <f>AI12*VLOOKUP('Données projet'!$B$10,Paramètres!$A$1:$I$89,3,0)*VLOOKUP('Données projet'!$B$10,Paramètres!$A$1:$I$89,5,0)</f>
        <v>14.598501839331936</v>
      </c>
      <c r="AK12" s="14">
        <f t="shared" si="35"/>
        <v>4.9241907608973428</v>
      </c>
      <c r="AL12" s="22">
        <f t="shared" si="4"/>
        <v>34.002022945399325</v>
      </c>
      <c r="AM12" s="62">
        <f t="shared" si="5"/>
        <v>327.33535627873266</v>
      </c>
      <c r="AN12" s="62">
        <f ca="1">AVERAGE(OFFSET($AM$3,0,0,'Données projet'!$E$10+1,1))-AVERAGE(OFFSET($H$3,0,0,'Données projet'!$E$10+1,1))</f>
        <v>151.58413719376074</v>
      </c>
      <c r="AO12" s="62">
        <f t="shared" si="36"/>
        <v>310.105543138185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5.7692307692307692</v>
      </c>
      <c r="BD12" s="13">
        <f>IF('Données projet'!$A$88&gt;35,BD11+BC12-BL11,IF(A12&lt;'Données projet'!$A$88,$BA$205^A12,IF(A12='Données projet'!$A$88,'Données projet'!$B$88,BD11+BC12-BL11)))</f>
        <v>19.866407349653503</v>
      </c>
      <c r="BE12" s="14">
        <f>BD12*VLOOKUP('Données projet'!$B$11,Paramètres!$A$1:$I$89,3,0)*VLOOKUP('Données projet'!$B$11,Paramètres!$A$1:$I$89,5,0)</f>
        <v>11.880111595092796</v>
      </c>
      <c r="BF12" s="14">
        <f t="shared" si="37"/>
        <v>4.1045303991363813</v>
      </c>
      <c r="BG12" s="22">
        <f t="shared" si="7"/>
        <v>27.839918139949148</v>
      </c>
      <c r="BH12" s="62">
        <f t="shared" si="8"/>
        <v>321.17325147328245</v>
      </c>
      <c r="BI12" s="62">
        <f ca="1">AVERAGE(OFFSET($BH$3,0,0,'Données projet'!$E$11+1,1))-AVERAGE(OFFSET($H$3,0,0,'Données projet'!$E$11+1,1))</f>
        <v>157.98488572680344</v>
      </c>
      <c r="BJ12" s="62">
        <f t="shared" si="38"/>
        <v>269.20989374735825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147.72913422715322</v>
      </c>
      <c r="T13" s="62">
        <f t="shared" si="34"/>
        <v>361.07991692964799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7.7692307692307692</v>
      </c>
      <c r="AI13" s="14">
        <f>IF('Données projet'!$A$62&gt;35,AI12+AH13-AQ12,IF(A13&lt;'Données projet'!$A$62,$AF$205^A13,IF(A13='Données projet'!$A$62,'Données projet'!$B$62,AI12+AH13-AQ12)))</f>
        <v>34.816545014940573</v>
      </c>
      <c r="AJ13" s="14">
        <f>AI13*VLOOKUP('Données projet'!$B$10,Paramètres!$A$1:$I$89,3,0)*VLOOKUP('Données projet'!$B$10,Paramètres!$A$1:$I$89,5,0)</f>
        <v>20.820293918934464</v>
      </c>
      <c r="AK13" s="14">
        <f t="shared" si="35"/>
        <v>6.7385592439734481</v>
      </c>
      <c r="AL13" s="22">
        <f t="shared" si="4"/>
        <v>47.998335925397946</v>
      </c>
      <c r="AM13" s="62">
        <f t="shared" si="5"/>
        <v>341.33166925873127</v>
      </c>
      <c r="AN13" s="62">
        <f ca="1">AVERAGE(OFFSET($AM$3,0,0,'Données projet'!$E$10+1,1))-AVERAGE(OFFSET($H$3,0,0,'Données projet'!$E$10+1,1))</f>
        <v>151.58413719376074</v>
      </c>
      <c r="AO13" s="62">
        <f t="shared" si="36"/>
        <v>310.105543138185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5.7692307692307692</v>
      </c>
      <c r="BD13" s="13">
        <f>IF('Données projet'!$A$88&gt;35,BD12+BC13-BL12,IF(A13&lt;'Données projet'!$A$88,$BA$205^A13,IF(A13='Données projet'!$A$88,'Données projet'!$B$88,BD12+BC13-BL12)))</f>
        <v>27.69203156625229</v>
      </c>
      <c r="BE13" s="14">
        <f>BD13*VLOOKUP('Données projet'!$B$11,Paramètres!$A$1:$I$89,3,0)*VLOOKUP('Données projet'!$B$11,Paramètres!$A$1:$I$89,5,0)</f>
        <v>16.559834876618869</v>
      </c>
      <c r="BF13" s="14">
        <f t="shared" si="37"/>
        <v>5.5043995188977117</v>
      </c>
      <c r="BG13" s="22">
        <f t="shared" si="7"/>
        <v>38.428541572191371</v>
      </c>
      <c r="BH13" s="62">
        <f t="shared" si="8"/>
        <v>331.76187490552468</v>
      </c>
      <c r="BI13" s="62">
        <f ca="1">AVERAGE(OFFSET($BH$3,0,0,'Données projet'!$E$11+1,1))-AVERAGE(OFFSET($H$3,0,0,'Données projet'!$E$11+1,1))</f>
        <v>157.98488572680344</v>
      </c>
      <c r="BJ13" s="62">
        <f t="shared" si="38"/>
        <v>269.20989374735825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147.72913422715322</v>
      </c>
      <c r="T14" s="62">
        <f t="shared" si="34"/>
        <v>361.07991692964799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7.7692307692307692</v>
      </c>
      <c r="AI14" s="14">
        <f>IF('Données projet'!$A$62&gt;35,AI13+AH14-AQ13,IF(A14&lt;'Données projet'!$A$62,$AF$205^A14,IF(A14='Données projet'!$A$62,'Données projet'!$B$62,AI13+AH14-AQ13)))</f>
        <v>49.65514327640404</v>
      </c>
      <c r="AJ14" s="14">
        <f>AI14*VLOOKUP('Données projet'!$B$10,Paramètres!$A$1:$I$89,3,0)*VLOOKUP('Données projet'!$B$10,Paramètres!$A$1:$I$89,5,0)</f>
        <v>29.693775679289619</v>
      </c>
      <c r="AK14" s="14">
        <f t="shared" si="35"/>
        <v>9.2214503640117265</v>
      </c>
      <c r="AL14" s="22">
        <f t="shared" si="4"/>
        <v>67.777352025416505</v>
      </c>
      <c r="AM14" s="62">
        <f t="shared" si="5"/>
        <v>361.11068535874983</v>
      </c>
      <c r="AN14" s="62">
        <f ca="1">AVERAGE(OFFSET($AM$3,0,0,'Données projet'!$E$10+1,1))-AVERAGE(OFFSET($H$3,0,0,'Données projet'!$E$10+1,1))</f>
        <v>151.58413719376074</v>
      </c>
      <c r="AO14" s="62">
        <f t="shared" si="36"/>
        <v>310.105543138185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5.7692307692307692</v>
      </c>
      <c r="BD14" s="13">
        <f>IF('Données projet'!$A$88&gt;35,BD13+BC14-BL13,IF(A14&lt;'Données projet'!$A$88,$BA$205^A14,IF(A14='Données projet'!$A$88,'Données projet'!$B$88,BD13+BC14-BL13)))</f>
        <v>38.600266206646971</v>
      </c>
      <c r="BE14" s="14">
        <f>BD14*VLOOKUP('Données projet'!$B$11,Paramètres!$A$1:$I$89,3,0)*VLOOKUP('Données projet'!$B$11,Paramètres!$A$1:$I$89,5,0)</f>
        <v>23.08295919157489</v>
      </c>
      <c r="BF14" s="14">
        <f t="shared" si="37"/>
        <v>7.3817004912465372</v>
      </c>
      <c r="BG14" s="22">
        <f t="shared" si="7"/>
        <v>53.059282280913983</v>
      </c>
      <c r="BH14" s="62">
        <f t="shared" si="8"/>
        <v>346.39261561424729</v>
      </c>
      <c r="BI14" s="62">
        <f ca="1">AVERAGE(OFFSET($BH$3,0,0,'Données projet'!$E$11+1,1))-AVERAGE(OFFSET($H$3,0,0,'Données projet'!$E$11+1,1))</f>
        <v>157.98488572680344</v>
      </c>
      <c r="BJ14" s="62">
        <f t="shared" si="38"/>
        <v>269.20989374735825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147.72913422715322</v>
      </c>
      <c r="T15" s="62">
        <f t="shared" si="34"/>
        <v>361.07991692964799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7.7692307692307692</v>
      </c>
      <c r="AI15" s="14">
        <f>IF('Données projet'!$A$62&gt;35,AI14+AH15-AQ14,IF(A15&lt;'Données projet'!$A$62,$AF$205^A15,IF(A15='Données projet'!$A$62,'Données projet'!$B$62,AI14+AH15-AQ14)))</f>
        <v>70.81786124218111</v>
      </c>
      <c r="AJ15" s="14">
        <f>AI15*VLOOKUP('Données projet'!$B$10,Paramètres!$A$1:$I$89,3,0)*VLOOKUP('Données projet'!$B$10,Paramètres!$A$1:$I$89,5,0)</f>
        <v>42.349081022824308</v>
      </c>
      <c r="AK15" s="14">
        <f t="shared" si="35"/>
        <v>12.61918812867636</v>
      </c>
      <c r="AL15" s="22">
        <f t="shared" si="4"/>
        <v>95.736402105530317</v>
      </c>
      <c r="AM15" s="62">
        <f t="shared" si="5"/>
        <v>389.06973543886363</v>
      </c>
      <c r="AN15" s="62">
        <f ca="1">AVERAGE(OFFSET($AM$3,0,0,'Données projet'!$E$10+1,1))-AVERAGE(OFFSET($H$3,0,0,'Données projet'!$E$10+1,1))</f>
        <v>151.58413719376074</v>
      </c>
      <c r="AO15" s="62">
        <f t="shared" si="36"/>
        <v>310.105543138185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5.7692307692307692</v>
      </c>
      <c r="BD15" s="13">
        <f>IF('Données projet'!$A$88&gt;35,BD14+BC15-BL14,IF(A15&lt;'Données projet'!$A$88,$BA$205^A15,IF(A15='Données projet'!$A$88,'Données projet'!$B$88,BD14+BC15-BL14)))</f>
        <v>53.805389743951515</v>
      </c>
      <c r="BE15" s="14">
        <f>BD15*VLOOKUP('Données projet'!$B$11,Paramètres!$A$1:$I$89,3,0)*VLOOKUP('Données projet'!$B$11,Paramètres!$A$1:$I$89,5,0)</f>
        <v>32.175623066883006</v>
      </c>
      <c r="BF15" s="14">
        <f t="shared" si="37"/>
        <v>9.8992636627112418</v>
      </c>
      <c r="BG15" s="22">
        <f t="shared" si="7"/>
        <v>73.28042772070998</v>
      </c>
      <c r="BH15" s="62">
        <f t="shared" si="8"/>
        <v>366.61376105404327</v>
      </c>
      <c r="BI15" s="62">
        <f ca="1">AVERAGE(OFFSET($BH$3,0,0,'Données projet'!$E$11+1,1))-AVERAGE(OFFSET($H$3,0,0,'Données projet'!$E$11+1,1))</f>
        <v>157.98488572680344</v>
      </c>
      <c r="BJ15" s="62">
        <f t="shared" si="38"/>
        <v>269.20989374735825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147.72913422715322</v>
      </c>
      <c r="T16" s="62">
        <f t="shared" si="34"/>
        <v>361.07991692964799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>
        <f>VLOOKUP(A16,'Données projet'!$A$61:$I$81,2,0)</f>
        <v>101</v>
      </c>
      <c r="AG16" s="13">
        <f>VLOOKUP(A16,'Données projet'!$A$61:$I$81,9,0)</f>
        <v>7.7692307692307692</v>
      </c>
      <c r="AH16" s="13">
        <f t="array" ref="AH16">INDEX(AG:AG,MIN(IF(ISNUMBER(AG16:AG212),ROW(AG16:AG212),"")))</f>
        <v>7.7692307692307692</v>
      </c>
      <c r="AI16" s="14">
        <f>IF('Données projet'!$A$62&gt;35,AI15+AH16-AQ15,IF(A16&lt;'Données projet'!$A$62,$AF$205^A16,IF(A16='Données projet'!$A$62,'Données projet'!$B$62,AI15+AH16-AQ15)))</f>
        <v>101</v>
      </c>
      <c r="AJ16" s="14">
        <f>AI16*VLOOKUP('Données projet'!$B$10,Paramètres!$A$1:$I$89,3,0)*VLOOKUP('Données projet'!$B$10,Paramètres!$A$1:$I$89,5,0)</f>
        <v>60.398000000000003</v>
      </c>
      <c r="AK16" s="14">
        <f t="shared" si="35"/>
        <v>17.26885714728807</v>
      </c>
      <c r="AL16" s="22">
        <f t="shared" si="4"/>
        <v>135.26977619819337</v>
      </c>
      <c r="AM16" s="62">
        <f t="shared" si="5"/>
        <v>428.60310953152668</v>
      </c>
      <c r="AN16" s="62">
        <f ca="1">AVERAGE(OFFSET($AM$3,0,0,'Données projet'!$E$10+1,1))-AVERAGE(OFFSET($H$3,0,0,'Données projet'!$E$10+1,1))</f>
        <v>151.58413719376074</v>
      </c>
      <c r="AO16" s="62">
        <f t="shared" si="36"/>
        <v>310.105543138185</v>
      </c>
      <c r="AP16" s="16">
        <f>IF(ISNA(VLOOKUP(A16,'Données projet'!$A$61:$I$81,3,0)),0,VLOOKUP(A16,'Données projet'!$A$61:$I$81,3,0))</f>
        <v>1</v>
      </c>
      <c r="AQ16" s="16">
        <f>IF(ISNA(VLOOKUP(A16,'Données projet'!$A$61:$I$81,4,0)),0,VLOOKUP(A16,'Données projet'!$A$61:$I$81,4,0))</f>
        <v>28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1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18.958097589783147</v>
      </c>
      <c r="AX16" s="23">
        <f t="shared" si="6"/>
        <v>18.958097589783147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>
        <f>VLOOKUP(A16,'Données projet'!$A$87:$I$107,2,0)</f>
        <v>75</v>
      </c>
      <c r="BB16" s="13">
        <f>VLOOKUP(A16,'Données projet'!$A$87:$I$107,9,0)</f>
        <v>5.7692307692307692</v>
      </c>
      <c r="BC16" s="13">
        <f t="array" ref="BC16">INDEX(BB:BB,MIN(IF(ISNUMBER(BB16:BB212),ROW(BB16:BB212),"")))</f>
        <v>5.7692307692307692</v>
      </c>
      <c r="BD16" s="13">
        <f>IF('Données projet'!$A$88&gt;35,BD15+BC16-BL15,IF(A16&lt;'Données projet'!$A$88,$BA$205^A16,IF(A16='Données projet'!$A$88,'Données projet'!$B$88,BD15+BC16-BL15)))</f>
        <v>75</v>
      </c>
      <c r="BE16" s="14">
        <f>BD16*VLOOKUP('Données projet'!$B$11,Paramètres!$A$1:$I$89,3,0)*VLOOKUP('Données projet'!$B$11,Paramètres!$A$1:$I$89,5,0)</f>
        <v>44.85</v>
      </c>
      <c r="BF16" s="14">
        <f t="shared" si="37"/>
        <v>13.275453424327006</v>
      </c>
      <c r="BG16" s="22">
        <f t="shared" si="7"/>
        <v>101.2351647140362</v>
      </c>
      <c r="BH16" s="62">
        <f t="shared" si="8"/>
        <v>394.56849804736953</v>
      </c>
      <c r="BI16" s="62">
        <f ca="1">AVERAGE(OFFSET($BH$3,0,0,'Données projet'!$E$11+1,1))-AVERAGE(OFFSET($H$3,0,0,'Données projet'!$E$11+1,1))</f>
        <v>157.98488572680344</v>
      </c>
      <c r="BJ16" s="62">
        <f t="shared" si="38"/>
        <v>269.20989374735825</v>
      </c>
      <c r="BK16" s="16">
        <f>IF(ISNA(VLOOKUP(A16,'Données projet'!$A$87:$I$107,3,0)),0,VLOOKUP(A16,'Données projet'!$A$87:$I$107,3,0))</f>
        <v>1</v>
      </c>
      <c r="BL16" s="16">
        <f>IF(ISNA(VLOOKUP(A16,'Données projet'!$A$87:$I$107,4,0)),0,VLOOKUP(A16,'Données projet'!$A$87:$I$107,4,0))</f>
        <v>15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1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10.1561237088124</v>
      </c>
      <c r="BS16" s="24">
        <f t="shared" si="9"/>
        <v>10.1561237088124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147.72913422715322</v>
      </c>
      <c r="T17" s="62">
        <f t="shared" si="34"/>
        <v>361.07991692964799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18.600000000000001</v>
      </c>
      <c r="AI17" s="14">
        <f>IF('Données projet'!$A$62&gt;35,AI16+AH17-AQ16,IF(A17&lt;'Données projet'!$A$62,$AF$205^A17,IF(A17='Données projet'!$A$62,'Données projet'!$B$62,AI16+AH17-AQ16)))</f>
        <v>91.6</v>
      </c>
      <c r="AJ17" s="14">
        <f>AI17*VLOOKUP('Données projet'!$B$10,Paramètres!$A$1:$I$89,3,0)*VLOOKUP('Données projet'!$B$10,Paramètres!$A$1:$I$89,5,0)</f>
        <v>54.776799999999994</v>
      </c>
      <c r="AK17" s="14">
        <f t="shared" si="35"/>
        <v>15.840762095818524</v>
      </c>
      <c r="AL17" s="22">
        <f t="shared" si="4"/>
        <v>122.99225398355058</v>
      </c>
      <c r="AM17" s="62">
        <f t="shared" si="5"/>
        <v>416.32558731688391</v>
      </c>
      <c r="AN17" s="62">
        <f ca="1">AVERAGE(OFFSET($AM$3,0,0,'Données projet'!$E$10+1,1))-AVERAGE(OFFSET($H$3,0,0,'Données projet'!$E$10+1,1))</f>
        <v>151.58413719376074</v>
      </c>
      <c r="AO17" s="62">
        <f t="shared" si="36"/>
        <v>310.105543138185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13.405399364132007</v>
      </c>
      <c r="AX17" s="23">
        <f t="shared" si="6"/>
        <v>13.405399364132007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17.166666666666668</v>
      </c>
      <c r="BD17" s="13">
        <f>IF('Données projet'!$A$88&gt;35,BD16+BC17-BL16,IF(A17&lt;'Données projet'!$A$88,$BA$205^A17,IF(A17='Données projet'!$A$88,'Données projet'!$B$88,BD16+BC17-BL16)))</f>
        <v>77.166666666666671</v>
      </c>
      <c r="BE17" s="14">
        <f>BD17*VLOOKUP('Données projet'!$B$11,Paramètres!$A$1:$I$89,3,0)*VLOOKUP('Données projet'!$B$11,Paramètres!$A$1:$I$89,5,0)</f>
        <v>46.145666666666671</v>
      </c>
      <c r="BF17" s="14">
        <f t="shared" si="37"/>
        <v>13.613761874667908</v>
      </c>
      <c r="BG17" s="22">
        <f t="shared" si="7"/>
        <v>104.08100470949104</v>
      </c>
      <c r="BH17" s="62">
        <f t="shared" si="8"/>
        <v>397.41433804282434</v>
      </c>
      <c r="BI17" s="62">
        <f ca="1">AVERAGE(OFFSET($BH$3,0,0,'Données projet'!$E$11+1,1))-AVERAGE(OFFSET($H$3,0,0,'Données projet'!$E$11+1,1))</f>
        <v>157.98488572680344</v>
      </c>
      <c r="BJ17" s="62">
        <f t="shared" si="38"/>
        <v>269.20989374735825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7.1814639450707176</v>
      </c>
      <c r="BS17" s="24">
        <f t="shared" si="9"/>
        <v>7.1814639450707176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147.72913422715322</v>
      </c>
      <c r="T18" s="62">
        <f t="shared" si="34"/>
        <v>361.07991692964799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18.600000000000001</v>
      </c>
      <c r="AI18" s="14">
        <f>IF('Données projet'!$A$62&gt;35,AI17+AH18-AQ17,IF(A18&lt;'Données projet'!$A$62,$AF$205^A18,IF(A18='Données projet'!$A$62,'Données projet'!$B$62,AI17+AH18-AQ17)))</f>
        <v>110.19999999999999</v>
      </c>
      <c r="AJ18" s="14">
        <f>AI18*VLOOKUP('Données projet'!$B$10,Paramètres!$A$1:$I$89,3,0)*VLOOKUP('Données projet'!$B$10,Paramètres!$A$1:$I$89,5,0)</f>
        <v>65.899600000000007</v>
      </c>
      <c r="AK18" s="14">
        <f t="shared" si="35"/>
        <v>18.651634138580526</v>
      </c>
      <c r="AL18" s="22">
        <f t="shared" si="4"/>
        <v>147.26006612469442</v>
      </c>
      <c r="AM18" s="62">
        <f t="shared" si="5"/>
        <v>440.59339945802776</v>
      </c>
      <c r="AN18" s="62">
        <f ca="1">AVERAGE(OFFSET($AM$3,0,0,'Données projet'!$E$10+1,1))-AVERAGE(OFFSET($H$3,0,0,'Données projet'!$E$10+1,1))</f>
        <v>151.58413719376074</v>
      </c>
      <c r="AO18" s="62">
        <f t="shared" si="36"/>
        <v>310.105543138185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9.4790487948915754</v>
      </c>
      <c r="AX18" s="23">
        <f t="shared" si="6"/>
        <v>9.4790487948915754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17.166666666666668</v>
      </c>
      <c r="BD18" s="13">
        <f>IF('Données projet'!$A$88&gt;35,BD17+BC18-BL17,IF(A18&lt;'Données projet'!$A$88,$BA$205^A18,IF(A18='Données projet'!$A$88,'Données projet'!$B$88,BD17+BC18-BL17)))</f>
        <v>94.333333333333343</v>
      </c>
      <c r="BE18" s="14">
        <f>BD18*VLOOKUP('Données projet'!$B$11,Paramètres!$A$1:$I$89,3,0)*VLOOKUP('Données projet'!$B$11,Paramètres!$A$1:$I$89,5,0)</f>
        <v>56.411333333333339</v>
      </c>
      <c r="BF18" s="14">
        <f t="shared" si="37"/>
        <v>16.257710461388346</v>
      </c>
      <c r="BG18" s="22">
        <f t="shared" si="7"/>
        <v>126.56525127580693</v>
      </c>
      <c r="BH18" s="62">
        <f t="shared" si="8"/>
        <v>419.89858460914024</v>
      </c>
      <c r="BI18" s="62">
        <f ca="1">AVERAGE(OFFSET($BH$3,0,0,'Données projet'!$E$11+1,1))-AVERAGE(OFFSET($H$3,0,0,'Données projet'!$E$11+1,1))</f>
        <v>157.98488572680344</v>
      </c>
      <c r="BJ18" s="62">
        <f t="shared" si="38"/>
        <v>269.20989374735825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5.0780618544062008</v>
      </c>
      <c r="BS18" s="24">
        <f t="shared" si="9"/>
        <v>5.0780618544062008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147.72913422715322</v>
      </c>
      <c r="T19" s="62">
        <f t="shared" si="34"/>
        <v>361.07991692964799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18.600000000000001</v>
      </c>
      <c r="AI19" s="14">
        <f>IF('Données projet'!$A$62&gt;35,AI18+AH19-AQ18,IF(A19&lt;'Données projet'!$A$62,$AF$205^A19,IF(A19='Données projet'!$A$62,'Données projet'!$B$62,AI18+AH19-AQ18)))</f>
        <v>128.79999999999998</v>
      </c>
      <c r="AJ19" s="14">
        <f>AI19*VLOOKUP('Données projet'!$B$10,Paramètres!$A$1:$I$89,3,0)*VLOOKUP('Données projet'!$B$10,Paramètres!$A$1:$I$89,5,0)</f>
        <v>77.022400000000005</v>
      </c>
      <c r="AK19" s="14">
        <f t="shared" si="35"/>
        <v>21.407546084466961</v>
      </c>
      <c r="AL19" s="22">
        <f t="shared" si="4"/>
        <v>171.43215609711328</v>
      </c>
      <c r="AM19" s="62">
        <f t="shared" si="5"/>
        <v>464.76548943044656</v>
      </c>
      <c r="AN19" s="62">
        <f ca="1">AVERAGE(OFFSET($AM$3,0,0,'Données projet'!$E$10+1,1))-AVERAGE(OFFSET($H$3,0,0,'Données projet'!$E$10+1,1))</f>
        <v>151.58413719376074</v>
      </c>
      <c r="AO19" s="62">
        <f t="shared" si="36"/>
        <v>310.105543138185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6.7026996820660045</v>
      </c>
      <c r="AX19" s="23">
        <f t="shared" si="6"/>
        <v>6.7026996820660045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17.166666666666668</v>
      </c>
      <c r="BD19" s="13">
        <f>IF('Données projet'!$A$88&gt;35,BD18+BC19-BL18,IF(A19&lt;'Données projet'!$A$88,$BA$205^A19,IF(A19='Données projet'!$A$88,'Données projet'!$B$88,BD18+BC19-BL18)))</f>
        <v>111.50000000000001</v>
      </c>
      <c r="BE19" s="14">
        <f>BD19*VLOOKUP('Données projet'!$B$11,Paramètres!$A$1:$I$89,3,0)*VLOOKUP('Données projet'!$B$11,Paramètres!$A$1:$I$89,5,0)</f>
        <v>66.677000000000007</v>
      </c>
      <c r="BF19" s="14">
        <f t="shared" si="37"/>
        <v>18.845918291779732</v>
      </c>
      <c r="BG19" s="22">
        <f t="shared" si="7"/>
        <v>148.95241602484973</v>
      </c>
      <c r="BH19" s="62">
        <f t="shared" si="8"/>
        <v>442.28574935818301</v>
      </c>
      <c r="BI19" s="62">
        <f ca="1">AVERAGE(OFFSET($BH$3,0,0,'Données projet'!$E$11+1,1))-AVERAGE(OFFSET($H$3,0,0,'Données projet'!$E$11+1,1))</f>
        <v>157.98488572680344</v>
      </c>
      <c r="BJ19" s="62">
        <f t="shared" si="38"/>
        <v>269.20989374735825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3.5907319725353593</v>
      </c>
      <c r="BS19" s="24">
        <f t="shared" si="9"/>
        <v>3.5907319725353593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147.72913422715322</v>
      </c>
      <c r="T20" s="62">
        <f t="shared" si="34"/>
        <v>361.07991692964799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18.600000000000001</v>
      </c>
      <c r="AI20" s="14">
        <f>IF('Données projet'!$A$62&gt;35,AI19+AH20-AQ19,IF(A20&lt;'Données projet'!$A$62,$AF$205^A20,IF(A20='Données projet'!$A$62,'Données projet'!$B$62,AI19+AH20-AQ19)))</f>
        <v>147.39999999999998</v>
      </c>
      <c r="AJ20" s="14">
        <f>AI20*VLOOKUP('Données projet'!$B$10,Paramètres!$A$1:$I$89,3,0)*VLOOKUP('Données projet'!$B$10,Paramètres!$A$1:$I$89,5,0)</f>
        <v>88.145199999999988</v>
      </c>
      <c r="AK20" s="14">
        <f t="shared" si="35"/>
        <v>24.117351189004136</v>
      </c>
      <c r="AL20" s="22">
        <f t="shared" si="4"/>
        <v>195.52394332084884</v>
      </c>
      <c r="AM20" s="62">
        <f t="shared" si="5"/>
        <v>488.85727665418216</v>
      </c>
      <c r="AN20" s="62">
        <f ca="1">AVERAGE(OFFSET($AM$3,0,0,'Données projet'!$E$10+1,1))-AVERAGE(OFFSET($H$3,0,0,'Données projet'!$E$10+1,1))</f>
        <v>151.58413719376074</v>
      </c>
      <c r="AO20" s="62">
        <f t="shared" si="36"/>
        <v>310.105543138185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4.7395243974457886</v>
      </c>
      <c r="AX20" s="23">
        <f t="shared" si="6"/>
        <v>4.7395243974457886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17.166666666666668</v>
      </c>
      <c r="BD20" s="13">
        <f>IF('Données projet'!$A$88&gt;35,BD19+BC20-BL19,IF(A20&lt;'Données projet'!$A$88,$BA$205^A20,IF(A20='Données projet'!$A$88,'Données projet'!$B$88,BD19+BC20-BL19)))</f>
        <v>128.66666666666669</v>
      </c>
      <c r="BE20" s="14">
        <f>BD20*VLOOKUP('Données projet'!$B$11,Paramètres!$A$1:$I$89,3,0)*VLOOKUP('Données projet'!$B$11,Paramètres!$A$1:$I$89,5,0)</f>
        <v>76.942666666666682</v>
      </c>
      <c r="BF20" s="14">
        <f t="shared" si="37"/>
        <v>21.387963426287346</v>
      </c>
      <c r="BG20" s="22">
        <f t="shared" si="7"/>
        <v>171.25918074522826</v>
      </c>
      <c r="BH20" s="62">
        <f t="shared" si="8"/>
        <v>464.59251407856158</v>
      </c>
      <c r="BI20" s="62">
        <f ca="1">AVERAGE(OFFSET($BH$3,0,0,'Données projet'!$E$11+1,1))-AVERAGE(OFFSET($H$3,0,0,'Données projet'!$E$11+1,1))</f>
        <v>157.98488572680344</v>
      </c>
      <c r="BJ20" s="62">
        <f t="shared" si="38"/>
        <v>269.20989374735825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2.5390309272031004</v>
      </c>
      <c r="BS20" s="24">
        <f t="shared" si="9"/>
        <v>2.5390309272031004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147.72913422715322</v>
      </c>
      <c r="T21" s="62">
        <f t="shared" si="34"/>
        <v>361.07991692964799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>
        <f>VLOOKUP(A21,'Données projet'!$A$61:$I$81,2,0)</f>
        <v>166</v>
      </c>
      <c r="AG21" s="13">
        <f>VLOOKUP(A21,'Données projet'!$A$61:$I$81,9,0)</f>
        <v>18.600000000000001</v>
      </c>
      <c r="AH21" s="13">
        <f t="array" ref="AH21">INDEX(AG:AG,MIN(IF(ISNUMBER(AG21:AG217),ROW(AG21:AG217),"")))</f>
        <v>18.600000000000001</v>
      </c>
      <c r="AI21" s="14">
        <f>IF('Données projet'!$A$62&gt;35,AI20+AH21-AQ20,IF(A21&lt;'Données projet'!$A$62,$AF$205^A21,IF(A21='Données projet'!$A$62,'Données projet'!$B$62,AI20+AH21-AQ20)))</f>
        <v>165.99999999999997</v>
      </c>
      <c r="AJ21" s="14">
        <f>AI21*VLOOKUP('Données projet'!$B$10,Paramètres!$A$1:$I$89,3,0)*VLOOKUP('Données projet'!$B$10,Paramètres!$A$1:$I$89,5,0)</f>
        <v>99.267999999999986</v>
      </c>
      <c r="AK21" s="14">
        <f t="shared" si="35"/>
        <v>26.78753414535981</v>
      </c>
      <c r="AL21" s="22">
        <f t="shared" si="4"/>
        <v>219.54672196983498</v>
      </c>
      <c r="AM21" s="62">
        <f t="shared" si="5"/>
        <v>512.88005530316832</v>
      </c>
      <c r="AN21" s="62">
        <f ca="1">AVERAGE(OFFSET($AM$3,0,0,'Données projet'!$E$10+1,1))-AVERAGE(OFFSET($H$3,0,0,'Données projet'!$E$10+1,1))</f>
        <v>151.58413719376074</v>
      </c>
      <c r="AO21" s="62">
        <f t="shared" si="36"/>
        <v>310.105543138185</v>
      </c>
      <c r="AP21" s="16">
        <f>IF(ISNA(VLOOKUP(A21,'Données projet'!$A$61:$I$81,3,0)),0,VLOOKUP(A21,'Données projet'!$A$61:$I$81,3,0))</f>
        <v>2</v>
      </c>
      <c r="AQ21" s="16">
        <f>IF(ISNA(VLOOKUP(A21,'Données projet'!$A$61:$I$81,4,0)),0,VLOOKUP(A21,'Données projet'!$A$61:$I$81,4,0))</f>
        <v>40</v>
      </c>
      <c r="AR21" s="17">
        <f>IF(ISNA(VLOOKUP(A21,'Données projet'!$A$61:$I$81,5,0)),0%,VLOOKUP(A21,'Données projet'!$A$61:$I$81,5,0)*VLOOKUP('Données projet'!$B$10,Paramètres!$A$1:$I$89,7,0))</f>
        <v>0.1125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0.75</v>
      </c>
      <c r="AU21" s="23">
        <f>EXP(-LN(2)/35)*AU20+(1-EXP(-LN(2)/35))/(LN(2)/35)*AQ21*AR21*VLOOKUP('Données projet'!$B$10,Paramètres!$A$1:$I$89,3,0)*0.475*44/12</f>
        <v>3.5697849495878025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23.663597258657802</v>
      </c>
      <c r="AX21" s="23">
        <f t="shared" si="6"/>
        <v>27.233382208245605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17.166666666666668</v>
      </c>
      <c r="BD21" s="13">
        <f>IF('Données projet'!$A$88&gt;35,BD20+BC21-BL20,IF(A21&lt;'Données projet'!$A$88,$BA$205^A21,IF(A21='Données projet'!$A$88,'Données projet'!$B$88,BD20+BC21-BL20)))</f>
        <v>145.83333333333334</v>
      </c>
      <c r="BE21" s="14">
        <f>BD21*VLOOKUP('Données projet'!$B$11,Paramètres!$A$1:$I$89,3,0)*VLOOKUP('Données projet'!$B$11,Paramètres!$A$1:$I$89,5,0)</f>
        <v>87.208333333333343</v>
      </c>
      <c r="BF21" s="14">
        <f t="shared" si="37"/>
        <v>23.890712489742075</v>
      </c>
      <c r="BG21" s="22">
        <f t="shared" si="7"/>
        <v>193.49750480852299</v>
      </c>
      <c r="BH21" s="62">
        <f t="shared" si="8"/>
        <v>486.8308381418563</v>
      </c>
      <c r="BI21" s="62">
        <f ca="1">AVERAGE(OFFSET($BH$3,0,0,'Données projet'!$E$11+1,1))-AVERAGE(OFFSET($H$3,0,0,'Données projet'!$E$11+1,1))</f>
        <v>157.98488572680344</v>
      </c>
      <c r="BJ21" s="62">
        <f t="shared" si="38"/>
        <v>269.20989374735825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1.7953659862676796</v>
      </c>
      <c r="BS21" s="24">
        <f t="shared" si="9"/>
        <v>1.7953659862676796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147.72913422715322</v>
      </c>
      <c r="T22" s="62">
        <f t="shared" si="34"/>
        <v>361.07991692964799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17.8</v>
      </c>
      <c r="AI22" s="14">
        <f>IF('Données projet'!$A$62&gt;35,AI21+AH22-AQ21,IF(A22&lt;'Données projet'!$A$62,$AF$205^A22,IF(A22='Données projet'!$A$62,'Données projet'!$B$62,AI21+AH22-AQ21)))</f>
        <v>143.79999999999998</v>
      </c>
      <c r="AJ22" s="14">
        <f>AI22*VLOOKUP('Données projet'!$B$10,Paramètres!$A$1:$I$89,3,0)*VLOOKUP('Données projet'!$B$10,Paramètres!$A$1:$I$89,5,0)</f>
        <v>85.992400000000004</v>
      </c>
      <c r="AK22" s="14">
        <f t="shared" si="35"/>
        <v>23.596141005324462</v>
      </c>
      <c r="AL22" s="22">
        <f t="shared" si="4"/>
        <v>190.86670891760676</v>
      </c>
      <c r="AM22" s="62">
        <f t="shared" si="5"/>
        <v>484.2000422509401</v>
      </c>
      <c r="AN22" s="62">
        <f ca="1">AVERAGE(OFFSET($AM$3,0,0,'Données projet'!$E$10+1,1))-AVERAGE(OFFSET($H$3,0,0,'Données projet'!$E$10+1,1))</f>
        <v>151.58413719376074</v>
      </c>
      <c r="AO22" s="62">
        <f t="shared" si="36"/>
        <v>310.105543138185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3.499783644080209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16.732690088864331</v>
      </c>
      <c r="AX22" s="23">
        <f t="shared" si="6"/>
        <v>20.232473732944541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>
        <f>VLOOKUP(A22,'Données projet'!$A$87:$I$107,2,0)</f>
        <v>163</v>
      </c>
      <c r="BB22" s="13">
        <f>VLOOKUP(A22,'Données projet'!$A$87:$I$107,9,0)</f>
        <v>17.166666666666668</v>
      </c>
      <c r="BC22" s="13">
        <f t="array" ref="BC22">INDEX(BB:BB,MIN(IF(ISNUMBER(BB22:BB218),ROW(BB22:BB218),"")))</f>
        <v>17.166666666666668</v>
      </c>
      <c r="BD22" s="13">
        <f>IF('Données projet'!$A$88&gt;35,BD21+BC22-BL21,IF(A22&lt;'Données projet'!$A$88,$BA$205^A22,IF(A22='Données projet'!$A$88,'Données projet'!$B$88,BD21+BC22-BL21)))</f>
        <v>163</v>
      </c>
      <c r="BE22" s="14">
        <f>BD22*VLOOKUP('Données projet'!$B$11,Paramètres!$A$1:$I$89,3,0)*VLOOKUP('Données projet'!$B$11,Paramètres!$A$1:$I$89,5,0)</f>
        <v>97.474000000000004</v>
      </c>
      <c r="BF22" s="14">
        <f t="shared" si="37"/>
        <v>26.359319748929014</v>
      </c>
      <c r="BG22" s="22">
        <f t="shared" si="7"/>
        <v>215.67636522938469</v>
      </c>
      <c r="BH22" s="62">
        <f t="shared" si="8"/>
        <v>509.00969856271797</v>
      </c>
      <c r="BI22" s="62">
        <f ca="1">AVERAGE(OFFSET($BH$3,0,0,'Données projet'!$E$11+1,1))-AVERAGE(OFFSET($H$3,0,0,'Données projet'!$E$11+1,1))</f>
        <v>157.98488572680344</v>
      </c>
      <c r="BJ22" s="62">
        <f t="shared" si="38"/>
        <v>269.20989374735825</v>
      </c>
      <c r="BK22" s="16">
        <f>IF(ISNA(VLOOKUP(A22,'Données projet'!$A$87:$I$107,3,0)),0,VLOOKUP(A22,'Données projet'!$A$87:$I$107,3,0))</f>
        <v>2</v>
      </c>
      <c r="BL22" s="16">
        <f>IF(ISNA(VLOOKUP(A22,'Données projet'!$A$87:$I$107,4,0)),0,VLOOKUP(A22,'Données projet'!$A$87:$I$107,4,0))</f>
        <v>40</v>
      </c>
      <c r="BM22" s="17">
        <f>IF(ISNA(VLOOKUP(A22,'Données projet'!$A$87:$I$107,5,0)),0%,VLOOKUP(A22,'Données projet'!$A$87:$I$107,5,0)*VLOOKUP('Données projet'!$B$11,Paramètres!$A$1:$I$89,7,0))</f>
        <v>0.13500000000000001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0.7</v>
      </c>
      <c r="BP22" s="23">
        <f>EXP(-LN(2)/35)*BP21+(1-EXP(-LN(2)/35))/(LN(2)/35)*BL22*BM22*VLOOKUP('Données projet'!$B$11,Paramètres!$A$1:$I$89,3,0)*0.475*44/12</f>
        <v>4.2837419395053642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20.227613053384697</v>
      </c>
      <c r="BS22" s="24">
        <f t="shared" si="9"/>
        <v>24.511354992890062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147.72913422715322</v>
      </c>
      <c r="T23" s="62">
        <f t="shared" si="34"/>
        <v>361.07991692964799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17.8</v>
      </c>
      <c r="AI23" s="14">
        <f>IF('Données projet'!$A$62&gt;35,AI22+AH23-AQ22,IF(A23&lt;'Données projet'!$A$62,$AF$205^A23,IF(A23='Données projet'!$A$62,'Données projet'!$B$62,AI22+AH23-AQ22)))</f>
        <v>161.6</v>
      </c>
      <c r="AJ23" s="14">
        <f>AI23*VLOOKUP('Données projet'!$B$10,Paramètres!$A$1:$I$89,3,0)*VLOOKUP('Données projet'!$B$10,Paramètres!$A$1:$I$89,5,0)</f>
        <v>96.636800000000008</v>
      </c>
      <c r="AK23" s="14">
        <f t="shared" si="35"/>
        <v>26.159173215164081</v>
      </c>
      <c r="AL23" s="22">
        <f t="shared" si="4"/>
        <v>213.86965334974411</v>
      </c>
      <c r="AM23" s="62">
        <f t="shared" si="5"/>
        <v>507.20298668307743</v>
      </c>
      <c r="AN23" s="62">
        <f ca="1">AVERAGE(OFFSET($AM$3,0,0,'Données projet'!$E$10+1,1))-AVERAGE(OFFSET($H$3,0,0,'Données projet'!$E$10+1,1))</f>
        <v>151.58413719376074</v>
      </c>
      <c r="AO23" s="62">
        <f t="shared" si="36"/>
        <v>310.105543138185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3.4311550214770392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11.831798629328903</v>
      </c>
      <c r="AX23" s="23">
        <f t="shared" si="6"/>
        <v>15.262953650805942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16.5</v>
      </c>
      <c r="BD23" s="13">
        <f>IF('Données projet'!$A$88&gt;35,BD22+BC23-BL22,IF(A23&lt;'Données projet'!$A$88,$BA$205^A23,IF(A23='Données projet'!$A$88,'Données projet'!$B$88,BD22+BC23-BL22)))</f>
        <v>139.5</v>
      </c>
      <c r="BE23" s="14">
        <f>BD23*VLOOKUP('Données projet'!$B$11,Paramètres!$A$1:$I$89,3,0)*VLOOKUP('Données projet'!$B$11,Paramètres!$A$1:$I$89,5,0)</f>
        <v>83.421000000000006</v>
      </c>
      <c r="BF23" s="14">
        <f t="shared" si="37"/>
        <v>22.97158706718762</v>
      </c>
      <c r="BG23" s="22">
        <f t="shared" si="7"/>
        <v>185.30042247535178</v>
      </c>
      <c r="BH23" s="62">
        <f t="shared" si="8"/>
        <v>478.63375580868512</v>
      </c>
      <c r="BI23" s="62">
        <f ca="1">AVERAGE(OFFSET($BH$3,0,0,'Données projet'!$E$11+1,1))-AVERAGE(OFFSET($H$3,0,0,'Données projet'!$E$11+1,1))</f>
        <v>157.98488572680344</v>
      </c>
      <c r="BJ23" s="62">
        <f t="shared" si="38"/>
        <v>269.20989374735825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4.1997403728962519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14.303082357265847</v>
      </c>
      <c r="BS23" s="24">
        <f t="shared" si="9"/>
        <v>18.502822730162098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147.72913422715322</v>
      </c>
      <c r="T24" s="62">
        <f t="shared" si="34"/>
        <v>361.07991692964799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17.8</v>
      </c>
      <c r="AI24" s="14">
        <f>IF('Données projet'!$A$62&gt;35,AI23+AH24-AQ23,IF(A24&lt;'Données projet'!$A$62,$AF$205^A24,IF(A24='Données projet'!$A$62,'Données projet'!$B$62,AI23+AH24-AQ23)))</f>
        <v>179.4</v>
      </c>
      <c r="AJ24" s="14">
        <f>AI24*VLOOKUP('Données projet'!$B$10,Paramètres!$A$1:$I$89,3,0)*VLOOKUP('Données projet'!$B$10,Paramètres!$A$1:$I$89,5,0)</f>
        <v>107.2812</v>
      </c>
      <c r="AK24" s="14">
        <f t="shared" si="35"/>
        <v>28.68948404302737</v>
      </c>
      <c r="AL24" s="22">
        <f t="shared" si="4"/>
        <v>236.81560804160597</v>
      </c>
      <c r="AM24" s="62">
        <f t="shared" si="5"/>
        <v>530.14894137493934</v>
      </c>
      <c r="AN24" s="62">
        <f ca="1">AVERAGE(OFFSET($AM$3,0,0,'Données projet'!$E$10+1,1))-AVERAGE(OFFSET($H$3,0,0,'Données projet'!$E$10+1,1))</f>
        <v>151.58413719376074</v>
      </c>
      <c r="AO24" s="62">
        <f t="shared" si="36"/>
        <v>310.105543138185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3.3638721643037908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8.3663450444321654</v>
      </c>
      <c r="AX24" s="23">
        <f t="shared" si="6"/>
        <v>11.730217208735956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16.5</v>
      </c>
      <c r="BD24" s="13">
        <f>IF('Données projet'!$A$88&gt;35,BD23+BC24-BL23,IF(A24&lt;'Données projet'!$A$88,$BA$205^A24,IF(A24='Données projet'!$A$88,'Données projet'!$B$88,BD23+BC24-BL23)))</f>
        <v>156</v>
      </c>
      <c r="BE24" s="14">
        <f>BD24*VLOOKUP('Données projet'!$B$11,Paramètres!$A$1:$I$89,3,0)*VLOOKUP('Données projet'!$B$11,Paramètres!$A$1:$I$89,5,0)</f>
        <v>93.288000000000011</v>
      </c>
      <c r="BF24" s="14">
        <f t="shared" si="37"/>
        <v>25.356547829040977</v>
      </c>
      <c r="BG24" s="22">
        <f t="shared" si="7"/>
        <v>206.63925413557971</v>
      </c>
      <c r="BH24" s="62">
        <f t="shared" si="8"/>
        <v>499.97258746891305</v>
      </c>
      <c r="BI24" s="62">
        <f ca="1">AVERAGE(OFFSET($BH$3,0,0,'Données projet'!$E$11+1,1))-AVERAGE(OFFSET($H$3,0,0,'Données projet'!$E$11+1,1))</f>
        <v>157.98488572680344</v>
      </c>
      <c r="BJ24" s="62">
        <f t="shared" si="38"/>
        <v>269.20989374735825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4.1173860257724479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10.11380652669235</v>
      </c>
      <c r="BS24" s="24">
        <f t="shared" si="9"/>
        <v>14.231192552464798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147.72913422715322</v>
      </c>
      <c r="T25" s="62">
        <f t="shared" si="34"/>
        <v>361.07991692964799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17.8</v>
      </c>
      <c r="AI25" s="14">
        <f>IF('Données projet'!$A$62&gt;35,AI24+AH25-AQ24,IF(A25&lt;'Données projet'!$A$62,$AF$205^A25,IF(A25='Données projet'!$A$62,'Données projet'!$B$62,AI24+AH25-AQ24)))</f>
        <v>197.20000000000002</v>
      </c>
      <c r="AJ25" s="14">
        <f>AI25*VLOOKUP('Données projet'!$B$10,Paramètres!$A$1:$I$89,3,0)*VLOOKUP('Données projet'!$B$10,Paramètres!$A$1:$I$89,5,0)</f>
        <v>117.92560000000003</v>
      </c>
      <c r="AK25" s="14">
        <f t="shared" si="35"/>
        <v>31.190689636070587</v>
      </c>
      <c r="AL25" s="22">
        <f t="shared" si="4"/>
        <v>259.71087111615634</v>
      </c>
      <c r="AM25" s="62">
        <f t="shared" si="5"/>
        <v>553.0442044494896</v>
      </c>
      <c r="AN25" s="62">
        <f ca="1">AVERAGE(OFFSET($AM$3,0,0,'Données projet'!$E$10+1,1))-AVERAGE(OFFSET($H$3,0,0,'Données projet'!$E$10+1,1))</f>
        <v>151.58413719376074</v>
      </c>
      <c r="AO25" s="62">
        <f t="shared" si="36"/>
        <v>310.105543138185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3.2979086829212192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5.9158993146644514</v>
      </c>
      <c r="AX25" s="23">
        <f t="shared" si="6"/>
        <v>9.2138079975856702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16.5</v>
      </c>
      <c r="BD25" s="13">
        <f>IF('Données projet'!$A$88&gt;35,BD24+BC25-BL24,IF(A25&lt;'Données projet'!$A$88,$BA$205^A25,IF(A25='Données projet'!$A$88,'Données projet'!$B$88,BD24+BC25-BL24)))</f>
        <v>172.5</v>
      </c>
      <c r="BE25" s="14">
        <f>BD25*VLOOKUP('Données projet'!$B$11,Paramètres!$A$1:$I$89,3,0)*VLOOKUP('Données projet'!$B$11,Paramètres!$A$1:$I$89,5,0)</f>
        <v>103.15500000000002</v>
      </c>
      <c r="BF25" s="14">
        <f t="shared" si="37"/>
        <v>27.71226857071613</v>
      </c>
      <c r="BG25" s="22">
        <f t="shared" si="7"/>
        <v>227.92715942733059</v>
      </c>
      <c r="BH25" s="62">
        <f t="shared" si="8"/>
        <v>521.26049276066396</v>
      </c>
      <c r="BI25" s="62">
        <f ca="1">AVERAGE(OFFSET($BH$3,0,0,'Données projet'!$E$11+1,1))-AVERAGE(OFFSET($H$3,0,0,'Données projet'!$E$11+1,1))</f>
        <v>157.98488572680344</v>
      </c>
      <c r="BJ25" s="62">
        <f t="shared" si="38"/>
        <v>269.20989374735825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4.03664659716455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7.1515411786329244</v>
      </c>
      <c r="BS25" s="24">
        <f t="shared" si="9"/>
        <v>11.188187775797473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147.72913422715322</v>
      </c>
      <c r="T26" s="62">
        <f t="shared" si="34"/>
        <v>361.07991692964799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>
        <f>VLOOKUP(A26,'Données projet'!$A$61:$I$81,2,0)</f>
        <v>215</v>
      </c>
      <c r="AG26" s="13">
        <f>VLOOKUP(A26,'Données projet'!$A$61:$I$81,9,0)</f>
        <v>17.8</v>
      </c>
      <c r="AH26" s="13">
        <f t="array" ref="AH26">INDEX(AG:AG,MIN(IF(ISNUMBER(AG26:AG222),ROW(AG26:AG222),"")))</f>
        <v>17.8</v>
      </c>
      <c r="AI26" s="14">
        <f>IF('Données projet'!$A$62&gt;35,AI25+AH26-AQ25,IF(A26&lt;'Données projet'!$A$62,$AF$205^A26,IF(A26='Données projet'!$A$62,'Données projet'!$B$62,AI25+AH26-AQ25)))</f>
        <v>215.00000000000003</v>
      </c>
      <c r="AJ26" s="14">
        <f>AI26*VLOOKUP('Données projet'!$B$10,Paramètres!$A$1:$I$89,3,0)*VLOOKUP('Données projet'!$B$10,Paramètres!$A$1:$I$89,5,0)</f>
        <v>128.57000000000002</v>
      </c>
      <c r="AK26" s="14">
        <f t="shared" si="35"/>
        <v>33.665715905233277</v>
      </c>
      <c r="AL26" s="22">
        <f t="shared" si="4"/>
        <v>282.56053853494797</v>
      </c>
      <c r="AM26" s="62">
        <f t="shared" si="5"/>
        <v>575.89387186828128</v>
      </c>
      <c r="AN26" s="62">
        <f ca="1">AVERAGE(OFFSET($AM$3,0,0,'Données projet'!$E$10+1,1))-AVERAGE(OFFSET($H$3,0,0,'Données projet'!$E$10+1,1))</f>
        <v>151.58413719376074</v>
      </c>
      <c r="AO26" s="62">
        <f t="shared" si="36"/>
        <v>310.105543138185</v>
      </c>
      <c r="AP26" s="16">
        <f>IF(ISNA(VLOOKUP(A26,'Données projet'!$A$61:$I$81,3,0)),0,VLOOKUP(A26,'Données projet'!$A$61:$I$81,3,0))</f>
        <v>3</v>
      </c>
      <c r="AQ26" s="16">
        <f>IF(ISNA(VLOOKUP(A26,'Données projet'!$A$61:$I$81,4,0)),0,VLOOKUP(A26,'Données projet'!$A$61:$I$81,4,0))</f>
        <v>52</v>
      </c>
      <c r="AR26" s="17">
        <f>IF(ISNA(VLOOKUP(A26,'Données projet'!$A$61:$I$81,5,0)),0%,VLOOKUP(A26,'Données projet'!$A$61:$I$81,5,0)*VLOOKUP('Données projet'!$B$10,Paramètres!$A$1:$I$89,7,0))</f>
        <v>0.22500000000000001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0.5</v>
      </c>
      <c r="AU26" s="23">
        <f>EXP(-LN(2)/35)*AU25+(1-EXP(-LN(2)/35))/(LN(2)/35)*AQ26*AR26*VLOOKUP('Données projet'!$B$10,Paramètres!$A$1:$I$89,3,0)*0.475*44/12</f>
        <v>12.514679574103097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21.787120284157577</v>
      </c>
      <c r="AX26" s="23">
        <f t="shared" si="6"/>
        <v>34.301799858260672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16.5</v>
      </c>
      <c r="BD26" s="13">
        <f>IF('Données projet'!$A$88&gt;35,BD25+BC26-BL25,IF(A26&lt;'Données projet'!$A$88,$BA$205^A26,IF(A26='Données projet'!$A$88,'Données projet'!$B$88,BD25+BC26-BL25)))</f>
        <v>189</v>
      </c>
      <c r="BE26" s="14">
        <f>BD26*VLOOKUP('Données projet'!$B$11,Paramètres!$A$1:$I$89,3,0)*VLOOKUP('Données projet'!$B$11,Paramètres!$A$1:$I$89,5,0)</f>
        <v>113.02200000000001</v>
      </c>
      <c r="BF26" s="14">
        <f t="shared" si="37"/>
        <v>30.041864379091852</v>
      </c>
      <c r="BG26" s="22">
        <f t="shared" si="7"/>
        <v>249.16956379358496</v>
      </c>
      <c r="BH26" s="62">
        <f t="shared" si="8"/>
        <v>542.50289712691824</v>
      </c>
      <c r="BI26" s="62">
        <f ca="1">AVERAGE(OFFSET($BH$3,0,0,'Données projet'!$E$11+1,1))-AVERAGE(OFFSET($H$3,0,0,'Données projet'!$E$11+1,1))</f>
        <v>157.98488572680344</v>
      </c>
      <c r="BJ26" s="62">
        <f t="shared" si="38"/>
        <v>269.20989374735825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3.9574904195054641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5.0569032633461761</v>
      </c>
      <c r="BS26" s="24">
        <f t="shared" si="9"/>
        <v>9.0143936828516402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147.72913422715322</v>
      </c>
      <c r="T27" s="62">
        <f t="shared" si="34"/>
        <v>361.07991692964799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15.142857142857142</v>
      </c>
      <c r="AI27" s="14">
        <f>IF('Données projet'!$A$62&gt;35,AI26+AH27-AQ26,IF(A27&lt;'Données projet'!$A$62,$AF$205^A27,IF(A27='Données projet'!$A$62,'Données projet'!$B$62,AI26+AH27-AQ26)))</f>
        <v>178.14285714285717</v>
      </c>
      <c r="AJ27" s="14">
        <f>AI27*VLOOKUP('Données projet'!$B$10,Paramètres!$A$1:$I$89,3,0)*VLOOKUP('Données projet'!$B$10,Paramètres!$A$1:$I$89,5,0)</f>
        <v>106.5294285714286</v>
      </c>
      <c r="AK27" s="14">
        <f t="shared" si="35"/>
        <v>28.511771457031461</v>
      </c>
      <c r="AL27" s="22">
        <f t="shared" si="4"/>
        <v>235.19675671623455</v>
      </c>
      <c r="AM27" s="62">
        <f t="shared" si="5"/>
        <v>528.53009004956789</v>
      </c>
      <c r="AN27" s="62">
        <f ca="1">AVERAGE(OFFSET($AM$3,0,0,'Données projet'!$E$10+1,1))-AVERAGE(OFFSET($H$3,0,0,'Données projet'!$E$10+1,1))</f>
        <v>151.58413719376074</v>
      </c>
      <c r="AO27" s="62">
        <f t="shared" si="36"/>
        <v>310.105543138185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12.269274340855759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15.405820495454805</v>
      </c>
      <c r="AX27" s="23">
        <f t="shared" si="6"/>
        <v>27.675094836310564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16.5</v>
      </c>
      <c r="BD27" s="13">
        <f>IF('Données projet'!$A$88&gt;35,BD26+BC27-BL26,IF(A27&lt;'Données projet'!$A$88,$BA$205^A27,IF(A27='Données projet'!$A$88,'Données projet'!$B$88,BD26+BC27-BL26)))</f>
        <v>205.5</v>
      </c>
      <c r="BE27" s="14">
        <f>BD27*VLOOKUP('Données projet'!$B$11,Paramètres!$A$1:$I$89,3,0)*VLOOKUP('Données projet'!$B$11,Paramètres!$A$1:$I$89,5,0)</f>
        <v>122.88900000000001</v>
      </c>
      <c r="BF27" s="14">
        <f t="shared" si="37"/>
        <v>32.347875332170432</v>
      </c>
      <c r="BG27" s="22">
        <f t="shared" si="7"/>
        <v>270.37089120353011</v>
      </c>
      <c r="BH27" s="62">
        <f t="shared" si="8"/>
        <v>563.70422453686342</v>
      </c>
      <c r="BI27" s="62">
        <f ca="1">AVERAGE(OFFSET($BH$3,0,0,'Données projet'!$E$11+1,1))-AVERAGE(OFFSET($H$3,0,0,'Données projet'!$E$11+1,1))</f>
        <v>157.98488572680344</v>
      </c>
      <c r="BJ27" s="62">
        <f t="shared" si="38"/>
        <v>269.20989374735825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3.8798864462097717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3.5757705893164631</v>
      </c>
      <c r="BS27" s="24">
        <f t="shared" si="9"/>
        <v>7.4556570355262348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147.72913422715322</v>
      </c>
      <c r="T28" s="62">
        <f t="shared" si="34"/>
        <v>361.07991692964799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15.142857142857142</v>
      </c>
      <c r="AI28" s="14">
        <f>IF('Données projet'!$A$62&gt;35,AI27+AH28-AQ27,IF(A28&lt;'Données projet'!$A$62,$AF$205^A28,IF(A28='Données projet'!$A$62,'Données projet'!$B$62,AI27+AH28-AQ27)))</f>
        <v>193.28571428571431</v>
      </c>
      <c r="AJ28" s="14">
        <f>AI28*VLOOKUP('Données projet'!$B$10,Paramètres!$A$1:$I$89,3,0)*VLOOKUP('Données projet'!$B$10,Paramètres!$A$1:$I$89,5,0)</f>
        <v>115.58485714285716</v>
      </c>
      <c r="AK28" s="14">
        <f t="shared" si="35"/>
        <v>30.643003864758004</v>
      </c>
      <c r="AL28" s="22">
        <f t="shared" si="4"/>
        <v>254.68019125492972</v>
      </c>
      <c r="AM28" s="62">
        <f t="shared" si="5"/>
        <v>548.01352458826307</v>
      </c>
      <c r="AN28" s="62">
        <f ca="1">AVERAGE(OFFSET($AM$3,0,0,'Données projet'!$E$10+1,1))-AVERAGE(OFFSET($H$3,0,0,'Données projet'!$E$10+1,1))</f>
        <v>151.58413719376074</v>
      </c>
      <c r="AO28" s="62">
        <f t="shared" si="36"/>
        <v>310.105543138185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12.02868135454999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10.89356014207879</v>
      </c>
      <c r="AX28" s="23">
        <f t="shared" si="6"/>
        <v>22.922241496628779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>
        <f>VLOOKUP(A28,'Données projet'!$A$87:$I$107,2,0)</f>
        <v>222</v>
      </c>
      <c r="BB28" s="13">
        <f>VLOOKUP(A28,'Données projet'!$A$87:$I$107,9,0)</f>
        <v>16.5</v>
      </c>
      <c r="BC28" s="13">
        <f t="array" ref="BC28">INDEX(BB:BB,MIN(IF(ISNUMBER(BB28:BB224),ROW(BB28:BB224),"")))</f>
        <v>16.5</v>
      </c>
      <c r="BD28" s="13">
        <f>IF('Données projet'!$A$88&gt;35,BD27+BC28-BL27,IF(A28&lt;'Données projet'!$A$88,$BA$205^A28,IF(A28='Données projet'!$A$88,'Données projet'!$B$88,BD27+BC28-BL27)))</f>
        <v>222</v>
      </c>
      <c r="BE28" s="14">
        <f>BD28*VLOOKUP('Données projet'!$B$11,Paramètres!$A$1:$I$89,3,0)*VLOOKUP('Données projet'!$B$11,Paramètres!$A$1:$I$89,5,0)</f>
        <v>132.756</v>
      </c>
      <c r="BF28" s="14">
        <f t="shared" si="37"/>
        <v>34.632410397339967</v>
      </c>
      <c r="BG28" s="22">
        <f t="shared" si="7"/>
        <v>291.53481477536712</v>
      </c>
      <c r="BH28" s="62">
        <f t="shared" si="8"/>
        <v>584.86814810870044</v>
      </c>
      <c r="BI28" s="62">
        <f ca="1">AVERAGE(OFFSET($BH$3,0,0,'Données projet'!$E$11+1,1))-AVERAGE(OFFSET($H$3,0,0,'Données projet'!$E$11+1,1))</f>
        <v>157.98488572680344</v>
      </c>
      <c r="BJ28" s="62">
        <f t="shared" si="38"/>
        <v>269.20989374735825</v>
      </c>
      <c r="BK28" s="16">
        <f>IF(ISNA(VLOOKUP(A28,'Données projet'!$A$87:$I$107,3,0)),0,VLOOKUP(A28,'Données projet'!$A$87:$I$107,3,0))</f>
        <v>3</v>
      </c>
      <c r="BL28" s="16">
        <f>IF(ISNA(VLOOKUP(A28,'Données projet'!$A$87:$I$107,4,0)),0,VLOOKUP(A28,'Données projet'!$A$87:$I$107,4,0))</f>
        <v>54</v>
      </c>
      <c r="BM28" s="17">
        <f>IF(ISNA(VLOOKUP(A28,'Données projet'!$A$87:$I$107,5,0)),0%,VLOOKUP(A28,'Données projet'!$A$87:$I$107,5,0)*VLOOKUP('Données projet'!$B$11,Paramètres!$A$1:$I$89,7,0))</f>
        <v>0.18000000000000002</v>
      </c>
      <c r="BN28" s="17">
        <f>IF(ISNA(VLOOKUP(A28,'Données projet'!$A$87:$I$107,6,0)),0%,VLOOKUP(A28,'Données projet'!$A$87:$I$107,6,0)*VLOOKUP('Données projet'!$B$11,Paramètres!$A$1:$I$89,7,0))</f>
        <v>9.0000000000000011E-2</v>
      </c>
      <c r="BO28" s="17">
        <f>IF(ISNA(VLOOKUP(A28,'Données projet'!$A$87:$I$107,7,0)),0%,VLOOKUP(A28,'Données projet'!$A$87:$I$107,7,0))</f>
        <v>0.4</v>
      </c>
      <c r="BP28" s="23">
        <f>EXP(-LN(2)/35)*BP27+(1-EXP(-LN(2)/35))/(LN(2)/35)*BL28*BM28*VLOOKUP('Données projet'!$B$11,Paramètres!$A$1:$I$89,3,0)*0.475*44/12</f>
        <v>11.514539730606312</v>
      </c>
      <c r="BQ28" s="23">
        <f>EXP(-LN(2)/25)*BQ27+(1-EXP(-LN(2)/25))/(LN(2)/25)*Calculateur!BL28*Calculateur!BN28*VLOOKUP('Données projet'!$B$11,Paramètres!$A$1:$I$89,3,0)*0.475*44/12</f>
        <v>3.8401876937302988</v>
      </c>
      <c r="BR28" s="23">
        <f>EXP(-LN(2)/2)*BR27+(1-EXP(-LN(2)/2))/(LN(2)/2)*BL28*BO28*VLOOKUP('Données projet'!$B$11,Paramètres!$A$1:$I$89,3,0)*0.475*44/12</f>
        <v>17.153269772362943</v>
      </c>
      <c r="BS28" s="24">
        <f t="shared" si="9"/>
        <v>32.507997196699556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147.72913422715322</v>
      </c>
      <c r="T29" s="62">
        <f t="shared" si="34"/>
        <v>361.07991692964799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15.142857142857142</v>
      </c>
      <c r="AI29" s="14">
        <f>IF('Données projet'!$A$62&gt;35,AI28+AH29-AQ28,IF(A29&lt;'Données projet'!$A$62,$AF$205^A29,IF(A29='Données projet'!$A$62,'Données projet'!$B$62,AI28+AH29-AQ28)))</f>
        <v>208.42857142857144</v>
      </c>
      <c r="AJ29" s="14">
        <f>AI29*VLOOKUP('Données projet'!$B$10,Paramètres!$A$1:$I$89,3,0)*VLOOKUP('Données projet'!$B$10,Paramètres!$A$1:$I$89,5,0)</f>
        <v>124.64028571428574</v>
      </c>
      <c r="AK29" s="14">
        <f t="shared" si="35"/>
        <v>32.754868392894572</v>
      </c>
      <c r="AL29" s="22">
        <f t="shared" si="4"/>
        <v>274.129893403339</v>
      </c>
      <c r="AM29" s="62">
        <f t="shared" si="5"/>
        <v>567.46322673667237</v>
      </c>
      <c r="AN29" s="62">
        <f ca="1">AVERAGE(OFFSET($AM$3,0,0,'Données projet'!$E$10+1,1))-AVERAGE(OFFSET($H$3,0,0,'Données projet'!$E$10+1,1))</f>
        <v>151.58413719376074</v>
      </c>
      <c r="AO29" s="62">
        <f t="shared" si="36"/>
        <v>310.105543138185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11.792806249958446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7.7029102477274032</v>
      </c>
      <c r="AX29" s="23">
        <f t="shared" si="6"/>
        <v>19.495716497685848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13.8</v>
      </c>
      <c r="BD29" s="13">
        <f>IF('Données projet'!$A$88&gt;35,BD28+BC29-BL28,IF(A29&lt;'Données projet'!$A$88,$BA$205^A29,IF(A29='Données projet'!$A$88,'Données projet'!$B$88,BD28+BC29-BL28)))</f>
        <v>181.8</v>
      </c>
      <c r="BE29" s="14">
        <f>BD29*VLOOKUP('Données projet'!$B$11,Paramètres!$A$1:$I$89,3,0)*VLOOKUP('Données projet'!$B$11,Paramètres!$A$1:$I$89,5,0)</f>
        <v>108.71640000000002</v>
      </c>
      <c r="BF29" s="14">
        <f t="shared" si="37"/>
        <v>29.028352113364011</v>
      </c>
      <c r="BG29" s="22">
        <f t="shared" si="7"/>
        <v>239.90544326410898</v>
      </c>
      <c r="BH29" s="62">
        <f t="shared" si="8"/>
        <v>533.23877659744232</v>
      </c>
      <c r="BI29" s="62">
        <f ca="1">AVERAGE(OFFSET($BH$3,0,0,'Données projet'!$E$11+1,1))-AVERAGE(OFFSET($H$3,0,0,'Données projet'!$E$11+1,1))</f>
        <v>157.98488572680344</v>
      </c>
      <c r="BJ29" s="62">
        <f t="shared" si="38"/>
        <v>269.20989374735825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11.288746629664876</v>
      </c>
      <c r="BQ29" s="23">
        <f>EXP(-LN(2)/25)*BQ28+(1-EXP(-LN(2)/25))/(LN(2)/25)*Calculateur!BL29*Calculateur!BN29*VLOOKUP('Données projet'!$B$11,Paramètres!$A$1:$I$89,3,0)*0.475*44/12</f>
        <v>3.7351775592985499</v>
      </c>
      <c r="BR29" s="23">
        <f>EXP(-LN(2)/2)*BR28+(1-EXP(-LN(2)/2))/(LN(2)/2)*BL29*BO29*VLOOKUP('Données projet'!$B$11,Paramètres!$A$1:$I$89,3,0)*0.475*44/12</f>
        <v>12.129193375560064</v>
      </c>
      <c r="BS29" s="24">
        <f t="shared" si="9"/>
        <v>27.153117564523491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147.72913422715322</v>
      </c>
      <c r="T30" s="62">
        <f t="shared" si="34"/>
        <v>361.07991692964799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15.142857142857142</v>
      </c>
      <c r="AI30" s="14">
        <f>IF('Données projet'!$A$62&gt;35,AI29+AH30-AQ29,IF(A30&lt;'Données projet'!$A$62,$AF$205^A30,IF(A30='Données projet'!$A$62,'Données projet'!$B$62,AI29+AH30-AQ29)))</f>
        <v>223.57142857142858</v>
      </c>
      <c r="AJ30" s="14">
        <f>AI30*VLOOKUP('Données projet'!$B$10,Paramètres!$A$1:$I$89,3,0)*VLOOKUP('Données projet'!$B$10,Paramètres!$A$1:$I$89,5,0)</f>
        <v>133.6957142857143</v>
      </c>
      <c r="AK30" s="14">
        <f t="shared" si="35"/>
        <v>34.848932189999701</v>
      </c>
      <c r="AL30" s="22">
        <f t="shared" si="4"/>
        <v>293.54859261186851</v>
      </c>
      <c r="AM30" s="62">
        <f t="shared" si="5"/>
        <v>586.88192594520183</v>
      </c>
      <c r="AN30" s="62">
        <f ca="1">AVERAGE(OFFSET($AM$3,0,0,'Données projet'!$E$10+1,1))-AVERAGE(OFFSET($H$3,0,0,'Données projet'!$E$10+1,1))</f>
        <v>151.58413719376074</v>
      </c>
      <c r="AO30" s="62">
        <f t="shared" si="36"/>
        <v>310.105543138185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11.561556512298333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5.4467800710393961</v>
      </c>
      <c r="AX30" s="23">
        <f t="shared" si="6"/>
        <v>17.00833658333773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13.8</v>
      </c>
      <c r="BD30" s="13">
        <f>IF('Données projet'!$A$88&gt;35,BD29+BC30-BL29,IF(A30&lt;'Données projet'!$A$88,$BA$205^A30,IF(A30='Données projet'!$A$88,'Données projet'!$B$88,BD29+BC30-BL29)))</f>
        <v>195.60000000000002</v>
      </c>
      <c r="BE30" s="14">
        <f>BD30*VLOOKUP('Données projet'!$B$11,Paramètres!$A$1:$I$89,3,0)*VLOOKUP('Données projet'!$B$11,Paramètres!$A$1:$I$89,5,0)</f>
        <v>116.96880000000002</v>
      </c>
      <c r="BF30" s="14">
        <f t="shared" si="37"/>
        <v>30.966972418998537</v>
      </c>
      <c r="BG30" s="22">
        <f t="shared" si="7"/>
        <v>257.6548036297558</v>
      </c>
      <c r="BH30" s="62">
        <f t="shared" si="8"/>
        <v>550.98813696308912</v>
      </c>
      <c r="BI30" s="62">
        <f ca="1">AVERAGE(OFFSET($BH$3,0,0,'Données projet'!$E$11+1,1))-AVERAGE(OFFSET($H$3,0,0,'Données projet'!$E$11+1,1))</f>
        <v>157.98488572680344</v>
      </c>
      <c r="BJ30" s="62">
        <f t="shared" si="38"/>
        <v>269.20989374735825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11.067381193712711</v>
      </c>
      <c r="BQ30" s="23">
        <f>EXP(-LN(2)/25)*BQ29+(1-EXP(-LN(2)/25))/(LN(2)/25)*Calculateur!BL30*Calculateur!BN30*VLOOKUP('Données projet'!$B$11,Paramètres!$A$1:$I$89,3,0)*0.475*44/12</f>
        <v>3.6330389325150803</v>
      </c>
      <c r="BR30" s="23">
        <f>EXP(-LN(2)/2)*BR29+(1-EXP(-LN(2)/2))/(LN(2)/2)*BL30*BO30*VLOOKUP('Données projet'!$B$11,Paramètres!$A$1:$I$89,3,0)*0.475*44/12</f>
        <v>8.5766348861814716</v>
      </c>
      <c r="BS30" s="24">
        <f t="shared" si="9"/>
        <v>23.277055012409264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147.72913422715322</v>
      </c>
      <c r="T31" s="62">
        <f t="shared" si="34"/>
        <v>361.07991692964799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15.142857142857142</v>
      </c>
      <c r="AI31" s="14">
        <f>IF('Données projet'!$A$62&gt;35,AI30+AH31-AQ30,IF(A31&lt;'Données projet'!$A$62,$AF$205^A31,IF(A31='Données projet'!$A$62,'Données projet'!$B$62,AI30+AH31-AQ30)))</f>
        <v>238.71428571428572</v>
      </c>
      <c r="AJ31" s="14">
        <f>AI31*VLOOKUP('Données projet'!$B$10,Paramètres!$A$1:$I$89,3,0)*VLOOKUP('Données projet'!$B$10,Paramètres!$A$1:$I$89,5,0)</f>
        <v>142.75114285714287</v>
      </c>
      <c r="AK31" s="14">
        <f t="shared" si="35"/>
        <v>36.926538099571019</v>
      </c>
      <c r="AL31" s="22">
        <f t="shared" si="4"/>
        <v>312.93862766627666</v>
      </c>
      <c r="AM31" s="62">
        <f t="shared" si="5"/>
        <v>606.27196099960997</v>
      </c>
      <c r="AN31" s="62">
        <f ca="1">AVERAGE(OFFSET($AM$3,0,0,'Données projet'!$E$10+1,1))-AVERAGE(OFFSET($H$3,0,0,'Données projet'!$E$10+1,1))</f>
        <v>151.58413719376074</v>
      </c>
      <c r="AO31" s="62">
        <f t="shared" si="36"/>
        <v>310.105543138185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11.334841440945322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3.8514551238637025</v>
      </c>
      <c r="AX31" s="23">
        <f t="shared" si="6"/>
        <v>15.186296564809025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13.8</v>
      </c>
      <c r="BD31" s="13">
        <f>IF('Données projet'!$A$88&gt;35,BD30+BC31-BL30,IF(A31&lt;'Données projet'!$A$88,$BA$205^A31,IF(A31='Données projet'!$A$88,'Données projet'!$B$88,BD30+BC31-BL30)))</f>
        <v>209.40000000000003</v>
      </c>
      <c r="BE31" s="14">
        <f>BD31*VLOOKUP('Données projet'!$B$11,Paramètres!$A$1:$I$89,3,0)*VLOOKUP('Données projet'!$B$11,Paramètres!$A$1:$I$89,5,0)</f>
        <v>125.22120000000004</v>
      </c>
      <c r="BF31" s="14">
        <f t="shared" si="37"/>
        <v>32.889723553463881</v>
      </c>
      <c r="BG31" s="22">
        <f t="shared" si="7"/>
        <v>275.37652518894964</v>
      </c>
      <c r="BH31" s="62">
        <f t="shared" si="8"/>
        <v>568.70985852228296</v>
      </c>
      <c r="BI31" s="62">
        <f ca="1">AVERAGE(OFFSET($BH$3,0,0,'Données projet'!$E$11+1,1))-AVERAGE(OFFSET($H$3,0,0,'Données projet'!$E$11+1,1))</f>
        <v>157.98488572680344</v>
      </c>
      <c r="BJ31" s="62">
        <f t="shared" si="38"/>
        <v>269.20989374735825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10.850356598939982</v>
      </c>
      <c r="BQ31" s="23">
        <f>EXP(-LN(2)/25)*BQ30+(1-EXP(-LN(2)/25))/(LN(2)/25)*Calculateur!BL31*Calculateur!BN31*VLOOKUP('Données projet'!$B$11,Paramètres!$A$1:$I$89,3,0)*0.475*44/12</f>
        <v>3.5336932918522415</v>
      </c>
      <c r="BR31" s="23">
        <f>EXP(-LN(2)/2)*BR30+(1-EXP(-LN(2)/2))/(LN(2)/2)*BL31*BO31*VLOOKUP('Données projet'!$B$11,Paramètres!$A$1:$I$89,3,0)*0.475*44/12</f>
        <v>6.0645966877800319</v>
      </c>
      <c r="BS31" s="24">
        <f t="shared" si="9"/>
        <v>20.448646578572255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147.72913422715322</v>
      </c>
      <c r="T32" s="62">
        <f t="shared" si="34"/>
        <v>361.07991692964799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15.142857142857142</v>
      </c>
      <c r="AI32" s="14">
        <f>IF('Données projet'!$A$62&gt;35,AI31+AH32-AQ31,IF(A32&lt;'Données projet'!$A$62,$AF$205^A32,IF(A32='Données projet'!$A$62,'Données projet'!$B$62,AI31+AH32-AQ31)))</f>
        <v>253.85714285714286</v>
      </c>
      <c r="AJ32" s="14">
        <f>AI32*VLOOKUP('Données projet'!$B$10,Paramètres!$A$1:$I$89,3,0)*VLOOKUP('Données projet'!$B$10,Paramètres!$A$1:$I$89,5,0)</f>
        <v>151.80657142857146</v>
      </c>
      <c r="AK32" s="14">
        <f t="shared" si="35"/>
        <v>38.988848967460292</v>
      </c>
      <c r="AL32" s="22">
        <f t="shared" si="4"/>
        <v>332.30202385642195</v>
      </c>
      <c r="AM32" s="62">
        <f t="shared" si="5"/>
        <v>625.63535718975527</v>
      </c>
      <c r="AN32" s="62">
        <f ca="1">AVERAGE(OFFSET($AM$3,0,0,'Données projet'!$E$10+1,1))-AVERAGE(OFFSET($H$3,0,0,'Données projet'!$E$10+1,1))</f>
        <v>151.58413719376074</v>
      </c>
      <c r="AO32" s="62">
        <f t="shared" si="36"/>
        <v>310.105543138185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11.112572113859004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2.7233900355196985</v>
      </c>
      <c r="AX32" s="23">
        <f t="shared" si="6"/>
        <v>13.835962149378702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13.8</v>
      </c>
      <c r="BD32" s="13">
        <f>IF('Données projet'!$A$88&gt;35,BD31+BC32-BL31,IF(A32&lt;'Données projet'!$A$88,$BA$205^A32,IF(A32='Données projet'!$A$88,'Données projet'!$B$88,BD31+BC32-BL31)))</f>
        <v>223.20000000000005</v>
      </c>
      <c r="BE32" s="14">
        <f>BD32*VLOOKUP('Données projet'!$B$11,Paramètres!$A$1:$I$89,3,0)*VLOOKUP('Données projet'!$B$11,Paramètres!$A$1:$I$89,5,0)</f>
        <v>133.47360000000003</v>
      </c>
      <c r="BF32" s="14">
        <f t="shared" si="37"/>
        <v>34.79777034418013</v>
      </c>
      <c r="BG32" s="22">
        <f t="shared" si="7"/>
        <v>293.0726366827804</v>
      </c>
      <c r="BH32" s="62">
        <f t="shared" si="8"/>
        <v>586.40597001611377</v>
      </c>
      <c r="BI32" s="62">
        <f ca="1">AVERAGE(OFFSET($BH$3,0,0,'Données projet'!$E$11+1,1))-AVERAGE(OFFSET($H$3,0,0,'Données projet'!$E$11+1,1))</f>
        <v>157.98488572680344</v>
      </c>
      <c r="BJ32" s="62">
        <f t="shared" si="38"/>
        <v>269.20989374735825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10.637587724098815</v>
      </c>
      <c r="BQ32" s="23">
        <f>EXP(-LN(2)/25)*BQ31+(1-EXP(-LN(2)/25))/(LN(2)/25)*Calculateur!BL32*Calculateur!BN32*VLOOKUP('Données projet'!$B$11,Paramètres!$A$1:$I$89,3,0)*0.475*44/12</f>
        <v>3.437064262957688</v>
      </c>
      <c r="BR32" s="23">
        <f>EXP(-LN(2)/2)*BR31+(1-EXP(-LN(2)/2))/(LN(2)/2)*BL32*BO32*VLOOKUP('Données projet'!$B$11,Paramètres!$A$1:$I$89,3,0)*0.475*44/12</f>
        <v>4.2883174430907358</v>
      </c>
      <c r="BS32" s="24">
        <f t="shared" si="9"/>
        <v>18.362969430147238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147.72913422715322</v>
      </c>
      <c r="T33" s="62">
        <f t="shared" si="34"/>
        <v>361.07991692964799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269</v>
      </c>
      <c r="AG33" s="13">
        <f>VLOOKUP(A33,'Données projet'!$A$61:$I$81,9,0)</f>
        <v>15.142857142857142</v>
      </c>
      <c r="AH33" s="13">
        <f t="array" ref="AH33">INDEX(AG:AG,MIN(IF(ISNUMBER(AG33:AG229),ROW(AG33:AG229),"")))</f>
        <v>15.142857142857142</v>
      </c>
      <c r="AI33" s="14">
        <f>IF('Données projet'!$A$62&gt;35,AI32+AH33-AQ32,IF(A33&lt;'Données projet'!$A$62,$AF$205^A33,IF(A33='Données projet'!$A$62,'Données projet'!$B$62,AI32+AH33-AQ32)))</f>
        <v>269</v>
      </c>
      <c r="AJ33" s="14">
        <f>AI33*VLOOKUP('Données projet'!$B$10,Paramètres!$A$1:$I$89,3,0)*VLOOKUP('Données projet'!$B$10,Paramètres!$A$1:$I$89,5,0)</f>
        <v>160.86200000000002</v>
      </c>
      <c r="AK33" s="14">
        <f t="shared" si="35"/>
        <v>41.03688107178359</v>
      </c>
      <c r="AL33" s="22">
        <f t="shared" si="4"/>
        <v>351.64055120002314</v>
      </c>
      <c r="AM33" s="62">
        <f t="shared" si="5"/>
        <v>644.97388453335645</v>
      </c>
      <c r="AN33" s="62">
        <f ca="1">AVERAGE(OFFSET($AM$3,0,0,'Données projet'!$E$10+1,1))-AVERAGE(OFFSET($H$3,0,0,'Données projet'!$E$10+1,1))</f>
        <v>151.58413719376074</v>
      </c>
      <c r="AO33" s="62">
        <f t="shared" si="36"/>
        <v>310.105543138185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10.894661352705947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1.9257275619318515</v>
      </c>
      <c r="AX33" s="23">
        <f t="shared" si="6"/>
        <v>12.8203889146378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237</v>
      </c>
      <c r="BB33" s="13">
        <f>VLOOKUP(A33,'Données projet'!$A$87:$I$107,9,0)</f>
        <v>13.8</v>
      </c>
      <c r="BC33" s="13">
        <f t="array" ref="BC33">INDEX(BB:BB,MIN(IF(ISNUMBER(BB33:BB229),ROW(BB33:BB229),"")))</f>
        <v>13.8</v>
      </c>
      <c r="BD33" s="13">
        <f>IF('Données projet'!$A$88&gt;35,BD32+BC33-BL32,IF(A33&lt;'Données projet'!$A$88,$BA$205^A33,IF(A33='Données projet'!$A$88,'Données projet'!$B$88,BD32+BC33-BL32)))</f>
        <v>237.00000000000006</v>
      </c>
      <c r="BE33" s="14">
        <f>BD33*VLOOKUP('Données projet'!$B$11,Paramètres!$A$1:$I$89,3,0)*VLOOKUP('Données projet'!$B$11,Paramètres!$A$1:$I$89,5,0)</f>
        <v>141.72600000000003</v>
      </c>
      <c r="BF33" s="14">
        <f t="shared" si="37"/>
        <v>36.692125440686915</v>
      </c>
      <c r="BG33" s="22">
        <f t="shared" si="7"/>
        <v>310.74490180919639</v>
      </c>
      <c r="BH33" s="62">
        <f t="shared" si="8"/>
        <v>604.07823514252971</v>
      </c>
      <c r="BI33" s="62">
        <f ca="1">AVERAGE(OFFSET($BH$3,0,0,'Données projet'!$E$11+1,1))-AVERAGE(OFFSET($H$3,0,0,'Données projet'!$E$11+1,1))</f>
        <v>157.98488572680344</v>
      </c>
      <c r="BJ33" s="62">
        <f t="shared" si="38"/>
        <v>269.20989374735825</v>
      </c>
      <c r="BK33" s="16">
        <f>IF(ISNA(VLOOKUP(A33,'Données projet'!$A$87:$I$107,3,0)),0,VLOOKUP(A33,'Données projet'!$A$87:$I$107,3,0))</f>
        <v>4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10.428991117117084</v>
      </c>
      <c r="BQ33" s="23">
        <f>EXP(-LN(2)/25)*BQ32+(1-EXP(-LN(2)/25))/(LN(2)/25)*Calculateur!BL33*Calculateur!BN33*VLOOKUP('Données projet'!$B$11,Paramètres!$A$1:$I$89,3,0)*0.475*44/12</f>
        <v>3.343077559939756</v>
      </c>
      <c r="BR33" s="23">
        <f>EXP(-LN(2)/2)*BR32+(1-EXP(-LN(2)/2))/(LN(2)/2)*BL33*BO33*VLOOKUP('Données projet'!$B$11,Paramètres!$A$1:$I$89,3,0)*0.475*44/12</f>
        <v>3.032298343890016</v>
      </c>
      <c r="BS33" s="24">
        <f t="shared" si="9"/>
        <v>16.804367020946856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147.72913422715322</v>
      </c>
      <c r="T34" s="62">
        <f t="shared" si="34"/>
        <v>361.07991692964799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14</v>
      </c>
      <c r="AI34" s="14">
        <f>IF('Données projet'!$A$62&gt;35,AI33+AH34-AQ33,IF(A34&lt;'Données projet'!$A$62,$AF$205^A34,IF(A34='Données projet'!$A$62,'Données projet'!$B$62,AI33+AH34-AQ33)))</f>
        <v>283</v>
      </c>
      <c r="AJ34" s="14">
        <f>AI34*VLOOKUP('Données projet'!$B$10,Paramètres!$A$1:$I$89,3,0)*VLOOKUP('Données projet'!$B$10,Paramètres!$A$1:$I$89,5,0)</f>
        <v>169.23400000000001</v>
      </c>
      <c r="AK34" s="14">
        <f t="shared" si="35"/>
        <v>42.918420001269354</v>
      </c>
      <c r="AL34" s="22">
        <f t="shared" si="4"/>
        <v>369.4987981688775</v>
      </c>
      <c r="AM34" s="62">
        <f t="shared" si="5"/>
        <v>662.83213150221081</v>
      </c>
      <c r="AN34" s="62">
        <f ca="1">AVERAGE(OFFSET($AM$3,0,0,'Données projet'!$E$10+1,1))-AVERAGE(OFFSET($H$3,0,0,'Données projet'!$E$10+1,1))</f>
        <v>151.58413719376074</v>
      </c>
      <c r="AO34" s="62">
        <f t="shared" si="36"/>
        <v>310.105543138185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10.681023688666661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1.3616950177598495</v>
      </c>
      <c r="AX34" s="23">
        <f t="shared" si="6"/>
        <v>12.042718706426511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12.625</v>
      </c>
      <c r="BD34" s="13">
        <f>IF('Données projet'!$A$88&gt;35,BD33+BC34-BL33,IF(A34&lt;'Données projet'!$A$88,$BA$205^A34,IF(A34='Données projet'!$A$88,'Données projet'!$B$88,BD33+BC34-BL33)))</f>
        <v>249.62500000000006</v>
      </c>
      <c r="BE34" s="14">
        <f>BD34*VLOOKUP('Données projet'!$B$11,Paramètres!$A$1:$I$89,3,0)*VLOOKUP('Données projet'!$B$11,Paramètres!$A$1:$I$89,5,0)</f>
        <v>149.27575000000004</v>
      </c>
      <c r="BF34" s="14">
        <f t="shared" si="37"/>
        <v>38.413950875340568</v>
      </c>
      <c r="BG34" s="22">
        <f t="shared" si="7"/>
        <v>326.89289569121826</v>
      </c>
      <c r="BH34" s="62">
        <f t="shared" si="8"/>
        <v>620.22622902455157</v>
      </c>
      <c r="BI34" s="62">
        <f ca="1">AVERAGE(OFFSET($BH$3,0,0,'Données projet'!$E$11+1,1))-AVERAGE(OFFSET($H$3,0,0,'Données projet'!$E$11+1,1))</f>
        <v>157.98488572680344</v>
      </c>
      <c r="BJ34" s="62">
        <f t="shared" si="38"/>
        <v>269.20989374735825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10.224484962366898</v>
      </c>
      <c r="BQ34" s="23">
        <f>EXP(-LN(2)/25)*BQ33+(1-EXP(-LN(2)/25))/(LN(2)/25)*Calculateur!BL34*Calculateur!BN34*VLOOKUP('Données projet'!$B$11,Paramètres!$A$1:$I$89,3,0)*0.475*44/12</f>
        <v>3.2516609282583953</v>
      </c>
      <c r="BR34" s="23">
        <f>EXP(-LN(2)/2)*BR33+(1-EXP(-LN(2)/2))/(LN(2)/2)*BL34*BO34*VLOOKUP('Données projet'!$B$11,Paramètres!$A$1:$I$89,3,0)*0.475*44/12</f>
        <v>2.1441587215453679</v>
      </c>
      <c r="BS34" s="24">
        <f t="shared" si="9"/>
        <v>15.620304612170662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147.72913422715322</v>
      </c>
      <c r="T35" s="62">
        <f t="shared" si="34"/>
        <v>361.07991692964799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14</v>
      </c>
      <c r="AI35" s="14">
        <f>IF('Données projet'!$A$62&gt;35,AI34+AH35-AQ34,IF(A35&lt;'Données projet'!$A$62,$AF$205^A35,IF(A35='Données projet'!$A$62,'Données projet'!$B$62,AI34+AH35-AQ34)))</f>
        <v>297</v>
      </c>
      <c r="AJ35" s="14">
        <f>AI35*VLOOKUP('Données projet'!$B$10,Paramètres!$A$1:$I$89,3,0)*VLOOKUP('Données projet'!$B$10,Paramètres!$A$1:$I$89,5,0)</f>
        <v>177.60600000000002</v>
      </c>
      <c r="AK35" s="14">
        <f t="shared" si="35"/>
        <v>44.789150937858665</v>
      </c>
      <c r="AL35" s="22">
        <f t="shared" si="4"/>
        <v>387.33822121677053</v>
      </c>
      <c r="AM35" s="62">
        <f t="shared" si="5"/>
        <v>680.67155455010379</v>
      </c>
      <c r="AN35" s="62">
        <f ca="1">AVERAGE(OFFSET($AM$3,0,0,'Données projet'!$E$10+1,1))-AVERAGE(OFFSET($H$3,0,0,'Données projet'!$E$10+1,1))</f>
        <v>151.58413719376074</v>
      </c>
      <c r="AO35" s="62">
        <f t="shared" si="36"/>
        <v>310.105543138185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10.471575328913076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0.96286378096592584</v>
      </c>
      <c r="AX35" s="23">
        <f t="shared" si="6"/>
        <v>11.434439109879001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12.625</v>
      </c>
      <c r="BD35" s="13">
        <f>IF('Données projet'!$A$88&gt;35,BD34+BC35-BL34,IF(A35&lt;'Données projet'!$A$88,$BA$205^A35,IF(A35='Données projet'!$A$88,'Données projet'!$B$88,BD34+BC35-BL34)))</f>
        <v>262.25000000000006</v>
      </c>
      <c r="BE35" s="14">
        <f>BD35*VLOOKUP('Données projet'!$B$11,Paramètres!$A$1:$I$89,3,0)*VLOOKUP('Données projet'!$B$11,Paramètres!$A$1:$I$89,5,0)</f>
        <v>156.82550000000006</v>
      </c>
      <c r="BF35" s="14">
        <f t="shared" si="37"/>
        <v>40.12566509846944</v>
      </c>
      <c r="BG35" s="22">
        <f t="shared" si="7"/>
        <v>343.02327921316777</v>
      </c>
      <c r="BH35" s="62">
        <f t="shared" si="8"/>
        <v>636.35661254650108</v>
      </c>
      <c r="BI35" s="62">
        <f ca="1">AVERAGE(OFFSET($BH$3,0,0,'Données projet'!$E$11+1,1))-AVERAGE(OFFSET($H$3,0,0,'Données projet'!$E$11+1,1))</f>
        <v>157.98488572680344</v>
      </c>
      <c r="BJ35" s="62">
        <f t="shared" si="38"/>
        <v>269.20989374735825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10.023989048574924</v>
      </c>
      <c r="BQ35" s="23">
        <f>EXP(-LN(2)/25)*BQ34+(1-EXP(-LN(2)/25))/(LN(2)/25)*Calculateur!BL35*Calculateur!BN35*VLOOKUP('Données projet'!$B$11,Paramètres!$A$1:$I$89,3,0)*0.475*44/12</f>
        <v>3.1627440891777532</v>
      </c>
      <c r="BR35" s="23">
        <f>EXP(-LN(2)/2)*BR34+(1-EXP(-LN(2)/2))/(LN(2)/2)*BL35*BO35*VLOOKUP('Données projet'!$B$11,Paramètres!$A$1:$I$89,3,0)*0.475*44/12</f>
        <v>1.516149171945008</v>
      </c>
      <c r="BS35" s="24">
        <f t="shared" si="9"/>
        <v>14.702882309697685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147.72913422715322</v>
      </c>
      <c r="T36" s="62">
        <f t="shared" si="34"/>
        <v>361.07991692964799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14</v>
      </c>
      <c r="AI36" s="14">
        <f>IF('Données projet'!$A$62&gt;35,AI35+AH36-AQ35,IF(A36&lt;'Données projet'!$A$62,$AF$205^A36,IF(A36='Données projet'!$A$62,'Données projet'!$B$62,AI35+AH36-AQ35)))</f>
        <v>311</v>
      </c>
      <c r="AJ36" s="14">
        <f>AI36*VLOOKUP('Données projet'!$B$10,Paramètres!$A$1:$I$89,3,0)*VLOOKUP('Données projet'!$B$10,Paramètres!$A$1:$I$89,5,0)</f>
        <v>185.97800000000001</v>
      </c>
      <c r="AK36" s="14">
        <f t="shared" si="35"/>
        <v>46.649641523668571</v>
      </c>
      <c r="AL36" s="22">
        <f t="shared" si="4"/>
        <v>405.15980898705612</v>
      </c>
      <c r="AM36" s="62">
        <f t="shared" si="5"/>
        <v>698.49314232038944</v>
      </c>
      <c r="AN36" s="62">
        <f ca="1">AVERAGE(OFFSET($AM$3,0,0,'Données projet'!$E$10+1,1))-AVERAGE(OFFSET($H$3,0,0,'Données projet'!$E$10+1,1))</f>
        <v>151.58413719376074</v>
      </c>
      <c r="AO36" s="62">
        <f t="shared" si="36"/>
        <v>310.105543138185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10.266234123743374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0.68084750887992485</v>
      </c>
      <c r="AX36" s="23">
        <f t="shared" si="6"/>
        <v>10.947081632623298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12.625</v>
      </c>
      <c r="BD36" s="13">
        <f>IF('Données projet'!$A$88&gt;35,BD35+BC36-BL35,IF(A36&lt;'Données projet'!$A$88,$BA$205^A36,IF(A36='Données projet'!$A$88,'Données projet'!$B$88,BD35+BC36-BL35)))</f>
        <v>274.87500000000006</v>
      </c>
      <c r="BE36" s="14">
        <f>BD36*VLOOKUP('Données projet'!$B$11,Paramètres!$A$1:$I$89,3,0)*VLOOKUP('Données projet'!$B$11,Paramètres!$A$1:$I$89,5,0)</f>
        <v>164.37525000000005</v>
      </c>
      <c r="BF36" s="14">
        <f t="shared" si="37"/>
        <v>41.827810443115574</v>
      </c>
      <c r="BG36" s="22">
        <f t="shared" si="7"/>
        <v>359.13699693842636</v>
      </c>
      <c r="BH36" s="62">
        <f t="shared" si="8"/>
        <v>652.47033027175962</v>
      </c>
      <c r="BI36" s="62">
        <f ca="1">AVERAGE(OFFSET($BH$3,0,0,'Données projet'!$E$11+1,1))-AVERAGE(OFFSET($H$3,0,0,'Données projet'!$E$11+1,1))</f>
        <v>157.98488572680344</v>
      </c>
      <c r="BJ36" s="62">
        <f t="shared" si="38"/>
        <v>269.20989374735825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9.8274247373619783</v>
      </c>
      <c r="BQ36" s="23">
        <f>EXP(-LN(2)/25)*BQ35+(1-EXP(-LN(2)/25))/(LN(2)/25)*Calculateur!BL36*Calculateur!BN36*VLOOKUP('Données projet'!$B$11,Paramètres!$A$1:$I$89,3,0)*0.475*44/12</f>
        <v>3.0762586857377046</v>
      </c>
      <c r="BR36" s="23">
        <f>EXP(-LN(2)/2)*BR35+(1-EXP(-LN(2)/2))/(LN(2)/2)*BL36*BO36*VLOOKUP('Données projet'!$B$11,Paramètres!$A$1:$I$89,3,0)*0.475*44/12</f>
        <v>1.072079360772684</v>
      </c>
      <c r="BS36" s="24">
        <f t="shared" si="9"/>
        <v>13.975762783872366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147.72913422715322</v>
      </c>
      <c r="T37" s="62">
        <f t="shared" si="34"/>
        <v>361.07991692964799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>
        <f>VLOOKUP(A37,'Données projet'!$A$61:$I$81,2,0)</f>
        <v>325</v>
      </c>
      <c r="AG37" s="13">
        <f>VLOOKUP(A37,'Données projet'!$A$61:$I$81,9,0)</f>
        <v>14</v>
      </c>
      <c r="AH37" s="13">
        <f t="array" ref="AH37">INDEX(AG:AG,MIN(IF(ISNUMBER(AG37:AG233),ROW(AG37:AG233),"")))</f>
        <v>14</v>
      </c>
      <c r="AI37" s="14">
        <f>IF('Données projet'!$A$62&gt;35,AI36+AH37-AQ36,IF(A37&lt;'Données projet'!$A$62,$AF$205^A37,IF(A37='Données projet'!$A$62,'Données projet'!$B$62,AI36+AH37-AQ36)))</f>
        <v>325</v>
      </c>
      <c r="AJ37" s="14">
        <f>AI37*VLOOKUP('Données projet'!$B$10,Paramètres!$A$1:$I$89,3,0)*VLOOKUP('Données projet'!$B$10,Paramètres!$A$1:$I$89,5,0)</f>
        <v>194.35</v>
      </c>
      <c r="AK37" s="14">
        <f t="shared" si="35"/>
        <v>48.500405405690429</v>
      </c>
      <c r="AL37" s="22">
        <f t="shared" si="4"/>
        <v>422.96445608157745</v>
      </c>
      <c r="AM37" s="62">
        <f t="shared" si="5"/>
        <v>716.29778941491077</v>
      </c>
      <c r="AN37" s="62">
        <f ca="1">AVERAGE(OFFSET($AM$3,0,0,'Données projet'!$E$10+1,1))-AVERAGE(OFFSET($H$3,0,0,'Données projet'!$E$10+1,1))</f>
        <v>151.58413719376074</v>
      </c>
      <c r="AO37" s="62">
        <f t="shared" si="36"/>
        <v>310.105543138185</v>
      </c>
      <c r="AP37" s="16">
        <f>IF(ISNA(VLOOKUP(A37,'Données projet'!$A$61:$I$81,3,0)),0,VLOOKUP(A37,'Données projet'!$A$61:$I$81,3,0))</f>
        <v>5</v>
      </c>
      <c r="AQ37" s="16">
        <f>IF(ISNA(VLOOKUP(A37,'Données projet'!$A$61:$I$81,4,0)),0,VLOOKUP(A37,'Données projet'!$A$61:$I$81,4,0))</f>
        <v>325</v>
      </c>
      <c r="AR37" s="17">
        <f>IF(ISNA(VLOOKUP(A37,'Données projet'!$A$61:$I$81,5,0)),0%,VLOOKUP(A37,'Données projet'!$A$61:$I$81,5,0)*VLOOKUP('Données projet'!$B$10,Paramètres!$A$1:$I$89,7,0))</f>
        <v>0.315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0.3</v>
      </c>
      <c r="AU37" s="23">
        <f>EXP(-LN(2)/35)*AU36+(1-EXP(-LN(2)/35))/(LN(2)/35)*AQ37*AR37*VLOOKUP('Données projet'!$B$10,Paramètres!$A$1:$I$89,3,0)*0.475*44/12</f>
        <v>91.277527137483801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66.496235997763563</v>
      </c>
      <c r="AX37" s="23">
        <f t="shared" si="6"/>
        <v>157.77376313524735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12.625</v>
      </c>
      <c r="BD37" s="13">
        <f>IF('Données projet'!$A$88&gt;35,BD36+BC37-BL36,IF(A37&lt;'Données projet'!$A$88,$BA$205^A37,IF(A37='Données projet'!$A$88,'Données projet'!$B$88,BD36+BC37-BL36)))</f>
        <v>287.50000000000006</v>
      </c>
      <c r="BE37" s="14">
        <f>BD37*VLOOKUP('Données projet'!$B$11,Paramètres!$A$1:$I$89,3,0)*VLOOKUP('Données projet'!$B$11,Paramètres!$A$1:$I$89,5,0)</f>
        <v>171.92500000000004</v>
      </c>
      <c r="BF37" s="14">
        <f t="shared" si="37"/>
        <v>43.520876607827979</v>
      </c>
      <c r="BG37" s="22">
        <f t="shared" si="7"/>
        <v>375.23490175863373</v>
      </c>
      <c r="BH37" s="62">
        <f t="shared" si="8"/>
        <v>668.56823509196704</v>
      </c>
      <c r="BI37" s="62">
        <f ca="1">AVERAGE(OFFSET($BH$3,0,0,'Données projet'!$E$11+1,1))-AVERAGE(OFFSET($H$3,0,0,'Données projet'!$E$11+1,1))</f>
        <v>157.98488572680344</v>
      </c>
      <c r="BJ37" s="62">
        <f t="shared" si="38"/>
        <v>269.20989374735825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9.6347149323995271</v>
      </c>
      <c r="BQ37" s="23">
        <f>EXP(-LN(2)/25)*BQ36+(1-EXP(-LN(2)/25))/(LN(2)/25)*Calculateur!BL37*Calculateur!BN37*VLOOKUP('Données projet'!$B$11,Paramètres!$A$1:$I$89,3,0)*0.475*44/12</f>
        <v>2.9921382302027935</v>
      </c>
      <c r="BR37" s="23">
        <f>EXP(-LN(2)/2)*BR36+(1-EXP(-LN(2)/2))/(LN(2)/2)*BL37*BO37*VLOOKUP('Données projet'!$B$11,Paramètres!$A$1:$I$89,3,0)*0.475*44/12</f>
        <v>0.75807458597250399</v>
      </c>
      <c r="BS37" s="24">
        <f t="shared" si="9"/>
        <v>13.384927748574825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147.72913422715322</v>
      </c>
      <c r="T38" s="62">
        <f t="shared" si="34"/>
        <v>361.07991692964799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>
        <f>AI38*VLOOKUP('Données projet'!$B$10,Paramètres!$A$1:$I$89,3,0)*VLOOKUP('Données projet'!$B$10,Paramètres!$A$1:$I$89,5,0)</f>
        <v>0</v>
      </c>
      <c r="AK38" s="14" t="e">
        <f t="shared" si="35"/>
        <v>#NUM!</v>
      </c>
      <c r="AL38" s="22" t="e">
        <f t="shared" si="4"/>
        <v>#NUM!</v>
      </c>
      <c r="AM38" s="62" t="e">
        <f t="shared" si="5"/>
        <v>#NUM!</v>
      </c>
      <c r="AN38" s="62">
        <f ca="1">AVERAGE(OFFSET($AM$3,0,0,'Données projet'!$E$10+1,1))-AVERAGE(OFFSET($H$3,0,0,'Données projet'!$E$10+1,1))</f>
        <v>151.58413719376074</v>
      </c>
      <c r="AO38" s="62">
        <f t="shared" si="36"/>
        <v>310.105543138185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89.487630504111962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47.019939397399625</v>
      </c>
      <c r="AX38" s="23">
        <f t="shared" si="6"/>
        <v>136.5075699015116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12.625</v>
      </c>
      <c r="BD38" s="13">
        <f>IF('Données projet'!$A$88&gt;35,BD37+BC38-BL37,IF(A38&lt;'Données projet'!$A$88,$BA$205^A38,IF(A38='Données projet'!$A$88,'Données projet'!$B$88,BD37+BC38-BL37)))</f>
        <v>300.12500000000006</v>
      </c>
      <c r="BE38" s="14">
        <f>BD38*VLOOKUP('Données projet'!$B$11,Paramètres!$A$1:$I$89,3,0)*VLOOKUP('Données projet'!$B$11,Paramètres!$A$1:$I$89,5,0)</f>
        <v>179.47475000000006</v>
      </c>
      <c r="BF38" s="14">
        <f t="shared" si="37"/>
        <v>45.205307850969106</v>
      </c>
      <c r="BG38" s="22">
        <f t="shared" si="7"/>
        <v>391.31776742377127</v>
      </c>
      <c r="BH38" s="62">
        <f t="shared" si="8"/>
        <v>684.65110075710459</v>
      </c>
      <c r="BI38" s="62">
        <f ca="1">AVERAGE(OFFSET($BH$3,0,0,'Données projet'!$E$11+1,1))-AVERAGE(OFFSET($H$3,0,0,'Données projet'!$E$11+1,1))</f>
        <v>157.98488572680344</v>
      </c>
      <c r="BJ38" s="62">
        <f t="shared" si="38"/>
        <v>269.20989374735825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9.4457840491710154</v>
      </c>
      <c r="BQ38" s="23">
        <f>EXP(-LN(2)/25)*BQ37+(1-EXP(-LN(2)/25))/(LN(2)/25)*Calculateur!BL38*Calculateur!BN38*VLOOKUP('Données projet'!$B$11,Paramètres!$A$1:$I$89,3,0)*0.475*44/12</f>
        <v>2.9103180529481874</v>
      </c>
      <c r="BR38" s="23">
        <f>EXP(-LN(2)/2)*BR37+(1-EXP(-LN(2)/2))/(LN(2)/2)*BL38*BO38*VLOOKUP('Données projet'!$B$11,Paramètres!$A$1:$I$89,3,0)*0.475*44/12</f>
        <v>0.53603968038634198</v>
      </c>
      <c r="BS38" s="24">
        <f t="shared" si="9"/>
        <v>12.892141782505544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147.72913422715322</v>
      </c>
      <c r="T39" s="62">
        <f t="shared" si="34"/>
        <v>361.07991692964799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>
        <f>AI39*VLOOKUP('Données projet'!$B$10,Paramètres!$A$1:$I$89,3,0)*VLOOKUP('Données projet'!$B$10,Paramètres!$A$1:$I$89,5,0)</f>
        <v>0</v>
      </c>
      <c r="AK39" s="14" t="e">
        <f t="shared" si="35"/>
        <v>#NUM!</v>
      </c>
      <c r="AL39" s="22" t="e">
        <f t="shared" si="4"/>
        <v>#NUM!</v>
      </c>
      <c r="AM39" s="62" t="e">
        <f t="shared" si="5"/>
        <v>#NUM!</v>
      </c>
      <c r="AN39" s="62">
        <f ca="1">AVERAGE(OFFSET($AM$3,0,0,'Données projet'!$E$10+1,1))-AVERAGE(OFFSET($H$3,0,0,'Données projet'!$E$10+1,1))</f>
        <v>151.58413719376074</v>
      </c>
      <c r="AO39" s="62">
        <f t="shared" si="36"/>
        <v>310.105543138185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87.732832651991401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33.248117998881781</v>
      </c>
      <c r="AX39" s="23">
        <f t="shared" si="6"/>
        <v>120.98095065087318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12.625</v>
      </c>
      <c r="BD39" s="13">
        <f>IF('Données projet'!$A$88&gt;35,BD38+BC39-BL38,IF(A39&lt;'Données projet'!$A$88,$BA$205^A39,IF(A39='Données projet'!$A$88,'Données projet'!$B$88,BD38+BC39-BL38)))</f>
        <v>312.75000000000006</v>
      </c>
      <c r="BE39" s="14">
        <f>BD39*VLOOKUP('Données projet'!$B$11,Paramètres!$A$1:$I$89,3,0)*VLOOKUP('Données projet'!$B$11,Paramètres!$A$1:$I$89,5,0)</f>
        <v>187.02450000000005</v>
      </c>
      <c r="BF39" s="14">
        <f t="shared" si="37"/>
        <v>46.881508940362963</v>
      </c>
      <c r="BG39" s="22">
        <f t="shared" si="7"/>
        <v>407.38629890446555</v>
      </c>
      <c r="BH39" s="62">
        <f t="shared" si="8"/>
        <v>700.71963223779881</v>
      </c>
      <c r="BI39" s="62">
        <f ca="1">AVERAGE(OFFSET($BH$3,0,0,'Données projet'!$E$11+1,1))-AVERAGE(OFFSET($H$3,0,0,'Données projet'!$E$11+1,1))</f>
        <v>157.98488572680344</v>
      </c>
      <c r="BJ39" s="62">
        <f t="shared" si="38"/>
        <v>269.20989374735825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9.2605579853261553</v>
      </c>
      <c r="BQ39" s="23">
        <f>EXP(-LN(2)/25)*BQ38+(1-EXP(-LN(2)/25))/(LN(2)/25)*Calculateur!BL39*Calculateur!BN39*VLOOKUP('Données projet'!$B$11,Paramètres!$A$1:$I$89,3,0)*0.475*44/12</f>
        <v>2.8307352527433443</v>
      </c>
      <c r="BR39" s="23">
        <f>EXP(-LN(2)/2)*BR38+(1-EXP(-LN(2)/2))/(LN(2)/2)*BL39*BO39*VLOOKUP('Données projet'!$B$11,Paramètres!$A$1:$I$89,3,0)*0.475*44/12</f>
        <v>0.37903729298625199</v>
      </c>
      <c r="BS39" s="24">
        <f t="shared" si="9"/>
        <v>12.470330531055753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147.72913422715322</v>
      </c>
      <c r="T40" s="62">
        <f t="shared" si="34"/>
        <v>361.07991692964799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>
        <f>AI40*VLOOKUP('Données projet'!$B$10,Paramètres!$A$1:$I$89,3,0)*VLOOKUP('Données projet'!$B$10,Paramètres!$A$1:$I$89,5,0)</f>
        <v>0</v>
      </c>
      <c r="AK40" s="14" t="e">
        <f t="shared" si="35"/>
        <v>#NUM!</v>
      </c>
      <c r="AL40" s="22" t="e">
        <f t="shared" si="4"/>
        <v>#NUM!</v>
      </c>
      <c r="AM40" s="62" t="e">
        <f t="shared" si="5"/>
        <v>#NUM!</v>
      </c>
      <c r="AN40" s="62">
        <f ca="1">AVERAGE(OFFSET($AM$3,0,0,'Données projet'!$E$10+1,1))-AVERAGE(OFFSET($H$3,0,0,'Données projet'!$E$10+1,1))</f>
        <v>151.58413719376074</v>
      </c>
      <c r="AO40" s="62">
        <f t="shared" si="36"/>
        <v>310.105543138185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86.012445315429929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23.509969698699813</v>
      </c>
      <c r="AX40" s="23">
        <f t="shared" si="6"/>
        <v>109.52241501412973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12.625</v>
      </c>
      <c r="BD40" s="13">
        <f>IF('Données projet'!$A$88&gt;35,BD39+BC40-BL39,IF(A40&lt;'Données projet'!$A$88,$BA$205^A40,IF(A40='Données projet'!$A$88,'Données projet'!$B$88,BD39+BC40-BL39)))</f>
        <v>325.37500000000006</v>
      </c>
      <c r="BE40" s="14">
        <f>BD40*VLOOKUP('Données projet'!$B$11,Paramètres!$A$1:$I$89,3,0)*VLOOKUP('Données projet'!$B$11,Paramètres!$A$1:$I$89,5,0)</f>
        <v>194.57425000000006</v>
      </c>
      <c r="BF40" s="14">
        <f t="shared" si="37"/>
        <v>48.54985011520143</v>
      </c>
      <c r="BG40" s="22">
        <f t="shared" si="7"/>
        <v>423.44114103397595</v>
      </c>
      <c r="BH40" s="62">
        <f t="shared" si="8"/>
        <v>716.77447436730927</v>
      </c>
      <c r="BI40" s="62">
        <f ca="1">AVERAGE(OFFSET($BH$3,0,0,'Données projet'!$E$11+1,1))-AVERAGE(OFFSET($H$3,0,0,'Données projet'!$E$11+1,1))</f>
        <v>157.98488572680344</v>
      </c>
      <c r="BJ40" s="62">
        <f t="shared" si="38"/>
        <v>269.20989374735825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9.0789640916165482</v>
      </c>
      <c r="BQ40" s="23">
        <f>EXP(-LN(2)/25)*BQ39+(1-EXP(-LN(2)/25))/(LN(2)/25)*Calculateur!BL40*Calculateur!BN40*VLOOKUP('Données projet'!$B$11,Paramètres!$A$1:$I$89,3,0)*0.475*44/12</f>
        <v>2.7533286483951804</v>
      </c>
      <c r="BR40" s="23">
        <f>EXP(-LN(2)/2)*BR39+(1-EXP(-LN(2)/2))/(LN(2)/2)*BL40*BO40*VLOOKUP('Données projet'!$B$11,Paramètres!$A$1:$I$89,3,0)*0.475*44/12</f>
        <v>0.26801984019317099</v>
      </c>
      <c r="BS40" s="24">
        <f t="shared" si="9"/>
        <v>12.1003125802049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147.72913422715322</v>
      </c>
      <c r="T41" s="62">
        <f t="shared" si="34"/>
        <v>361.07991692964799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>
        <f>AI41*VLOOKUP('Données projet'!$B$10,Paramètres!$A$1:$I$89,3,0)*VLOOKUP('Données projet'!$B$10,Paramètres!$A$1:$I$89,5,0)</f>
        <v>0</v>
      </c>
      <c r="AK41" s="14" t="e">
        <f t="shared" si="35"/>
        <v>#NUM!</v>
      </c>
      <c r="AL41" s="22" t="e">
        <f t="shared" si="4"/>
        <v>#NUM!</v>
      </c>
      <c r="AM41" s="62" t="e">
        <f t="shared" si="5"/>
        <v>#NUM!</v>
      </c>
      <c r="AN41" s="62">
        <f ca="1">AVERAGE(OFFSET($AM$3,0,0,'Données projet'!$E$10+1,1))-AVERAGE(OFFSET($H$3,0,0,'Données projet'!$E$10+1,1))</f>
        <v>151.58413719376074</v>
      </c>
      <c r="AO41" s="62">
        <f t="shared" si="36"/>
        <v>310.105543138185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84.325793725205756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16.624058999440891</v>
      </c>
      <c r="AX41" s="23">
        <f t="shared" si="6"/>
        <v>100.94985272464665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>
        <f>VLOOKUP(A41,'Données projet'!$A$87:$I$107,2,0)</f>
        <v>338</v>
      </c>
      <c r="BB41" s="13">
        <f>VLOOKUP(A41,'Données projet'!$A$87:$I$107,9,0)</f>
        <v>12.625</v>
      </c>
      <c r="BC41" s="13">
        <f t="array" ref="BC41">INDEX(BB:BB,MIN(IF(ISNUMBER(BB41:BB237),ROW(BB41:BB237),"")))</f>
        <v>12.625</v>
      </c>
      <c r="BD41" s="13">
        <f>IF('Données projet'!$A$88&gt;35,BD40+BC41-BL40,IF(A41&lt;'Données projet'!$A$88,$BA$205^A41,IF(A41='Données projet'!$A$88,'Données projet'!$B$88,BD40+BC41-BL40)))</f>
        <v>338.00000000000006</v>
      </c>
      <c r="BE41" s="14">
        <f>BD41*VLOOKUP('Données projet'!$B$11,Paramètres!$A$1:$I$89,3,0)*VLOOKUP('Données projet'!$B$11,Paramètres!$A$1:$I$89,5,0)</f>
        <v>202.12400000000008</v>
      </c>
      <c r="BF41" s="14">
        <f t="shared" si="37"/>
        <v>50.210671256169846</v>
      </c>
      <c r="BG41" s="22">
        <f t="shared" si="7"/>
        <v>439.48288577116256</v>
      </c>
      <c r="BH41" s="62">
        <f t="shared" si="8"/>
        <v>732.81621910449587</v>
      </c>
      <c r="BI41" s="62">
        <f ca="1">AVERAGE(OFFSET($BH$3,0,0,'Données projet'!$E$11+1,1))-AVERAGE(OFFSET($H$3,0,0,'Données projet'!$E$11+1,1))</f>
        <v>157.98488572680344</v>
      </c>
      <c r="BJ41" s="62">
        <f t="shared" si="38"/>
        <v>269.20989374735825</v>
      </c>
      <c r="BK41" s="16">
        <f>IF(ISNA(VLOOKUP(A41,'Données projet'!$A$87:$I$107,3,0)),0,VLOOKUP(A41,'Données projet'!$A$87:$I$107,3,0))</f>
        <v>5</v>
      </c>
      <c r="BL41" s="16">
        <f>IF(ISNA(VLOOKUP(A41,'Données projet'!$A$87:$I$107,4,0)),0,VLOOKUP(A41,'Données projet'!$A$87:$I$107,4,0))</f>
        <v>338</v>
      </c>
      <c r="BM41" s="17">
        <f>IF(ISNA(VLOOKUP(A41,'Données projet'!$A$87:$I$107,5,0)),0%,VLOOKUP(A41,'Données projet'!$A$87:$I$107,5,0)*VLOOKUP('Données projet'!$B$11,Paramètres!$A$1:$I$89,7,0))</f>
        <v>0.315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0.3</v>
      </c>
      <c r="BP41" s="23">
        <f>EXP(-LN(2)/35)*BP40+(1-EXP(-LN(2)/35))/(LN(2)/35)*BL41*BM41*VLOOKUP('Données projet'!$B$11,Paramètres!$A$1:$I$89,3,0)*0.475*44/12</f>
        <v>93.362043050648666</v>
      </c>
      <c r="BQ41" s="23">
        <f>EXP(-LN(2)/25)*BQ40+(1-EXP(-LN(2)/25))/(LN(2)/25)*Calculateur!BL41*Calculateur!BN41*VLOOKUP('Données projet'!$B$11,Paramètres!$A$1:$I$89,3,0)*0.475*44/12</f>
        <v>2.6780387317135532</v>
      </c>
      <c r="BR41" s="23">
        <f>EXP(-LN(2)/2)*BR40+(1-EXP(-LN(2)/2))/(LN(2)/2)*BL41*BO41*VLOOKUP('Données projet'!$B$11,Paramètres!$A$1:$I$89,3,0)*0.475*44/12</f>
        <v>68.844914918064944</v>
      </c>
      <c r="BS41" s="24">
        <f t="shared" si="9"/>
        <v>164.88499670042717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147.72913422715322</v>
      </c>
      <c r="T42" s="62">
        <f t="shared" si="34"/>
        <v>361.07991692964799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>
        <f>AI42*VLOOKUP('Données projet'!$B$10,Paramètres!$A$1:$I$89,3,0)*VLOOKUP('Données projet'!$B$10,Paramètres!$A$1:$I$89,5,0)</f>
        <v>0</v>
      </c>
      <c r="AK42" s="14" t="e">
        <f t="shared" si="35"/>
        <v>#NUM!</v>
      </c>
      <c r="AL42" s="22" t="e">
        <f t="shared" si="4"/>
        <v>#NUM!</v>
      </c>
      <c r="AM42" s="62" t="e">
        <f t="shared" si="5"/>
        <v>#NUM!</v>
      </c>
      <c r="AN42" s="62">
        <f ca="1">AVERAGE(OFFSET($AM$3,0,0,'Données projet'!$E$10+1,1))-AVERAGE(OFFSET($H$3,0,0,'Données projet'!$E$10+1,1))</f>
        <v>151.58413719376074</v>
      </c>
      <c r="AO42" s="62">
        <f t="shared" si="36"/>
        <v>310.105543138185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82.672216343909994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11.754984849349906</v>
      </c>
      <c r="AX42" s="23">
        <f t="shared" si="6"/>
        <v>94.427201193259904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5.6843418860808015E-14</v>
      </c>
      <c r="BE42" s="14">
        <f>BD42*VLOOKUP('Données projet'!$B$11,Paramètres!$A$1:$I$89,3,0)*VLOOKUP('Données projet'!$B$11,Paramètres!$A$1:$I$89,5,0)</f>
        <v>3.3992364478763198E-14</v>
      </c>
      <c r="BF42" s="14">
        <f t="shared" si="37"/>
        <v>5.790027782444094E-13</v>
      </c>
      <c r="BG42" s="22">
        <f t="shared" si="7"/>
        <v>1.0676332069095257E-12</v>
      </c>
      <c r="BH42" s="62">
        <f t="shared" si="8"/>
        <v>293.33333333333439</v>
      </c>
      <c r="BI42" s="62">
        <f ca="1">AVERAGE(OFFSET($BH$3,0,0,'Données projet'!$E$11+1,1))-AVERAGE(OFFSET($H$3,0,0,'Données projet'!$E$11+1,1))</f>
        <v>157.98488572680344</v>
      </c>
      <c r="BJ42" s="62">
        <f t="shared" si="38"/>
        <v>269.20989374735825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91.531270331648827</v>
      </c>
      <c r="BQ42" s="23">
        <f>EXP(-LN(2)/25)*BQ41+(1-EXP(-LN(2)/25))/(LN(2)/25)*Calculateur!BL42*Calculateur!BN42*VLOOKUP('Données projet'!$B$11,Paramètres!$A$1:$I$89,3,0)*0.475*44/12</f>
        <v>2.6048076217629101</v>
      </c>
      <c r="BR42" s="23">
        <f>EXP(-LN(2)/2)*BR41+(1-EXP(-LN(2)/2))/(LN(2)/2)*BL42*BO42*VLOOKUP('Données projet'!$B$11,Paramètres!$A$1:$I$89,3,0)*0.475*44/12</f>
        <v>48.680706188774636</v>
      </c>
      <c r="BS42" s="24">
        <f t="shared" si="9"/>
        <v>142.81678414218638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147.72913422715322</v>
      </c>
      <c r="T43" s="62">
        <f t="shared" si="34"/>
        <v>361.07991692964799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>
        <f>AI43*VLOOKUP('Données projet'!$B$10,Paramètres!$A$1:$I$89,3,0)*VLOOKUP('Données projet'!$B$10,Paramètres!$A$1:$I$89,5,0)</f>
        <v>0</v>
      </c>
      <c r="AK43" s="14" t="e">
        <f t="shared" si="35"/>
        <v>#NUM!</v>
      </c>
      <c r="AL43" s="22" t="e">
        <f t="shared" si="4"/>
        <v>#NUM!</v>
      </c>
      <c r="AM43" s="62" t="e">
        <f t="shared" si="5"/>
        <v>#NUM!</v>
      </c>
      <c r="AN43" s="62">
        <f ca="1">AVERAGE(OFFSET($AM$3,0,0,'Données projet'!$E$10+1,1))-AVERAGE(OFFSET($H$3,0,0,'Données projet'!$E$10+1,1))</f>
        <v>151.58413719376074</v>
      </c>
      <c r="AO43" s="62">
        <f t="shared" si="36"/>
        <v>310.105543138185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81.051064606478832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8.3120294997204454</v>
      </c>
      <c r="AX43" s="23">
        <f t="shared" si="6"/>
        <v>89.36309410619927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5.6843418860808015E-14</v>
      </c>
      <c r="BE43" s="14">
        <f>BD43*VLOOKUP('Données projet'!$B$11,Paramètres!$A$1:$I$89,3,0)*VLOOKUP('Données projet'!$B$11,Paramètres!$A$1:$I$89,5,0)</f>
        <v>3.3992364478763198E-14</v>
      </c>
      <c r="BF43" s="14">
        <f t="shared" si="37"/>
        <v>5.790027782444094E-13</v>
      </c>
      <c r="BG43" s="22">
        <f t="shared" si="7"/>
        <v>1.0676332069095257E-12</v>
      </c>
      <c r="BH43" s="62">
        <f t="shared" si="8"/>
        <v>293.33333333333439</v>
      </c>
      <c r="BI43" s="62">
        <f ca="1">AVERAGE(OFFSET($BH$3,0,0,'Données projet'!$E$11+1,1))-AVERAGE(OFFSET($H$3,0,0,'Données projet'!$E$11+1,1))</f>
        <v>157.98488572680344</v>
      </c>
      <c r="BJ43" s="62">
        <f t="shared" si="38"/>
        <v>269.20989374735825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89.736397949007483</v>
      </c>
      <c r="BQ43" s="23">
        <f>EXP(-LN(2)/25)*BQ42+(1-EXP(-LN(2)/25))/(LN(2)/25)*Calculateur!BL43*Calculateur!BN43*VLOOKUP('Données projet'!$B$11,Paramètres!$A$1:$I$89,3,0)*0.475*44/12</f>
        <v>2.533579020364924</v>
      </c>
      <c r="BR43" s="23">
        <f>EXP(-LN(2)/2)*BR42+(1-EXP(-LN(2)/2))/(LN(2)/2)*BL43*BO43*VLOOKUP('Données projet'!$B$11,Paramètres!$A$1:$I$89,3,0)*0.475*44/12</f>
        <v>34.422457459032479</v>
      </c>
      <c r="BS43" s="24">
        <f t="shared" si="9"/>
        <v>126.69243442840488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147.72913422715322</v>
      </c>
      <c r="T44" s="62">
        <f t="shared" si="34"/>
        <v>361.07991692964799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>
        <f>AI44*VLOOKUP('Données projet'!$B$10,Paramètres!$A$1:$I$89,3,0)*VLOOKUP('Données projet'!$B$10,Paramètres!$A$1:$I$89,5,0)</f>
        <v>0</v>
      </c>
      <c r="AK44" s="14" t="e">
        <f t="shared" si="35"/>
        <v>#NUM!</v>
      </c>
      <c r="AL44" s="22" t="e">
        <f t="shared" si="4"/>
        <v>#NUM!</v>
      </c>
      <c r="AM44" s="62" t="e">
        <f t="shared" si="5"/>
        <v>#NUM!</v>
      </c>
      <c r="AN44" s="62">
        <f ca="1">AVERAGE(OFFSET($AM$3,0,0,'Données projet'!$E$10+1,1))-AVERAGE(OFFSET($H$3,0,0,'Données projet'!$E$10+1,1))</f>
        <v>151.58413719376074</v>
      </c>
      <c r="AO44" s="62">
        <f t="shared" si="36"/>
        <v>310.105543138185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79.46170266581376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5.8774924246749531</v>
      </c>
      <c r="AX44" s="23">
        <f t="shared" si="6"/>
        <v>85.339195090488715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5.6843418860808015E-14</v>
      </c>
      <c r="BE44" s="14">
        <f>BD44*VLOOKUP('Données projet'!$B$11,Paramètres!$A$1:$I$89,3,0)*VLOOKUP('Données projet'!$B$11,Paramètres!$A$1:$I$89,5,0)</f>
        <v>3.3992364478763198E-14</v>
      </c>
      <c r="BF44" s="14">
        <f t="shared" si="37"/>
        <v>5.790027782444094E-13</v>
      </c>
      <c r="BG44" s="22">
        <f t="shared" si="7"/>
        <v>1.0676332069095257E-12</v>
      </c>
      <c r="BH44" s="62">
        <f t="shared" si="8"/>
        <v>293.33333333333439</v>
      </c>
      <c r="BI44" s="62">
        <f ca="1">AVERAGE(OFFSET($BH$3,0,0,'Données projet'!$E$11+1,1))-AVERAGE(OFFSET($H$3,0,0,'Données projet'!$E$11+1,1))</f>
        <v>157.98488572680344</v>
      </c>
      <c r="BJ44" s="62">
        <f t="shared" si="38"/>
        <v>269.20989374735825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87.976721919025678</v>
      </c>
      <c r="BQ44" s="23">
        <f>EXP(-LN(2)/25)*BQ43+(1-EXP(-LN(2)/25))/(LN(2)/25)*Calculateur!BL44*Calculateur!BN44*VLOOKUP('Données projet'!$B$11,Paramètres!$A$1:$I$89,3,0)*0.475*44/12</f>
        <v>2.4642981688179151</v>
      </c>
      <c r="BR44" s="23">
        <f>EXP(-LN(2)/2)*BR43+(1-EXP(-LN(2)/2))/(LN(2)/2)*BL44*BO44*VLOOKUP('Données projet'!$B$11,Paramètres!$A$1:$I$89,3,0)*0.475*44/12</f>
        <v>24.340353094387321</v>
      </c>
      <c r="BS44" s="24">
        <f t="shared" si="9"/>
        <v>114.78137318223092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147.72913422715322</v>
      </c>
      <c r="T45" s="62">
        <f t="shared" si="34"/>
        <v>361.07991692964799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>
        <f>AI45*VLOOKUP('Données projet'!$B$10,Paramètres!$A$1:$I$89,3,0)*VLOOKUP('Données projet'!$B$10,Paramètres!$A$1:$I$89,5,0)</f>
        <v>0</v>
      </c>
      <c r="AK45" s="14" t="e">
        <f t="shared" si="35"/>
        <v>#NUM!</v>
      </c>
      <c r="AL45" s="22" t="e">
        <f t="shared" si="4"/>
        <v>#NUM!</v>
      </c>
      <c r="AM45" s="62" t="e">
        <f t="shared" si="5"/>
        <v>#NUM!</v>
      </c>
      <c r="AN45" s="62">
        <f ca="1">AVERAGE(OFFSET($AM$3,0,0,'Données projet'!$E$10+1,1))-AVERAGE(OFFSET($H$3,0,0,'Données projet'!$E$10+1,1))</f>
        <v>151.58413719376074</v>
      </c>
      <c r="AO45" s="62">
        <f t="shared" si="36"/>
        <v>310.105543138185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77.903507143390073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4.1560147498602227</v>
      </c>
      <c r="AX45" s="23">
        <f t="shared" si="6"/>
        <v>82.059521893250292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5.6843418860808015E-14</v>
      </c>
      <c r="BE45" s="14">
        <f>BD45*VLOOKUP('Données projet'!$B$11,Paramètres!$A$1:$I$89,3,0)*VLOOKUP('Données projet'!$B$11,Paramètres!$A$1:$I$89,5,0)</f>
        <v>3.3992364478763198E-14</v>
      </c>
      <c r="BF45" s="14">
        <f t="shared" si="37"/>
        <v>5.790027782444094E-13</v>
      </c>
      <c r="BG45" s="22">
        <f t="shared" si="7"/>
        <v>1.0676332069095257E-12</v>
      </c>
      <c r="BH45" s="62">
        <f t="shared" si="8"/>
        <v>293.33333333333439</v>
      </c>
      <c r="BI45" s="62">
        <f ca="1">AVERAGE(OFFSET($BH$3,0,0,'Données projet'!$E$11+1,1))-AVERAGE(OFFSET($H$3,0,0,'Données projet'!$E$11+1,1))</f>
        <v>157.98488572680344</v>
      </c>
      <c r="BJ45" s="62">
        <f t="shared" si="38"/>
        <v>269.20989374735825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86.251552062695424</v>
      </c>
      <c r="BQ45" s="23">
        <f>EXP(-LN(2)/25)*BQ44+(1-EXP(-LN(2)/25))/(LN(2)/25)*Calculateur!BL45*Calculateur!BN45*VLOOKUP('Données projet'!$B$11,Paramètres!$A$1:$I$89,3,0)*0.475*44/12</f>
        <v>2.3969118057997809</v>
      </c>
      <c r="BR45" s="23">
        <f>EXP(-LN(2)/2)*BR44+(1-EXP(-LN(2)/2))/(LN(2)/2)*BL45*BO45*VLOOKUP('Données projet'!$B$11,Paramètres!$A$1:$I$89,3,0)*0.475*44/12</f>
        <v>17.211228729516243</v>
      </c>
      <c r="BS45" s="24">
        <f t="shared" si="9"/>
        <v>105.85969259801143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147.72913422715322</v>
      </c>
      <c r="T46" s="62">
        <f t="shared" si="34"/>
        <v>361.07991692964799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>
        <f>AI46*VLOOKUP('Données projet'!$B$10,Paramètres!$A$1:$I$89,3,0)*VLOOKUP('Données projet'!$B$10,Paramètres!$A$1:$I$89,5,0)</f>
        <v>0</v>
      </c>
      <c r="AK46" s="14" t="e">
        <f t="shared" si="35"/>
        <v>#NUM!</v>
      </c>
      <c r="AL46" s="22" t="e">
        <f t="shared" si="4"/>
        <v>#NUM!</v>
      </c>
      <c r="AM46" s="62" t="e">
        <f t="shared" si="5"/>
        <v>#NUM!</v>
      </c>
      <c r="AN46" s="62">
        <f ca="1">AVERAGE(OFFSET($AM$3,0,0,'Données projet'!$E$10+1,1))-AVERAGE(OFFSET($H$3,0,0,'Données projet'!$E$10+1,1))</f>
        <v>151.58413719376074</v>
      </c>
      <c r="AO46" s="62">
        <f t="shared" si="36"/>
        <v>310.105543138185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76.375866884755695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2.9387462123374766</v>
      </c>
      <c r="AX46" s="23">
        <f t="shared" si="6"/>
        <v>79.314613097093172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5.6843418860808015E-14</v>
      </c>
      <c r="BE46" s="14">
        <f>BD46*VLOOKUP('Données projet'!$B$11,Paramètres!$A$1:$I$89,3,0)*VLOOKUP('Données projet'!$B$11,Paramètres!$A$1:$I$89,5,0)</f>
        <v>3.3992364478763198E-14</v>
      </c>
      <c r="BF46" s="14">
        <f t="shared" si="37"/>
        <v>5.790027782444094E-13</v>
      </c>
      <c r="BG46" s="22">
        <f t="shared" si="7"/>
        <v>1.0676332069095257E-12</v>
      </c>
      <c r="BH46" s="62">
        <f t="shared" si="8"/>
        <v>293.33333333333439</v>
      </c>
      <c r="BI46" s="62">
        <f ca="1">AVERAGE(OFFSET($BH$3,0,0,'Données projet'!$E$11+1,1))-AVERAGE(OFFSET($H$3,0,0,'Données projet'!$E$11+1,1))</f>
        <v>157.98488572680344</v>
      </c>
      <c r="BJ46" s="62">
        <f t="shared" si="38"/>
        <v>269.20989374735825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84.560211734998092</v>
      </c>
      <c r="BQ46" s="23">
        <f>EXP(-LN(2)/25)*BQ45+(1-EXP(-LN(2)/25))/(LN(2)/25)*Calculateur!BL46*Calculateur!BN46*VLOOKUP('Données projet'!$B$11,Paramètres!$A$1:$I$89,3,0)*0.475*44/12</f>
        <v>2.3313681264220723</v>
      </c>
      <c r="BR46" s="23">
        <f>EXP(-LN(2)/2)*BR45+(1-EXP(-LN(2)/2))/(LN(2)/2)*BL46*BO46*VLOOKUP('Données projet'!$B$11,Paramètres!$A$1:$I$89,3,0)*0.475*44/12</f>
        <v>12.170176547193662</v>
      </c>
      <c r="BS46" s="24">
        <f t="shared" si="9"/>
        <v>99.061756408613832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147.72913422715322</v>
      </c>
      <c r="T47" s="62">
        <f t="shared" si="34"/>
        <v>361.07991692964799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>
        <f>AI47*VLOOKUP('Données projet'!$B$10,Paramètres!$A$1:$I$89,3,0)*VLOOKUP('Données projet'!$B$10,Paramètres!$A$1:$I$89,5,0)</f>
        <v>0</v>
      </c>
      <c r="AK47" s="14" t="e">
        <f t="shared" si="35"/>
        <v>#NUM!</v>
      </c>
      <c r="AL47" s="22" t="e">
        <f t="shared" si="4"/>
        <v>#NUM!</v>
      </c>
      <c r="AM47" s="62" t="e">
        <f t="shared" si="5"/>
        <v>#NUM!</v>
      </c>
      <c r="AN47" s="62">
        <f ca="1">AVERAGE(OFFSET($AM$3,0,0,'Données projet'!$E$10+1,1))-AVERAGE(OFFSET($H$3,0,0,'Données projet'!$E$10+1,1))</f>
        <v>151.58413719376074</v>
      </c>
      <c r="AO47" s="62">
        <f t="shared" si="36"/>
        <v>310.105543138185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74.878182719824579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2.0780073749301113</v>
      </c>
      <c r="AX47" s="23">
        <f t="shared" si="6"/>
        <v>76.956190094754689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5.6843418860808015E-14</v>
      </c>
      <c r="BE47" s="14">
        <f>BD47*VLOOKUP('Données projet'!$B$11,Paramètres!$A$1:$I$89,3,0)*VLOOKUP('Données projet'!$B$11,Paramètres!$A$1:$I$89,5,0)</f>
        <v>3.3992364478763198E-14</v>
      </c>
      <c r="BF47" s="14">
        <f t="shared" si="37"/>
        <v>5.790027782444094E-13</v>
      </c>
      <c r="BG47" s="22">
        <f t="shared" si="7"/>
        <v>1.0676332069095257E-12</v>
      </c>
      <c r="BH47" s="62">
        <f t="shared" si="8"/>
        <v>293.33333333333439</v>
      </c>
      <c r="BI47" s="62">
        <f ca="1">AVERAGE(OFFSET($BH$3,0,0,'Données projet'!$E$11+1,1))-AVERAGE(OFFSET($H$3,0,0,'Données projet'!$E$11+1,1))</f>
        <v>157.98488572680344</v>
      </c>
      <c r="BJ47" s="62">
        <f t="shared" si="38"/>
        <v>269.20989374735825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82.902037559511172</v>
      </c>
      <c r="BQ47" s="23">
        <f>EXP(-LN(2)/25)*BQ46+(1-EXP(-LN(2)/25))/(LN(2)/25)*Calculateur!BL47*Calculateur!BN47*VLOOKUP('Données projet'!$B$11,Paramètres!$A$1:$I$89,3,0)*0.475*44/12</f>
        <v>2.2676167424037392</v>
      </c>
      <c r="BR47" s="23">
        <f>EXP(-LN(2)/2)*BR46+(1-EXP(-LN(2)/2))/(LN(2)/2)*BL47*BO47*VLOOKUP('Données projet'!$B$11,Paramètres!$A$1:$I$89,3,0)*0.475*44/12</f>
        <v>8.6056143647581216</v>
      </c>
      <c r="BS47" s="24">
        <f t="shared" si="9"/>
        <v>93.775268666673043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147.72913422715322</v>
      </c>
      <c r="T48" s="62">
        <f t="shared" si="34"/>
        <v>361.07991692964799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>
        <f>AI48*VLOOKUP('Données projet'!$B$10,Paramètres!$A$1:$I$89,3,0)*VLOOKUP('Données projet'!$B$10,Paramètres!$A$1:$I$89,5,0)</f>
        <v>0</v>
      </c>
      <c r="AK48" s="14" t="e">
        <f t="shared" si="35"/>
        <v>#NUM!</v>
      </c>
      <c r="AL48" s="22" t="e">
        <f t="shared" si="4"/>
        <v>#NUM!</v>
      </c>
      <c r="AM48" s="62" t="e">
        <f t="shared" si="5"/>
        <v>#NUM!</v>
      </c>
      <c r="AN48" s="62">
        <f ca="1">AVERAGE(OFFSET($AM$3,0,0,'Données projet'!$E$10+1,1))-AVERAGE(OFFSET($H$3,0,0,'Données projet'!$E$10+1,1))</f>
        <v>151.58413719376074</v>
      </c>
      <c r="AO48" s="62">
        <f t="shared" si="36"/>
        <v>310.105543138185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73.40986722787062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1.4693731061687383</v>
      </c>
      <c r="AX48" s="23">
        <f t="shared" si="6"/>
        <v>74.879240334039352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5.6843418860808015E-14</v>
      </c>
      <c r="BE48" s="14">
        <f>BD48*VLOOKUP('Données projet'!$B$11,Paramètres!$A$1:$I$89,3,0)*VLOOKUP('Données projet'!$B$11,Paramètres!$A$1:$I$89,5,0)</f>
        <v>3.3992364478763198E-14</v>
      </c>
      <c r="BF48" s="14">
        <f t="shared" si="37"/>
        <v>5.790027782444094E-13</v>
      </c>
      <c r="BG48" s="22">
        <f t="shared" si="7"/>
        <v>1.0676332069095257E-12</v>
      </c>
      <c r="BH48" s="62">
        <f t="shared" si="8"/>
        <v>293.33333333333439</v>
      </c>
      <c r="BI48" s="62">
        <f ca="1">AVERAGE(OFFSET($BH$3,0,0,'Données projet'!$E$11+1,1))-AVERAGE(OFFSET($H$3,0,0,'Données projet'!$E$11+1,1))</f>
        <v>157.98488572680344</v>
      </c>
      <c r="BJ48" s="62">
        <f t="shared" si="38"/>
        <v>269.20989374735825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81.276379168219165</v>
      </c>
      <c r="BQ48" s="23">
        <f>EXP(-LN(2)/25)*BQ47+(1-EXP(-LN(2)/25))/(LN(2)/25)*Calculateur!BL48*Calculateur!BN48*VLOOKUP('Données projet'!$B$11,Paramètres!$A$1:$I$89,3,0)*0.475*44/12</f>
        <v>2.2056086433339273</v>
      </c>
      <c r="BR48" s="23">
        <f>EXP(-LN(2)/2)*BR47+(1-EXP(-LN(2)/2))/(LN(2)/2)*BL48*BO48*VLOOKUP('Données projet'!$B$11,Paramètres!$A$1:$I$89,3,0)*0.475*44/12</f>
        <v>6.0850882735968312</v>
      </c>
      <c r="BS48" s="24">
        <f t="shared" si="9"/>
        <v>89.567076085149921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147.72913422715322</v>
      </c>
      <c r="T49" s="62">
        <f t="shared" si="34"/>
        <v>361.07991692964799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>
        <f>AI49*VLOOKUP('Données projet'!$B$10,Paramètres!$A$1:$I$89,3,0)*VLOOKUP('Données projet'!$B$10,Paramètres!$A$1:$I$89,5,0)</f>
        <v>0</v>
      </c>
      <c r="AK49" s="14" t="e">
        <f t="shared" si="35"/>
        <v>#NUM!</v>
      </c>
      <c r="AL49" s="22" t="e">
        <f t="shared" si="4"/>
        <v>#NUM!</v>
      </c>
      <c r="AM49" s="62" t="e">
        <f t="shared" si="5"/>
        <v>#NUM!</v>
      </c>
      <c r="AN49" s="62">
        <f ca="1">AVERAGE(OFFSET($AM$3,0,0,'Données projet'!$E$10+1,1))-AVERAGE(OFFSET($H$3,0,0,'Données projet'!$E$10+1,1))</f>
        <v>151.58413719376074</v>
      </c>
      <c r="AO49" s="62">
        <f t="shared" si="36"/>
        <v>310.105543138185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71.970344507129866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1.0390036874650557</v>
      </c>
      <c r="AX49" s="23">
        <f t="shared" si="6"/>
        <v>73.009348194594921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5.6843418860808015E-14</v>
      </c>
      <c r="BE49" s="14">
        <f>BD49*VLOOKUP('Données projet'!$B$11,Paramètres!$A$1:$I$89,3,0)*VLOOKUP('Données projet'!$B$11,Paramètres!$A$1:$I$89,5,0)</f>
        <v>3.3992364478763198E-14</v>
      </c>
      <c r="BF49" s="14">
        <f t="shared" si="37"/>
        <v>5.790027782444094E-13</v>
      </c>
      <c r="BG49" s="22">
        <f t="shared" si="7"/>
        <v>1.0676332069095257E-12</v>
      </c>
      <c r="BH49" s="62">
        <f t="shared" si="8"/>
        <v>293.33333333333439</v>
      </c>
      <c r="BI49" s="62">
        <f ca="1">AVERAGE(OFFSET($BH$3,0,0,'Données projet'!$E$11+1,1))-AVERAGE(OFFSET($H$3,0,0,'Données projet'!$E$11+1,1))</f>
        <v>157.98488572680344</v>
      </c>
      <c r="BJ49" s="62">
        <f t="shared" si="38"/>
        <v>269.20989374735825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79.68259894642668</v>
      </c>
      <c r="BQ49" s="23">
        <f>EXP(-LN(2)/25)*BQ48+(1-EXP(-LN(2)/25))/(LN(2)/25)*Calculateur!BL49*Calculateur!BN49*VLOOKUP('Données projet'!$B$11,Paramètres!$A$1:$I$89,3,0)*0.475*44/12</f>
        <v>2.1452961589940434</v>
      </c>
      <c r="BR49" s="23">
        <f>EXP(-LN(2)/2)*BR48+(1-EXP(-LN(2)/2))/(LN(2)/2)*BL49*BO49*VLOOKUP('Données projet'!$B$11,Paramètres!$A$1:$I$89,3,0)*0.475*44/12</f>
        <v>4.3028071823790608</v>
      </c>
      <c r="BS49" s="24">
        <f t="shared" si="9"/>
        <v>86.130702287799778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147.72913422715322</v>
      </c>
      <c r="T50" s="62">
        <f t="shared" si="34"/>
        <v>361.07991692964799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>
        <f>AI50*VLOOKUP('Données projet'!$B$10,Paramètres!$A$1:$I$89,3,0)*VLOOKUP('Données projet'!$B$10,Paramètres!$A$1:$I$89,5,0)</f>
        <v>0</v>
      </c>
      <c r="AK50" s="14" t="e">
        <f t="shared" si="35"/>
        <v>#NUM!</v>
      </c>
      <c r="AL50" s="22" t="e">
        <f t="shared" si="4"/>
        <v>#NUM!</v>
      </c>
      <c r="AM50" s="62" t="e">
        <f t="shared" si="5"/>
        <v>#NUM!</v>
      </c>
      <c r="AN50" s="62">
        <f ca="1">AVERAGE(OFFSET($AM$3,0,0,'Données projet'!$E$10+1,1))-AVERAGE(OFFSET($H$3,0,0,'Données projet'!$E$10+1,1))</f>
        <v>151.58413719376074</v>
      </c>
      <c r="AO50" s="62">
        <f t="shared" si="36"/>
        <v>310.105543138185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70.559049948920674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0.73468655308436914</v>
      </c>
      <c r="AX50" s="23">
        <f t="shared" si="6"/>
        <v>71.293736502005046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5.6843418860808015E-14</v>
      </c>
      <c r="BE50" s="14">
        <f>BD50*VLOOKUP('Données projet'!$B$11,Paramètres!$A$1:$I$89,3,0)*VLOOKUP('Données projet'!$B$11,Paramètres!$A$1:$I$89,5,0)</f>
        <v>3.3992364478763198E-14</v>
      </c>
      <c r="BF50" s="14">
        <f t="shared" si="37"/>
        <v>5.790027782444094E-13</v>
      </c>
      <c r="BG50" s="22">
        <f t="shared" si="7"/>
        <v>1.0676332069095257E-12</v>
      </c>
      <c r="BH50" s="62">
        <f t="shared" si="8"/>
        <v>293.33333333333439</v>
      </c>
      <c r="BI50" s="62">
        <f ca="1">AVERAGE(OFFSET($BH$3,0,0,'Données projet'!$E$11+1,1))-AVERAGE(OFFSET($H$3,0,0,'Données projet'!$E$11+1,1))</f>
        <v>157.98488572680344</v>
      </c>
      <c r="BJ50" s="62">
        <f t="shared" si="38"/>
        <v>269.20989374735825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78.120071782673605</v>
      </c>
      <c r="BQ50" s="23">
        <f>EXP(-LN(2)/25)*BQ49+(1-EXP(-LN(2)/25))/(LN(2)/25)*Calculateur!BL50*Calculateur!BN50*VLOOKUP('Données projet'!$B$11,Paramètres!$A$1:$I$89,3,0)*0.475*44/12</f>
        <v>2.0866329227101295</v>
      </c>
      <c r="BR50" s="23">
        <f>EXP(-LN(2)/2)*BR49+(1-EXP(-LN(2)/2))/(LN(2)/2)*BL50*BO50*VLOOKUP('Données projet'!$B$11,Paramètres!$A$1:$I$89,3,0)*0.475*44/12</f>
        <v>3.0425441367984156</v>
      </c>
      <c r="BS50" s="24">
        <f t="shared" si="9"/>
        <v>83.249248842182141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147.72913422715322</v>
      </c>
      <c r="T51" s="62">
        <f t="shared" si="34"/>
        <v>361.07991692964799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>
        <f>AI51*VLOOKUP('Données projet'!$B$10,Paramètres!$A$1:$I$89,3,0)*VLOOKUP('Données projet'!$B$10,Paramètres!$A$1:$I$89,5,0)</f>
        <v>0</v>
      </c>
      <c r="AK51" s="14" t="e">
        <f t="shared" si="35"/>
        <v>#NUM!</v>
      </c>
      <c r="AL51" s="22" t="e">
        <f t="shared" si="4"/>
        <v>#NUM!</v>
      </c>
      <c r="AM51" s="62" t="e">
        <f t="shared" si="5"/>
        <v>#NUM!</v>
      </c>
      <c r="AN51" s="62">
        <f ca="1">AVERAGE(OFFSET($AM$3,0,0,'Données projet'!$E$10+1,1))-AVERAGE(OFFSET($H$3,0,0,'Données projet'!$E$10+1,1))</f>
        <v>151.58413719376074</v>
      </c>
      <c r="AO51" s="62">
        <f t="shared" si="36"/>
        <v>310.105543138185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69.175430016193275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0.51950184373252783</v>
      </c>
      <c r="AX51" s="23">
        <f t="shared" si="6"/>
        <v>69.694931859925802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5.6843418860808015E-14</v>
      </c>
      <c r="BE51" s="14">
        <f>BD51*VLOOKUP('Données projet'!$B$11,Paramètres!$A$1:$I$89,3,0)*VLOOKUP('Données projet'!$B$11,Paramètres!$A$1:$I$89,5,0)</f>
        <v>3.3992364478763198E-14</v>
      </c>
      <c r="BF51" s="14">
        <f t="shared" si="37"/>
        <v>5.790027782444094E-13</v>
      </c>
      <c r="BG51" s="22">
        <f t="shared" si="7"/>
        <v>1.0676332069095257E-12</v>
      </c>
      <c r="BH51" s="62">
        <f t="shared" si="8"/>
        <v>293.33333333333439</v>
      </c>
      <c r="BI51" s="62">
        <f ca="1">AVERAGE(OFFSET($BH$3,0,0,'Données projet'!$E$11+1,1))-AVERAGE(OFFSET($H$3,0,0,'Données projet'!$E$11+1,1))</f>
        <v>157.98488572680344</v>
      </c>
      <c r="BJ51" s="62">
        <f t="shared" si="38"/>
        <v>269.20989374735825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76.588184823554258</v>
      </c>
      <c r="BQ51" s="23">
        <f>EXP(-LN(2)/25)*BQ50+(1-EXP(-LN(2)/25))/(LN(2)/25)*Calculateur!BL51*Calculateur!BN51*VLOOKUP('Données projet'!$B$11,Paramètres!$A$1:$I$89,3,0)*0.475*44/12</f>
        <v>2.0295738357073647</v>
      </c>
      <c r="BR51" s="23">
        <f>EXP(-LN(2)/2)*BR50+(1-EXP(-LN(2)/2))/(LN(2)/2)*BL51*BO51*VLOOKUP('Données projet'!$B$11,Paramètres!$A$1:$I$89,3,0)*0.475*44/12</f>
        <v>2.1514035911895304</v>
      </c>
      <c r="BS51" s="24">
        <f t="shared" si="9"/>
        <v>80.76916225045116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147.72913422715322</v>
      </c>
      <c r="T52" s="62">
        <f t="shared" si="34"/>
        <v>361.07991692964799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>
        <f>AI52*VLOOKUP('Données projet'!$B$10,Paramètres!$A$1:$I$89,3,0)*VLOOKUP('Données projet'!$B$10,Paramètres!$A$1:$I$89,5,0)</f>
        <v>0</v>
      </c>
      <c r="AK52" s="14" t="e">
        <f t="shared" si="35"/>
        <v>#NUM!</v>
      </c>
      <c r="AL52" s="22" t="e">
        <f t="shared" si="4"/>
        <v>#NUM!</v>
      </c>
      <c r="AM52" s="62" t="e">
        <f t="shared" si="5"/>
        <v>#NUM!</v>
      </c>
      <c r="AN52" s="62">
        <f ca="1">AVERAGE(OFFSET($AM$3,0,0,'Données projet'!$E$10+1,1))-AVERAGE(OFFSET($H$3,0,0,'Données projet'!$E$10+1,1))</f>
        <v>151.58413719376074</v>
      </c>
      <c r="AO52" s="62">
        <f t="shared" si="36"/>
        <v>310.105543138185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67.818942026421837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0.36734327654218457</v>
      </c>
      <c r="AX52" s="23">
        <f t="shared" si="6"/>
        <v>68.186285302964023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5.6843418860808015E-14</v>
      </c>
      <c r="BE52" s="14">
        <f>BD52*VLOOKUP('Données projet'!$B$11,Paramètres!$A$1:$I$89,3,0)*VLOOKUP('Données projet'!$B$11,Paramètres!$A$1:$I$89,5,0)</f>
        <v>3.3992364478763198E-14</v>
      </c>
      <c r="BF52" s="14">
        <f t="shared" si="37"/>
        <v>5.790027782444094E-13</v>
      </c>
      <c r="BG52" s="22">
        <f t="shared" si="7"/>
        <v>1.0676332069095257E-12</v>
      </c>
      <c r="BH52" s="62">
        <f t="shared" si="8"/>
        <v>293.33333333333439</v>
      </c>
      <c r="BI52" s="62">
        <f ca="1">AVERAGE(OFFSET($BH$3,0,0,'Données projet'!$E$11+1,1))-AVERAGE(OFFSET($H$3,0,0,'Données projet'!$E$11+1,1))</f>
        <v>157.98488572680344</v>
      </c>
      <c r="BJ52" s="62">
        <f t="shared" si="38"/>
        <v>269.20989374735825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75.086337233344466</v>
      </c>
      <c r="BQ52" s="23">
        <f>EXP(-LN(2)/25)*BQ51+(1-EXP(-LN(2)/25))/(LN(2)/25)*Calculateur!BL52*Calculateur!BN52*VLOOKUP('Données projet'!$B$11,Paramètres!$A$1:$I$89,3,0)*0.475*44/12</f>
        <v>1.9740750324392975</v>
      </c>
      <c r="BR52" s="23">
        <f>EXP(-LN(2)/2)*BR51+(1-EXP(-LN(2)/2))/(LN(2)/2)*BL52*BO52*VLOOKUP('Données projet'!$B$11,Paramètres!$A$1:$I$89,3,0)*0.475*44/12</f>
        <v>1.5212720683992078</v>
      </c>
      <c r="BS52" s="24">
        <f t="shared" si="9"/>
        <v>78.581684334182981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147.72913422715322</v>
      </c>
      <c r="T53" s="62">
        <f t="shared" si="34"/>
        <v>361.07991692964799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>
        <f>AI53*VLOOKUP('Données projet'!$B$10,Paramètres!$A$1:$I$89,3,0)*VLOOKUP('Données projet'!$B$10,Paramètres!$A$1:$I$89,5,0)</f>
        <v>0</v>
      </c>
      <c r="AK53" s="14" t="e">
        <f t="shared" si="35"/>
        <v>#NUM!</v>
      </c>
      <c r="AL53" s="22" t="e">
        <f t="shared" si="4"/>
        <v>#NUM!</v>
      </c>
      <c r="AM53" s="62" t="e">
        <f t="shared" si="5"/>
        <v>#NUM!</v>
      </c>
      <c r="AN53" s="62">
        <f ca="1">AVERAGE(OFFSET($AM$3,0,0,'Données projet'!$E$10+1,1))-AVERAGE(OFFSET($H$3,0,0,'Données projet'!$E$10+1,1))</f>
        <v>151.58413719376074</v>
      </c>
      <c r="AO53" s="62">
        <f t="shared" si="36"/>
        <v>310.105543138185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66.489053938753841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0.25975092186626392</v>
      </c>
      <c r="AX53" s="23">
        <f t="shared" si="6"/>
        <v>66.748804860620112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5.6843418860808015E-14</v>
      </c>
      <c r="BE53" s="14">
        <f>BD53*VLOOKUP('Données projet'!$B$11,Paramètres!$A$1:$I$89,3,0)*VLOOKUP('Données projet'!$B$11,Paramètres!$A$1:$I$89,5,0)</f>
        <v>3.3992364478763198E-14</v>
      </c>
      <c r="BF53" s="14">
        <f t="shared" si="37"/>
        <v>5.790027782444094E-13</v>
      </c>
      <c r="BG53" s="22">
        <f t="shared" si="7"/>
        <v>1.0676332069095257E-12</v>
      </c>
      <c r="BH53" s="62">
        <f t="shared" si="8"/>
        <v>293.33333333333439</v>
      </c>
      <c r="BI53" s="62">
        <f ca="1">AVERAGE(OFFSET($BH$3,0,0,'Données projet'!$E$11+1,1))-AVERAGE(OFFSET($H$3,0,0,'Données projet'!$E$11+1,1))</f>
        <v>157.98488572680344</v>
      </c>
      <c r="BJ53" s="62">
        <f t="shared" si="38"/>
        <v>269.20989374735825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73.613939958342101</v>
      </c>
      <c r="BQ53" s="23">
        <f>EXP(-LN(2)/25)*BQ52+(1-EXP(-LN(2)/25))/(LN(2)/25)*Calculateur!BL53*Calculateur!BN53*VLOOKUP('Données projet'!$B$11,Paramètres!$A$1:$I$89,3,0)*0.475*44/12</f>
        <v>1.9200938468651507</v>
      </c>
      <c r="BR53" s="23">
        <f>EXP(-LN(2)/2)*BR52+(1-EXP(-LN(2)/2))/(LN(2)/2)*BL53*BO53*VLOOKUP('Données projet'!$B$11,Paramètres!$A$1:$I$89,3,0)*0.475*44/12</f>
        <v>1.0757017955947652</v>
      </c>
      <c r="BS53" s="24">
        <f t="shared" si="9"/>
        <v>76.609735600802026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147.72913422715322</v>
      </c>
      <c r="T54" s="62">
        <f t="shared" si="34"/>
        <v>361.07991692964799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>
        <f>AI54*VLOOKUP('Données projet'!$B$10,Paramètres!$A$1:$I$89,3,0)*VLOOKUP('Données projet'!$B$10,Paramètres!$A$1:$I$89,5,0)</f>
        <v>0</v>
      </c>
      <c r="AK54" s="14" t="e">
        <f t="shared" si="35"/>
        <v>#NUM!</v>
      </c>
      <c r="AL54" s="22" t="e">
        <f t="shared" si="4"/>
        <v>#NUM!</v>
      </c>
      <c r="AM54" s="62" t="e">
        <f t="shared" si="5"/>
        <v>#NUM!</v>
      </c>
      <c r="AN54" s="62">
        <f ca="1">AVERAGE(OFFSET($AM$3,0,0,'Données projet'!$E$10+1,1))-AVERAGE(OFFSET($H$3,0,0,'Données projet'!$E$10+1,1))</f>
        <v>151.58413719376074</v>
      </c>
      <c r="AO54" s="62">
        <f t="shared" si="36"/>
        <v>310.105543138185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65.185244145333371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0.18367163827109229</v>
      </c>
      <c r="AX54" s="23">
        <f t="shared" si="6"/>
        <v>65.368915783604464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5.6843418860808015E-14</v>
      </c>
      <c r="BE54" s="14">
        <f>BD54*VLOOKUP('Données projet'!$B$11,Paramètres!$A$1:$I$89,3,0)*VLOOKUP('Données projet'!$B$11,Paramètres!$A$1:$I$89,5,0)</f>
        <v>3.3992364478763198E-14</v>
      </c>
      <c r="BF54" s="14">
        <f t="shared" si="37"/>
        <v>5.790027782444094E-13</v>
      </c>
      <c r="BG54" s="22">
        <f t="shared" si="7"/>
        <v>1.0676332069095257E-12</v>
      </c>
      <c r="BH54" s="62">
        <f t="shared" si="8"/>
        <v>293.33333333333439</v>
      </c>
      <c r="BI54" s="62">
        <f ca="1">AVERAGE(OFFSET($BH$3,0,0,'Données projet'!$E$11+1,1))-AVERAGE(OFFSET($H$3,0,0,'Données projet'!$E$11+1,1))</f>
        <v>157.98488572680344</v>
      </c>
      <c r="BJ54" s="62">
        <f t="shared" si="38"/>
        <v>269.20989374735825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72.170415495828877</v>
      </c>
      <c r="BQ54" s="23">
        <f>EXP(-LN(2)/25)*BQ53+(1-EXP(-LN(2)/25))/(LN(2)/25)*Calculateur!BL54*Calculateur!BN54*VLOOKUP('Données projet'!$B$11,Paramètres!$A$1:$I$89,3,0)*0.475*44/12</f>
        <v>1.8675887796492763</v>
      </c>
      <c r="BR54" s="23">
        <f>EXP(-LN(2)/2)*BR53+(1-EXP(-LN(2)/2))/(LN(2)/2)*BL54*BO54*VLOOKUP('Données projet'!$B$11,Paramètres!$A$1:$I$89,3,0)*0.475*44/12</f>
        <v>0.76063603419960391</v>
      </c>
      <c r="BS54" s="24">
        <f t="shared" si="9"/>
        <v>74.798640309677765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147.72913422715322</v>
      </c>
      <c r="T55" s="62">
        <f t="shared" si="34"/>
        <v>361.07991692964799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>
        <f>AI55*VLOOKUP('Données projet'!$B$10,Paramètres!$A$1:$I$89,3,0)*VLOOKUP('Données projet'!$B$10,Paramètres!$A$1:$I$89,5,0)</f>
        <v>0</v>
      </c>
      <c r="AK55" s="14" t="e">
        <f t="shared" si="35"/>
        <v>#NUM!</v>
      </c>
      <c r="AL55" s="22" t="e">
        <f t="shared" si="4"/>
        <v>#NUM!</v>
      </c>
      <c r="AM55" s="62" t="e">
        <f t="shared" si="5"/>
        <v>#NUM!</v>
      </c>
      <c r="AN55" s="62">
        <f ca="1">AVERAGE(OFFSET($AM$3,0,0,'Données projet'!$E$10+1,1))-AVERAGE(OFFSET($H$3,0,0,'Données projet'!$E$10+1,1))</f>
        <v>151.58413719376074</v>
      </c>
      <c r="AO55" s="62">
        <f t="shared" si="36"/>
        <v>310.105543138185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63.907001266716428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0.12987546093313196</v>
      </c>
      <c r="AX55" s="23">
        <f t="shared" si="6"/>
        <v>64.036876727649556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5.6843418860808015E-14</v>
      </c>
      <c r="BE55" s="14">
        <f>BD55*VLOOKUP('Données projet'!$B$11,Paramètres!$A$1:$I$89,3,0)*VLOOKUP('Données projet'!$B$11,Paramètres!$A$1:$I$89,5,0)</f>
        <v>3.3992364478763198E-14</v>
      </c>
      <c r="BF55" s="14">
        <f t="shared" si="37"/>
        <v>5.790027782444094E-13</v>
      </c>
      <c r="BG55" s="22">
        <f t="shared" si="7"/>
        <v>1.0676332069095257E-12</v>
      </c>
      <c r="BH55" s="62">
        <f t="shared" si="8"/>
        <v>293.33333333333439</v>
      </c>
      <c r="BI55" s="62">
        <f ca="1">AVERAGE(OFFSET($BH$3,0,0,'Données projet'!$E$11+1,1))-AVERAGE(OFFSET($H$3,0,0,'Données projet'!$E$11+1,1))</f>
        <v>157.98488572680344</v>
      </c>
      <c r="BJ55" s="62">
        <f t="shared" si="38"/>
        <v>269.20989374735825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70.755197667562555</v>
      </c>
      <c r="BQ55" s="23">
        <f>EXP(-LN(2)/25)*BQ54+(1-EXP(-LN(2)/25))/(LN(2)/25)*Calculateur!BL55*Calculateur!BN55*VLOOKUP('Données projet'!$B$11,Paramètres!$A$1:$I$89,3,0)*0.475*44/12</f>
        <v>1.8165194662575412</v>
      </c>
      <c r="BR55" s="23">
        <f>EXP(-LN(2)/2)*BR54+(1-EXP(-LN(2)/2))/(LN(2)/2)*BL55*BO55*VLOOKUP('Données projet'!$B$11,Paramètres!$A$1:$I$89,3,0)*0.475*44/12</f>
        <v>0.5378508977973826</v>
      </c>
      <c r="BS55" s="24">
        <f t="shared" si="9"/>
        <v>73.109568031617485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147.72913422715322</v>
      </c>
      <c r="T56" s="62">
        <f t="shared" si="34"/>
        <v>361.07991692964799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>
        <f>AI56*VLOOKUP('Données projet'!$B$10,Paramètres!$A$1:$I$89,3,0)*VLOOKUP('Données projet'!$B$10,Paramètres!$A$1:$I$89,5,0)</f>
        <v>0</v>
      </c>
      <c r="AK56" s="14" t="e">
        <f t="shared" si="35"/>
        <v>#NUM!</v>
      </c>
      <c r="AL56" s="22" t="e">
        <f t="shared" si="4"/>
        <v>#NUM!</v>
      </c>
      <c r="AM56" s="62" t="e">
        <f t="shared" si="5"/>
        <v>#NUM!</v>
      </c>
      <c r="AN56" s="62">
        <f ca="1">AVERAGE(OFFSET($AM$3,0,0,'Données projet'!$E$10+1,1))-AVERAGE(OFFSET($H$3,0,0,'Données projet'!$E$10+1,1))</f>
        <v>151.58413719376074</v>
      </c>
      <c r="AO56" s="62">
        <f t="shared" si="36"/>
        <v>310.105543138185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62.653823951297994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9.1835819135546143E-2</v>
      </c>
      <c r="AX56" s="23">
        <f t="shared" si="6"/>
        <v>62.745659770433541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5.6843418860808015E-14</v>
      </c>
      <c r="BE56" s="14">
        <f>BD56*VLOOKUP('Données projet'!$B$11,Paramètres!$A$1:$I$89,3,0)*VLOOKUP('Données projet'!$B$11,Paramètres!$A$1:$I$89,5,0)</f>
        <v>3.3992364478763198E-14</v>
      </c>
      <c r="BF56" s="14">
        <f t="shared" si="37"/>
        <v>5.790027782444094E-13</v>
      </c>
      <c r="BG56" s="22">
        <f t="shared" si="7"/>
        <v>1.0676332069095257E-12</v>
      </c>
      <c r="BH56" s="62">
        <f t="shared" si="8"/>
        <v>293.33333333333439</v>
      </c>
      <c r="BI56" s="62">
        <f ca="1">AVERAGE(OFFSET($BH$3,0,0,'Données projet'!$E$11+1,1))-AVERAGE(OFFSET($H$3,0,0,'Données projet'!$E$11+1,1))</f>
        <v>157.98488572680344</v>
      </c>
      <c r="BJ56" s="62">
        <f t="shared" si="38"/>
        <v>269.20989374735825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69.367731397710884</v>
      </c>
      <c r="BQ56" s="23">
        <f>EXP(-LN(2)/25)*BQ55+(1-EXP(-LN(2)/25))/(LN(2)/25)*Calculateur!BL56*Calculateur!BN56*VLOOKUP('Données projet'!$B$11,Paramètres!$A$1:$I$89,3,0)*0.475*44/12</f>
        <v>1.7668466459261218</v>
      </c>
      <c r="BR56" s="23">
        <f>EXP(-LN(2)/2)*BR55+(1-EXP(-LN(2)/2))/(LN(2)/2)*BL56*BO56*VLOOKUP('Données projet'!$B$11,Paramètres!$A$1:$I$89,3,0)*0.475*44/12</f>
        <v>0.38031801709980195</v>
      </c>
      <c r="BS56" s="24">
        <f t="shared" si="9"/>
        <v>71.514896060736802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147.72913422715322</v>
      </c>
      <c r="T57" s="62">
        <f t="shared" si="34"/>
        <v>361.07991692964799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>
        <f>AI57*VLOOKUP('Données projet'!$B$10,Paramètres!$A$1:$I$89,3,0)*VLOOKUP('Données projet'!$B$10,Paramètres!$A$1:$I$89,5,0)</f>
        <v>0</v>
      </c>
      <c r="AK57" s="14" t="e">
        <f t="shared" si="35"/>
        <v>#NUM!</v>
      </c>
      <c r="AL57" s="22" t="e">
        <f t="shared" si="4"/>
        <v>#NUM!</v>
      </c>
      <c r="AM57" s="62" t="e">
        <f t="shared" si="5"/>
        <v>#NUM!</v>
      </c>
      <c r="AN57" s="62">
        <f ca="1">AVERAGE(OFFSET($AM$3,0,0,'Données projet'!$E$10+1,1))-AVERAGE(OFFSET($H$3,0,0,'Données projet'!$E$10+1,1))</f>
        <v>151.58413719376074</v>
      </c>
      <c r="AO57" s="62">
        <f t="shared" si="36"/>
        <v>310.105543138185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61.425220678672225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6.4937730466565979E-2</v>
      </c>
      <c r="AX57" s="23">
        <f t="shared" si="6"/>
        <v>61.490158409138793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5.6843418860808015E-14</v>
      </c>
      <c r="BE57" s="14">
        <f>BD57*VLOOKUP('Données projet'!$B$11,Paramètres!$A$1:$I$89,3,0)*VLOOKUP('Données projet'!$B$11,Paramètres!$A$1:$I$89,5,0)</f>
        <v>3.3992364478763198E-14</v>
      </c>
      <c r="BF57" s="14">
        <f t="shared" si="37"/>
        <v>5.790027782444094E-13</v>
      </c>
      <c r="BG57" s="22">
        <f t="shared" si="7"/>
        <v>1.0676332069095257E-12</v>
      </c>
      <c r="BH57" s="62">
        <f t="shared" si="8"/>
        <v>293.33333333333439</v>
      </c>
      <c r="BI57" s="62">
        <f ca="1">AVERAGE(OFFSET($BH$3,0,0,'Données projet'!$E$11+1,1))-AVERAGE(OFFSET($H$3,0,0,'Données projet'!$E$11+1,1))</f>
        <v>157.98488572680344</v>
      </c>
      <c r="BJ57" s="62">
        <f t="shared" si="38"/>
        <v>269.20989374735825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68.007472495140149</v>
      </c>
      <c r="BQ57" s="23">
        <f>EXP(-LN(2)/25)*BQ56+(1-EXP(-LN(2)/25))/(LN(2)/25)*Calculateur!BL57*Calculateur!BN57*VLOOKUP('Données projet'!$B$11,Paramètres!$A$1:$I$89,3,0)*0.475*44/12</f>
        <v>1.7185321314788451</v>
      </c>
      <c r="BR57" s="23">
        <f>EXP(-LN(2)/2)*BR56+(1-EXP(-LN(2)/2))/(LN(2)/2)*BL57*BO57*VLOOKUP('Données projet'!$B$11,Paramètres!$A$1:$I$89,3,0)*0.475*44/12</f>
        <v>0.2689254488986913</v>
      </c>
      <c r="BS57" s="24">
        <f t="shared" si="9"/>
        <v>69.994930075517672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147.72913422715322</v>
      </c>
      <c r="T58" s="62">
        <f t="shared" si="34"/>
        <v>361.07991692964799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>
        <f>AI58*VLOOKUP('Données projet'!$B$10,Paramètres!$A$1:$I$89,3,0)*VLOOKUP('Données projet'!$B$10,Paramètres!$A$1:$I$89,5,0)</f>
        <v>0</v>
      </c>
      <c r="AK58" s="14" t="e">
        <f t="shared" si="35"/>
        <v>#NUM!</v>
      </c>
      <c r="AL58" s="22" t="e">
        <f t="shared" si="4"/>
        <v>#NUM!</v>
      </c>
      <c r="AM58" s="62" t="e">
        <f t="shared" si="5"/>
        <v>#NUM!</v>
      </c>
      <c r="AN58" s="62">
        <f ca="1">AVERAGE(OFFSET($AM$3,0,0,'Données projet'!$E$10+1,1))-AVERAGE(OFFSET($H$3,0,0,'Données projet'!$E$10+1,1))</f>
        <v>151.58413719376074</v>
      </c>
      <c r="AO58" s="62">
        <f t="shared" si="36"/>
        <v>310.105543138185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60.220709566848647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4.5917909567773071E-2</v>
      </c>
      <c r="AX58" s="23">
        <f t="shared" si="6"/>
        <v>60.266627476416417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5.6843418860808015E-14</v>
      </c>
      <c r="BE58" s="14">
        <f>BD58*VLOOKUP('Données projet'!$B$11,Paramètres!$A$1:$I$89,3,0)*VLOOKUP('Données projet'!$B$11,Paramètres!$A$1:$I$89,5,0)</f>
        <v>3.3992364478763198E-14</v>
      </c>
      <c r="BF58" s="14">
        <f t="shared" si="37"/>
        <v>5.790027782444094E-13</v>
      </c>
      <c r="BG58" s="22">
        <f t="shared" si="7"/>
        <v>1.0676332069095257E-12</v>
      </c>
      <c r="BH58" s="62">
        <f t="shared" si="8"/>
        <v>293.33333333333439</v>
      </c>
      <c r="BI58" s="62">
        <f ca="1">AVERAGE(OFFSET($BH$3,0,0,'Données projet'!$E$11+1,1))-AVERAGE(OFFSET($H$3,0,0,'Données projet'!$E$11+1,1))</f>
        <v>157.98488572680344</v>
      </c>
      <c r="BJ58" s="62">
        <f t="shared" si="38"/>
        <v>269.20989374735825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66.673887439972816</v>
      </c>
      <c r="BQ58" s="23">
        <f>EXP(-LN(2)/25)*BQ57+(1-EXP(-LN(2)/25))/(LN(2)/25)*Calculateur!BL58*Calculateur!BN58*VLOOKUP('Données projet'!$B$11,Paramètres!$A$1:$I$89,3,0)*0.475*44/12</f>
        <v>1.6715387799698791</v>
      </c>
      <c r="BR58" s="23">
        <f>EXP(-LN(2)/2)*BR57+(1-EXP(-LN(2)/2))/(LN(2)/2)*BL58*BO58*VLOOKUP('Données projet'!$B$11,Paramètres!$A$1:$I$89,3,0)*0.475*44/12</f>
        <v>0.19015900854990098</v>
      </c>
      <c r="BS58" s="24">
        <f t="shared" si="9"/>
        <v>68.535585228492593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147.72913422715322</v>
      </c>
      <c r="T59" s="62">
        <f t="shared" si="34"/>
        <v>361.07991692964799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>
        <f>AI59*VLOOKUP('Données projet'!$B$10,Paramètres!$A$1:$I$89,3,0)*VLOOKUP('Données projet'!$B$10,Paramètres!$A$1:$I$89,5,0)</f>
        <v>0</v>
      </c>
      <c r="AK59" s="14" t="e">
        <f t="shared" si="35"/>
        <v>#NUM!</v>
      </c>
      <c r="AL59" s="22" t="e">
        <f t="shared" si="4"/>
        <v>#NUM!</v>
      </c>
      <c r="AM59" s="62" t="e">
        <f t="shared" si="5"/>
        <v>#NUM!</v>
      </c>
      <c r="AN59" s="62">
        <f ca="1">AVERAGE(OFFSET($AM$3,0,0,'Données projet'!$E$10+1,1))-AVERAGE(OFFSET($H$3,0,0,'Données projet'!$E$10+1,1))</f>
        <v>151.58413719376074</v>
      </c>
      <c r="AO59" s="62">
        <f t="shared" si="36"/>
        <v>310.105543138185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59.039818183248698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3.246886523328299E-2</v>
      </c>
      <c r="AX59" s="23">
        <f t="shared" si="6"/>
        <v>59.072287048481982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5.6843418860808015E-14</v>
      </c>
      <c r="BE59" s="14">
        <f>BD59*VLOOKUP('Données projet'!$B$11,Paramètres!$A$1:$I$89,3,0)*VLOOKUP('Données projet'!$B$11,Paramètres!$A$1:$I$89,5,0)</f>
        <v>3.3992364478763198E-14</v>
      </c>
      <c r="BF59" s="14">
        <f t="shared" si="37"/>
        <v>5.790027782444094E-13</v>
      </c>
      <c r="BG59" s="22">
        <f t="shared" si="7"/>
        <v>1.0676332069095257E-12</v>
      </c>
      <c r="BH59" s="62">
        <f t="shared" si="8"/>
        <v>293.33333333333439</v>
      </c>
      <c r="BI59" s="62">
        <f ca="1">AVERAGE(OFFSET($BH$3,0,0,'Données projet'!$E$11+1,1))-AVERAGE(OFFSET($H$3,0,0,'Données projet'!$E$11+1,1))</f>
        <v>157.98488572680344</v>
      </c>
      <c r="BJ59" s="62">
        <f t="shared" si="38"/>
        <v>269.20989374735825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65.366453174330744</v>
      </c>
      <c r="BQ59" s="23">
        <f>EXP(-LN(2)/25)*BQ58+(1-EXP(-LN(2)/25))/(LN(2)/25)*Calculateur!BL59*Calculateur!BN59*VLOOKUP('Données projet'!$B$11,Paramètres!$A$1:$I$89,3,0)*0.475*44/12</f>
        <v>1.6258304641291987</v>
      </c>
      <c r="BR59" s="23">
        <f>EXP(-LN(2)/2)*BR58+(1-EXP(-LN(2)/2))/(LN(2)/2)*BL59*BO59*VLOOKUP('Données projet'!$B$11,Paramètres!$A$1:$I$89,3,0)*0.475*44/12</f>
        <v>0.13446272444934565</v>
      </c>
      <c r="BS59" s="24">
        <f t="shared" si="9"/>
        <v>67.126746362909287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147.72913422715322</v>
      </c>
      <c r="T60" s="62">
        <f t="shared" si="34"/>
        <v>361.07991692964799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>
        <f>AI60*VLOOKUP('Données projet'!$B$10,Paramètres!$A$1:$I$89,3,0)*VLOOKUP('Données projet'!$B$10,Paramètres!$A$1:$I$89,5,0)</f>
        <v>0</v>
      </c>
      <c r="AK60" s="14" t="e">
        <f t="shared" si="35"/>
        <v>#NUM!</v>
      </c>
      <c r="AL60" s="22" t="e">
        <f t="shared" si="4"/>
        <v>#NUM!</v>
      </c>
      <c r="AM60" s="62" t="e">
        <f t="shared" si="5"/>
        <v>#NUM!</v>
      </c>
      <c r="AN60" s="62">
        <f ca="1">AVERAGE(OFFSET($AM$3,0,0,'Données projet'!$E$10+1,1))-AVERAGE(OFFSET($H$3,0,0,'Données projet'!$E$10+1,1))</f>
        <v>151.58413719376074</v>
      </c>
      <c r="AO60" s="62">
        <f t="shared" si="36"/>
        <v>310.105543138185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57.882083359408519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2.2958954783886536E-2</v>
      </c>
      <c r="AX60" s="23">
        <f t="shared" si="6"/>
        <v>57.905042314192407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5.6843418860808015E-14</v>
      </c>
      <c r="BE60" s="14">
        <f>BD60*VLOOKUP('Données projet'!$B$11,Paramètres!$A$1:$I$89,3,0)*VLOOKUP('Données projet'!$B$11,Paramètres!$A$1:$I$89,5,0)</f>
        <v>3.3992364478763198E-14</v>
      </c>
      <c r="BF60" s="14">
        <f t="shared" si="37"/>
        <v>5.790027782444094E-13</v>
      </c>
      <c r="BG60" s="22">
        <f t="shared" si="7"/>
        <v>1.0676332069095257E-12</v>
      </c>
      <c r="BH60" s="62">
        <f t="shared" si="8"/>
        <v>293.33333333333439</v>
      </c>
      <c r="BI60" s="62">
        <f ca="1">AVERAGE(OFFSET($BH$3,0,0,'Données projet'!$E$11+1,1))-AVERAGE(OFFSET($H$3,0,0,'Données projet'!$E$11+1,1))</f>
        <v>157.98488572680344</v>
      </c>
      <c r="BJ60" s="62">
        <f t="shared" si="38"/>
        <v>269.20989374735825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64.084656897181759</v>
      </c>
      <c r="BQ60" s="23">
        <f>EXP(-LN(2)/25)*BQ59+(1-EXP(-LN(2)/25))/(LN(2)/25)*Calculateur!BL60*Calculateur!BN60*VLOOKUP('Données projet'!$B$11,Paramètres!$A$1:$I$89,3,0)*0.475*44/12</f>
        <v>1.5813720445888775</v>
      </c>
      <c r="BR60" s="23">
        <f>EXP(-LN(2)/2)*BR59+(1-EXP(-LN(2)/2))/(LN(2)/2)*BL60*BO60*VLOOKUP('Données projet'!$B$11,Paramètres!$A$1:$I$89,3,0)*0.475*44/12</f>
        <v>9.5079504274950488E-2</v>
      </c>
      <c r="BS60" s="24">
        <f t="shared" si="9"/>
        <v>65.761108446045583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147.72913422715322</v>
      </c>
      <c r="T61" s="62">
        <f t="shared" si="34"/>
        <v>361.07991692964799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>
        <f>AI61*VLOOKUP('Données projet'!$B$10,Paramètres!$A$1:$I$89,3,0)*VLOOKUP('Données projet'!$B$10,Paramètres!$A$1:$I$89,5,0)</f>
        <v>0</v>
      </c>
      <c r="AK61" s="14" t="e">
        <f t="shared" si="35"/>
        <v>#NUM!</v>
      </c>
      <c r="AL61" s="22" t="e">
        <f t="shared" si="4"/>
        <v>#NUM!</v>
      </c>
      <c r="AM61" s="62" t="e">
        <f t="shared" si="5"/>
        <v>#NUM!</v>
      </c>
      <c r="AN61" s="62">
        <f ca="1">AVERAGE(OFFSET($AM$3,0,0,'Données projet'!$E$10+1,1))-AVERAGE(OFFSET($H$3,0,0,'Données projet'!$E$10+1,1))</f>
        <v>151.58413719376074</v>
      </c>
      <c r="AO61" s="62">
        <f t="shared" si="36"/>
        <v>310.105543138185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56.747051009315328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1.6234432616641495E-2</v>
      </c>
      <c r="AX61" s="23">
        <f t="shared" si="6"/>
        <v>56.76328544193197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5.6843418860808015E-14</v>
      </c>
      <c r="BE61" s="14">
        <f>BD61*VLOOKUP('Données projet'!$B$11,Paramètres!$A$1:$I$89,3,0)*VLOOKUP('Données projet'!$B$11,Paramètres!$A$1:$I$89,5,0)</f>
        <v>3.3992364478763198E-14</v>
      </c>
      <c r="BF61" s="14">
        <f t="shared" si="37"/>
        <v>5.790027782444094E-13</v>
      </c>
      <c r="BG61" s="22">
        <f t="shared" si="7"/>
        <v>1.0676332069095257E-12</v>
      </c>
      <c r="BH61" s="62">
        <f t="shared" si="8"/>
        <v>293.33333333333439</v>
      </c>
      <c r="BI61" s="62">
        <f ca="1">AVERAGE(OFFSET($BH$3,0,0,'Données projet'!$E$11+1,1))-AVERAGE(OFFSET($H$3,0,0,'Données projet'!$E$11+1,1))</f>
        <v>157.98488572680344</v>
      </c>
      <c r="BJ61" s="62">
        <f t="shared" si="38"/>
        <v>269.20989374735825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62.827995863209132</v>
      </c>
      <c r="BQ61" s="23">
        <f>EXP(-LN(2)/25)*BQ60+(1-EXP(-LN(2)/25))/(LN(2)/25)*Calculateur!BL61*Calculateur!BN61*VLOOKUP('Données projet'!$B$11,Paramètres!$A$1:$I$89,3,0)*0.475*44/12</f>
        <v>1.5381293428688532</v>
      </c>
      <c r="BR61" s="23">
        <f>EXP(-LN(2)/2)*BR60+(1-EXP(-LN(2)/2))/(LN(2)/2)*BL61*BO61*VLOOKUP('Données projet'!$B$11,Paramètres!$A$1:$I$89,3,0)*0.475*44/12</f>
        <v>6.7231362224672825E-2</v>
      </c>
      <c r="BS61" s="24">
        <f t="shared" si="9"/>
        <v>64.433356568302656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147.72913422715322</v>
      </c>
      <c r="T62" s="62">
        <f t="shared" si="34"/>
        <v>361.07991692964799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>
        <f>AI62*VLOOKUP('Données projet'!$B$10,Paramètres!$A$1:$I$89,3,0)*VLOOKUP('Données projet'!$B$10,Paramètres!$A$1:$I$89,5,0)</f>
        <v>0</v>
      </c>
      <c r="AK62" s="14" t="e">
        <f t="shared" si="35"/>
        <v>#NUM!</v>
      </c>
      <c r="AL62" s="22" t="e">
        <f t="shared" si="4"/>
        <v>#NUM!</v>
      </c>
      <c r="AM62" s="62" t="e">
        <f t="shared" si="5"/>
        <v>#NUM!</v>
      </c>
      <c r="AN62" s="62">
        <f ca="1">AVERAGE(OFFSET($AM$3,0,0,'Données projet'!$E$10+1,1))-AVERAGE(OFFSET($H$3,0,0,'Données projet'!$E$10+1,1))</f>
        <v>151.58413719376074</v>
      </c>
      <c r="AO62" s="62">
        <f t="shared" si="36"/>
        <v>310.105543138185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55.634275951306094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1.1479477391943268E-2</v>
      </c>
      <c r="AX62" s="23">
        <f t="shared" si="6"/>
        <v>55.645755428698038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5.6843418860808015E-14</v>
      </c>
      <c r="BE62" s="14">
        <f>BD62*VLOOKUP('Données projet'!$B$11,Paramètres!$A$1:$I$89,3,0)*VLOOKUP('Données projet'!$B$11,Paramètres!$A$1:$I$89,5,0)</f>
        <v>3.3992364478763198E-14</v>
      </c>
      <c r="BF62" s="14">
        <f t="shared" si="37"/>
        <v>5.790027782444094E-13</v>
      </c>
      <c r="BG62" s="22">
        <f t="shared" si="7"/>
        <v>1.0676332069095257E-12</v>
      </c>
      <c r="BH62" s="62">
        <f t="shared" si="8"/>
        <v>293.33333333333439</v>
      </c>
      <c r="BI62" s="62">
        <f ca="1">AVERAGE(OFFSET($BH$3,0,0,'Données projet'!$E$11+1,1))-AVERAGE(OFFSET($H$3,0,0,'Données projet'!$E$11+1,1))</f>
        <v>157.98488572680344</v>
      </c>
      <c r="BJ62" s="62">
        <f t="shared" si="38"/>
        <v>269.20989374735825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61.595977185625166</v>
      </c>
      <c r="BQ62" s="23">
        <f>EXP(-LN(2)/25)*BQ61+(1-EXP(-LN(2)/25))/(LN(2)/25)*Calculateur!BL62*Calculateur!BN62*VLOOKUP('Données projet'!$B$11,Paramètres!$A$1:$I$89,3,0)*0.475*44/12</f>
        <v>1.4960691151013976</v>
      </c>
      <c r="BR62" s="23">
        <f>EXP(-LN(2)/2)*BR61+(1-EXP(-LN(2)/2))/(LN(2)/2)*BL62*BO62*VLOOKUP('Données projet'!$B$11,Paramètres!$A$1:$I$89,3,0)*0.475*44/12</f>
        <v>4.7539752137475244E-2</v>
      </c>
      <c r="BS62" s="24">
        <f t="shared" si="9"/>
        <v>63.13958605286404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147.72913422715322</v>
      </c>
      <c r="T63" s="62">
        <f t="shared" si="34"/>
        <v>361.07991692964799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>
        <f>AI63*VLOOKUP('Données projet'!$B$10,Paramètres!$A$1:$I$89,3,0)*VLOOKUP('Données projet'!$B$10,Paramètres!$A$1:$I$89,5,0)</f>
        <v>0</v>
      </c>
      <c r="AK63" s="14" t="e">
        <f t="shared" si="35"/>
        <v>#NUM!</v>
      </c>
      <c r="AL63" s="22" t="e">
        <f t="shared" si="4"/>
        <v>#NUM!</v>
      </c>
      <c r="AM63" s="62" t="e">
        <f t="shared" si="5"/>
        <v>#NUM!</v>
      </c>
      <c r="AN63" s="62">
        <f ca="1">AVERAGE(OFFSET($AM$3,0,0,'Données projet'!$E$10+1,1))-AVERAGE(OFFSET($H$3,0,0,'Données projet'!$E$10+1,1))</f>
        <v>151.58413719376074</v>
      </c>
      <c r="AO63" s="62">
        <f t="shared" si="36"/>
        <v>310.105543138185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54.543321733458654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8.1172163083207474E-3</v>
      </c>
      <c r="AX63" s="23">
        <f t="shared" si="6"/>
        <v>54.551438949766975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5.6843418860808015E-14</v>
      </c>
      <c r="BE63" s="14">
        <f>BD63*VLOOKUP('Données projet'!$B$11,Paramètres!$A$1:$I$89,3,0)*VLOOKUP('Données projet'!$B$11,Paramètres!$A$1:$I$89,5,0)</f>
        <v>3.3992364478763198E-14</v>
      </c>
      <c r="BF63" s="14">
        <f t="shared" si="37"/>
        <v>5.790027782444094E-13</v>
      </c>
      <c r="BG63" s="22">
        <f t="shared" si="7"/>
        <v>1.0676332069095257E-12</v>
      </c>
      <c r="BH63" s="62">
        <f t="shared" si="8"/>
        <v>293.33333333333439</v>
      </c>
      <c r="BI63" s="62">
        <f ca="1">AVERAGE(OFFSET($BH$3,0,0,'Données projet'!$E$11+1,1))-AVERAGE(OFFSET($H$3,0,0,'Données projet'!$E$11+1,1))</f>
        <v>157.98488572680344</v>
      </c>
      <c r="BJ63" s="62">
        <f t="shared" si="38"/>
        <v>269.20989374735825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60.388117642851427</v>
      </c>
      <c r="BQ63" s="23">
        <f>EXP(-LN(2)/25)*BQ62+(1-EXP(-LN(2)/25))/(LN(2)/25)*Calculateur!BL63*Calculateur!BN63*VLOOKUP('Données projet'!$B$11,Paramètres!$A$1:$I$89,3,0)*0.475*44/12</f>
        <v>1.4551590264740943</v>
      </c>
      <c r="BR63" s="23">
        <f>EXP(-LN(2)/2)*BR62+(1-EXP(-LN(2)/2))/(LN(2)/2)*BL63*BO63*VLOOKUP('Données projet'!$B$11,Paramètres!$A$1:$I$89,3,0)*0.475*44/12</f>
        <v>3.3615681112336412E-2</v>
      </c>
      <c r="BS63" s="24">
        <f t="shared" si="9"/>
        <v>61.876892350437856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147.72913422715322</v>
      </c>
      <c r="T64" s="62">
        <f t="shared" si="34"/>
        <v>361.07991692964799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>
        <f>AI64*VLOOKUP('Données projet'!$B$10,Paramètres!$A$1:$I$89,3,0)*VLOOKUP('Données projet'!$B$10,Paramètres!$A$1:$I$89,5,0)</f>
        <v>0</v>
      </c>
      <c r="AK64" s="14" t="e">
        <f t="shared" si="35"/>
        <v>#NUM!</v>
      </c>
      <c r="AL64" s="22" t="e">
        <f t="shared" si="4"/>
        <v>#NUM!</v>
      </c>
      <c r="AM64" s="62" t="e">
        <f t="shared" si="5"/>
        <v>#NUM!</v>
      </c>
      <c r="AN64" s="62">
        <f ca="1">AVERAGE(OFFSET($AM$3,0,0,'Données projet'!$E$10+1,1))-AVERAGE(OFFSET($H$3,0,0,'Données projet'!$E$10+1,1))</f>
        <v>151.58413719376074</v>
      </c>
      <c r="AO64" s="62">
        <f t="shared" si="36"/>
        <v>310.105543138185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53.47376046240683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5.7397386959716339E-3</v>
      </c>
      <c r="AX64" s="23">
        <f t="shared" si="6"/>
        <v>53.479500201102802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5.6843418860808015E-14</v>
      </c>
      <c r="BE64" s="14">
        <f>BD64*VLOOKUP('Données projet'!$B$11,Paramètres!$A$1:$I$89,3,0)*VLOOKUP('Données projet'!$B$11,Paramètres!$A$1:$I$89,5,0)</f>
        <v>3.3992364478763198E-14</v>
      </c>
      <c r="BF64" s="14">
        <f t="shared" si="37"/>
        <v>5.790027782444094E-13</v>
      </c>
      <c r="BG64" s="22">
        <f t="shared" si="7"/>
        <v>1.0676332069095257E-12</v>
      </c>
      <c r="BH64" s="62">
        <f t="shared" si="8"/>
        <v>293.33333333333439</v>
      </c>
      <c r="BI64" s="62">
        <f ca="1">AVERAGE(OFFSET($BH$3,0,0,'Données projet'!$E$11+1,1))-AVERAGE(OFFSET($H$3,0,0,'Données projet'!$E$11+1,1))</f>
        <v>157.98488572680344</v>
      </c>
      <c r="BJ64" s="62">
        <f t="shared" si="38"/>
        <v>269.20989374735825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59.203943488989907</v>
      </c>
      <c r="BQ64" s="23">
        <f>EXP(-LN(2)/25)*BQ63+(1-EXP(-LN(2)/25))/(LN(2)/25)*Calculateur!BL64*Calculateur!BN64*VLOOKUP('Données projet'!$B$11,Paramètres!$A$1:$I$89,3,0)*0.475*44/12</f>
        <v>1.4153676263716728</v>
      </c>
      <c r="BR64" s="23">
        <f>EXP(-LN(2)/2)*BR63+(1-EXP(-LN(2)/2))/(LN(2)/2)*BL64*BO64*VLOOKUP('Données projet'!$B$11,Paramètres!$A$1:$I$89,3,0)*0.475*44/12</f>
        <v>2.3769876068737622E-2</v>
      </c>
      <c r="BS64" s="24">
        <f t="shared" si="9"/>
        <v>60.643080991430324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147.72913422715322</v>
      </c>
      <c r="T65" s="62">
        <f t="shared" si="34"/>
        <v>361.07991692964799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>
        <f>AI65*VLOOKUP('Données projet'!$B$10,Paramètres!$A$1:$I$89,3,0)*VLOOKUP('Données projet'!$B$10,Paramètres!$A$1:$I$89,5,0)</f>
        <v>0</v>
      </c>
      <c r="AK65" s="14" t="e">
        <f t="shared" si="35"/>
        <v>#NUM!</v>
      </c>
      <c r="AL65" s="22" t="e">
        <f t="shared" si="4"/>
        <v>#NUM!</v>
      </c>
      <c r="AM65" s="62" t="e">
        <f t="shared" si="5"/>
        <v>#NUM!</v>
      </c>
      <c r="AN65" s="62">
        <f ca="1">AVERAGE(OFFSET($AM$3,0,0,'Données projet'!$E$10+1,1))-AVERAGE(OFFSET($H$3,0,0,'Données projet'!$E$10+1,1))</f>
        <v>151.58413719376074</v>
      </c>
      <c r="AO65" s="62">
        <f t="shared" si="36"/>
        <v>310.105543138185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52.425172635512375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4.0586081541603737E-3</v>
      </c>
      <c r="AX65" s="23">
        <f t="shared" si="6"/>
        <v>52.429231243666536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5.6843418860808015E-14</v>
      </c>
      <c r="BE65" s="14">
        <f>BD65*VLOOKUP('Données projet'!$B$11,Paramètres!$A$1:$I$89,3,0)*VLOOKUP('Données projet'!$B$11,Paramètres!$A$1:$I$89,5,0)</f>
        <v>3.3992364478763198E-14</v>
      </c>
      <c r="BF65" s="14">
        <f t="shared" si="37"/>
        <v>5.790027782444094E-13</v>
      </c>
      <c r="BG65" s="22">
        <f t="shared" si="7"/>
        <v>1.0676332069095257E-12</v>
      </c>
      <c r="BH65" s="62">
        <f t="shared" si="8"/>
        <v>293.33333333333439</v>
      </c>
      <c r="BI65" s="62">
        <f ca="1">AVERAGE(OFFSET($BH$3,0,0,'Données projet'!$E$11+1,1))-AVERAGE(OFFSET($H$3,0,0,'Données projet'!$E$11+1,1))</f>
        <v>157.98488572680344</v>
      </c>
      <c r="BJ65" s="62">
        <f t="shared" si="38"/>
        <v>269.20989374735825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58.042990268010691</v>
      </c>
      <c r="BQ65" s="23">
        <f>EXP(-LN(2)/25)*BQ64+(1-EXP(-LN(2)/25))/(LN(2)/25)*Calculateur!BL65*Calculateur!BN65*VLOOKUP('Données projet'!$B$11,Paramètres!$A$1:$I$89,3,0)*0.475*44/12</f>
        <v>1.3766643241975909</v>
      </c>
      <c r="BR65" s="23">
        <f>EXP(-LN(2)/2)*BR64+(1-EXP(-LN(2)/2))/(LN(2)/2)*BL65*BO65*VLOOKUP('Données projet'!$B$11,Paramètres!$A$1:$I$89,3,0)*0.475*44/12</f>
        <v>1.6807840556168206E-2</v>
      </c>
      <c r="BS65" s="24">
        <f t="shared" si="9"/>
        <v>59.436462432764451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147.72913422715322</v>
      </c>
      <c r="T66" s="62">
        <f t="shared" si="34"/>
        <v>361.07991692964799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>
        <f>AI66*VLOOKUP('Données projet'!$B$10,Paramètres!$A$1:$I$89,3,0)*VLOOKUP('Données projet'!$B$10,Paramètres!$A$1:$I$89,5,0)</f>
        <v>0</v>
      </c>
      <c r="AK66" s="14" t="e">
        <f t="shared" si="35"/>
        <v>#NUM!</v>
      </c>
      <c r="AL66" s="22" t="e">
        <f t="shared" si="4"/>
        <v>#NUM!</v>
      </c>
      <c r="AM66" s="62" t="e">
        <f t="shared" si="5"/>
        <v>#NUM!</v>
      </c>
      <c r="AN66" s="62">
        <f ca="1">AVERAGE(OFFSET($AM$3,0,0,'Données projet'!$E$10+1,1))-AVERAGE(OFFSET($H$3,0,0,'Données projet'!$E$10+1,1))</f>
        <v>151.58413719376074</v>
      </c>
      <c r="AO66" s="62">
        <f t="shared" si="36"/>
        <v>310.105543138185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51.397146976327896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2.869869347985817E-3</v>
      </c>
      <c r="AX66" s="23">
        <f t="shared" si="6"/>
        <v>51.400016845675879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5.6843418860808015E-14</v>
      </c>
      <c r="BE66" s="14">
        <f>BD66*VLOOKUP('Données projet'!$B$11,Paramètres!$A$1:$I$89,3,0)*VLOOKUP('Données projet'!$B$11,Paramètres!$A$1:$I$89,5,0)</f>
        <v>3.3992364478763198E-14</v>
      </c>
      <c r="BF66" s="14">
        <f t="shared" si="37"/>
        <v>5.790027782444094E-13</v>
      </c>
      <c r="BG66" s="22">
        <f t="shared" si="7"/>
        <v>1.0676332069095257E-12</v>
      </c>
      <c r="BH66" s="62">
        <f t="shared" si="8"/>
        <v>293.33333333333439</v>
      </c>
      <c r="BI66" s="62">
        <f ca="1">AVERAGE(OFFSET($BH$3,0,0,'Données projet'!$E$11+1,1))-AVERAGE(OFFSET($H$3,0,0,'Données projet'!$E$11+1,1))</f>
        <v>157.98488572680344</v>
      </c>
      <c r="BJ66" s="62">
        <f t="shared" si="38"/>
        <v>269.20989374735825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56.904802631583337</v>
      </c>
      <c r="BQ66" s="23">
        <f>EXP(-LN(2)/25)*BQ65+(1-EXP(-LN(2)/25))/(LN(2)/25)*Calculateur!BL66*Calculateur!BN66*VLOOKUP('Données projet'!$B$11,Paramètres!$A$1:$I$89,3,0)*0.475*44/12</f>
        <v>1.3390193658567773</v>
      </c>
      <c r="BR66" s="23">
        <f>EXP(-LN(2)/2)*BR65+(1-EXP(-LN(2)/2))/(LN(2)/2)*BL66*BO66*VLOOKUP('Données projet'!$B$11,Paramètres!$A$1:$I$89,3,0)*0.475*44/12</f>
        <v>1.1884938034368811E-2</v>
      </c>
      <c r="BS66" s="24">
        <f t="shared" si="9"/>
        <v>58.255706935474485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147.72913422715322</v>
      </c>
      <c r="T67" s="62">
        <f t="shared" si="34"/>
        <v>361.07991692964799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>
        <f>AI67*VLOOKUP('Données projet'!$B$10,Paramètres!$A$1:$I$89,3,0)*VLOOKUP('Données projet'!$B$10,Paramètres!$A$1:$I$89,5,0)</f>
        <v>0</v>
      </c>
      <c r="AK67" s="14" t="e">
        <f t="shared" si="35"/>
        <v>#NUM!</v>
      </c>
      <c r="AL67" s="22" t="e">
        <f t="shared" si="4"/>
        <v>#NUM!</v>
      </c>
      <c r="AM67" s="62" t="e">
        <f t="shared" si="5"/>
        <v>#NUM!</v>
      </c>
      <c r="AN67" s="62">
        <f ca="1">AVERAGE(OFFSET($AM$3,0,0,'Données projet'!$E$10+1,1))-AVERAGE(OFFSET($H$3,0,0,'Données projet'!$E$10+1,1))</f>
        <v>151.58413719376074</v>
      </c>
      <c r="AO67" s="62">
        <f t="shared" si="36"/>
        <v>310.105543138185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50.389280273286289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2.0293040770801869E-3</v>
      </c>
      <c r="AX67" s="23">
        <f t="shared" si="6"/>
        <v>50.391309577363366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5.6843418860808015E-14</v>
      </c>
      <c r="BE67" s="14">
        <f>BD67*VLOOKUP('Données projet'!$B$11,Paramètres!$A$1:$I$89,3,0)*VLOOKUP('Données projet'!$B$11,Paramètres!$A$1:$I$89,5,0)</f>
        <v>3.3992364478763198E-14</v>
      </c>
      <c r="BF67" s="14">
        <f t="shared" si="37"/>
        <v>5.790027782444094E-13</v>
      </c>
      <c r="BG67" s="22">
        <f t="shared" si="7"/>
        <v>1.0676332069095257E-12</v>
      </c>
      <c r="BH67" s="62">
        <f t="shared" si="8"/>
        <v>293.33333333333439</v>
      </c>
      <c r="BI67" s="62">
        <f ca="1">AVERAGE(OFFSET($BH$3,0,0,'Données projet'!$E$11+1,1))-AVERAGE(OFFSET($H$3,0,0,'Données projet'!$E$11+1,1))</f>
        <v>157.98488572680344</v>
      </c>
      <c r="BJ67" s="62">
        <f t="shared" si="38"/>
        <v>269.20989374735825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55.788934160480416</v>
      </c>
      <c r="BQ67" s="23">
        <f>EXP(-LN(2)/25)*BQ66+(1-EXP(-LN(2)/25))/(LN(2)/25)*Calculateur!BL67*Calculateur!BN67*VLOOKUP('Données projet'!$B$11,Paramètres!$A$1:$I$89,3,0)*0.475*44/12</f>
        <v>1.3024038108814555</v>
      </c>
      <c r="BR67" s="23">
        <f>EXP(-LN(2)/2)*BR66+(1-EXP(-LN(2)/2))/(LN(2)/2)*BL67*BO67*VLOOKUP('Données projet'!$B$11,Paramètres!$A$1:$I$89,3,0)*0.475*44/12</f>
        <v>8.4039202780841031E-3</v>
      </c>
      <c r="BS67" s="24">
        <f t="shared" si="9"/>
        <v>57.099741891639958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147.72913422715322</v>
      </c>
      <c r="T68" s="62">
        <f t="shared" si="34"/>
        <v>361.07991692964799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>
        <f>AI68*VLOOKUP('Données projet'!$B$10,Paramètres!$A$1:$I$89,3,0)*VLOOKUP('Données projet'!$B$10,Paramètres!$A$1:$I$89,5,0)</f>
        <v>0</v>
      </c>
      <c r="AK68" s="14" t="e">
        <f t="shared" si="35"/>
        <v>#NUM!</v>
      </c>
      <c r="AL68" s="22" t="e">
        <f t="shared" ref="AL68:AL131" si="58">(AJ68+AK68)*0.475*44/12</f>
        <v>#NUM!</v>
      </c>
      <c r="AM68" s="62" t="e">
        <f t="shared" ref="AM68:AM131" si="59">AL68+(AD68+AE68)*44/12</f>
        <v>#NUM!</v>
      </c>
      <c r="AN68" s="62">
        <f ca="1">AVERAGE(OFFSET($AM$3,0,0,'Données projet'!$E$10+1,1))-AVERAGE(OFFSET($H$3,0,0,'Données projet'!$E$10+1,1))</f>
        <v>151.58413719376074</v>
      </c>
      <c r="AO68" s="62">
        <f t="shared" si="36"/>
        <v>310.105543138185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49.40117722155334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1.4349346739929085E-3</v>
      </c>
      <c r="AX68" s="23">
        <f t="shared" ref="AX68:AX131" si="60">SUM(AU68:AW68)</f>
        <v>49.402612156227335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5.6843418860808015E-14</v>
      </c>
      <c r="BE68" s="14">
        <f>BD68*VLOOKUP('Données projet'!$B$11,Paramètres!$A$1:$I$89,3,0)*VLOOKUP('Données projet'!$B$11,Paramètres!$A$1:$I$89,5,0)</f>
        <v>3.3992364478763198E-14</v>
      </c>
      <c r="BF68" s="14">
        <f t="shared" si="37"/>
        <v>5.790027782444094E-13</v>
      </c>
      <c r="BG68" s="22">
        <f t="shared" ref="BG68:BG131" si="61">(BE68+BF68)*0.475*44/12</f>
        <v>1.0676332069095257E-12</v>
      </c>
      <c r="BH68" s="62">
        <f t="shared" ref="BH68:BH131" si="62">BG68+(AY68+AZ68)*44/12</f>
        <v>293.33333333333439</v>
      </c>
      <c r="BI68" s="62">
        <f ca="1">AVERAGE(OFFSET($BH$3,0,0,'Données projet'!$E$11+1,1))-AVERAGE(OFFSET($H$3,0,0,'Données projet'!$E$11+1,1))</f>
        <v>157.98488572680344</v>
      </c>
      <c r="BJ68" s="62">
        <f t="shared" si="38"/>
        <v>269.20989374735825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54.694947189483258</v>
      </c>
      <c r="BQ68" s="23">
        <f>EXP(-LN(2)/25)*BQ67+(1-EXP(-LN(2)/25))/(LN(2)/25)*Calculateur!BL68*Calculateur!BN68*VLOOKUP('Données projet'!$B$11,Paramètres!$A$1:$I$89,3,0)*0.475*44/12</f>
        <v>1.2667895101824624</v>
      </c>
      <c r="BR68" s="23">
        <f>EXP(-LN(2)/2)*BR67+(1-EXP(-LN(2)/2))/(LN(2)/2)*BL68*BO68*VLOOKUP('Données projet'!$B$11,Paramètres!$A$1:$I$89,3,0)*0.475*44/12</f>
        <v>5.9424690171844055E-3</v>
      </c>
      <c r="BS68" s="24">
        <f t="shared" ref="BS68:BS131" si="63">SUM(BP68:BR68)</f>
        <v>55.967679168682906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147.72913422715322</v>
      </c>
      <c r="T69" s="62">
        <f t="shared" ref="T69:T132" si="88">$T$3</f>
        <v>361.07991692964799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>
        <f>AI69*VLOOKUP('Données projet'!$B$10,Paramètres!$A$1:$I$89,3,0)*VLOOKUP('Données projet'!$B$10,Paramètres!$A$1:$I$89,5,0)</f>
        <v>0</v>
      </c>
      <c r="AK69" s="14" t="e">
        <f t="shared" ref="AK69:AK132" si="89">EXP(-1.0587+0.8836*LN(AJ69)+0.284)</f>
        <v>#NUM!</v>
      </c>
      <c r="AL69" s="22" t="e">
        <f t="shared" si="58"/>
        <v>#NUM!</v>
      </c>
      <c r="AM69" s="62" t="e">
        <f t="shared" si="59"/>
        <v>#NUM!</v>
      </c>
      <c r="AN69" s="62">
        <f ca="1">AVERAGE(OFFSET($AM$3,0,0,'Données projet'!$E$10+1,1))-AVERAGE(OFFSET($H$3,0,0,'Données projet'!$E$10+1,1))</f>
        <v>151.58413719376074</v>
      </c>
      <c r="AO69" s="62">
        <f t="shared" ref="AO69:AO132" si="90">$AO$3</f>
        <v>310.105543138185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48.432450267981523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1.0146520385400934E-3</v>
      </c>
      <c r="AX69" s="23">
        <f t="shared" si="60"/>
        <v>48.433464920020064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5.6843418860808015E-14</v>
      </c>
      <c r="BE69" s="14">
        <f>BD69*VLOOKUP('Données projet'!$B$11,Paramètres!$A$1:$I$89,3,0)*VLOOKUP('Données projet'!$B$11,Paramètres!$A$1:$I$89,5,0)</f>
        <v>3.3992364478763198E-14</v>
      </c>
      <c r="BF69" s="14">
        <f t="shared" ref="BF69:BF132" si="91">EXP(-1.0587+0.8836*LN(BE69)+0.284)</f>
        <v>5.790027782444094E-13</v>
      </c>
      <c r="BG69" s="22">
        <f t="shared" si="61"/>
        <v>1.0676332069095257E-12</v>
      </c>
      <c r="BH69" s="62">
        <f t="shared" si="62"/>
        <v>293.33333333333439</v>
      </c>
      <c r="BI69" s="62">
        <f ca="1">AVERAGE(OFFSET($BH$3,0,0,'Données projet'!$E$11+1,1))-AVERAGE(OFFSET($H$3,0,0,'Données projet'!$E$11+1,1))</f>
        <v>157.98488572680344</v>
      </c>
      <c r="BJ69" s="62">
        <f t="shared" ref="BJ69:BJ132" si="92">$BJ$3</f>
        <v>269.20989374735825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53.62241263572119</v>
      </c>
      <c r="BQ69" s="23">
        <f>EXP(-LN(2)/25)*BQ68+(1-EXP(-LN(2)/25))/(LN(2)/25)*Calculateur!BL69*Calculateur!BN69*VLOOKUP('Données projet'!$B$11,Paramètres!$A$1:$I$89,3,0)*0.475*44/12</f>
        <v>1.232149084408958</v>
      </c>
      <c r="BR69" s="23">
        <f>EXP(-LN(2)/2)*BR68+(1-EXP(-LN(2)/2))/(LN(2)/2)*BL69*BO69*VLOOKUP('Données projet'!$B$11,Paramètres!$A$1:$I$89,3,0)*0.475*44/12</f>
        <v>4.2019601390420516E-3</v>
      </c>
      <c r="BS69" s="24">
        <f t="shared" si="63"/>
        <v>54.858763680269192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147.72913422715322</v>
      </c>
      <c r="T70" s="62">
        <f t="shared" si="88"/>
        <v>361.07991692964799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>
        <f>AI70*VLOOKUP('Données projet'!$B$10,Paramètres!$A$1:$I$89,3,0)*VLOOKUP('Données projet'!$B$10,Paramètres!$A$1:$I$89,5,0)</f>
        <v>0</v>
      </c>
      <c r="AK70" s="14" t="e">
        <f t="shared" si="89"/>
        <v>#NUM!</v>
      </c>
      <c r="AL70" s="22" t="e">
        <f t="shared" si="58"/>
        <v>#NUM!</v>
      </c>
      <c r="AM70" s="62" t="e">
        <f t="shared" si="59"/>
        <v>#NUM!</v>
      </c>
      <c r="AN70" s="62">
        <f ca="1">AVERAGE(OFFSET($AM$3,0,0,'Données projet'!$E$10+1,1))-AVERAGE(OFFSET($H$3,0,0,'Données projet'!$E$10+1,1))</f>
        <v>151.58413719376074</v>
      </c>
      <c r="AO70" s="62">
        <f t="shared" si="90"/>
        <v>310.105543138185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47.482719459104146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7.1746733699645424E-4</v>
      </c>
      <c r="AX70" s="23">
        <f t="shared" si="60"/>
        <v>47.483436926441144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5.6843418860808015E-14</v>
      </c>
      <c r="BE70" s="14">
        <f>BD70*VLOOKUP('Données projet'!$B$11,Paramètres!$A$1:$I$89,3,0)*VLOOKUP('Données projet'!$B$11,Paramètres!$A$1:$I$89,5,0)</f>
        <v>3.3992364478763198E-14</v>
      </c>
      <c r="BF70" s="14">
        <f t="shared" si="91"/>
        <v>5.790027782444094E-13</v>
      </c>
      <c r="BG70" s="22">
        <f t="shared" si="61"/>
        <v>1.0676332069095257E-12</v>
      </c>
      <c r="BH70" s="62">
        <f t="shared" si="62"/>
        <v>293.33333333333439</v>
      </c>
      <c r="BI70" s="62">
        <f ca="1">AVERAGE(OFFSET($BH$3,0,0,'Données projet'!$E$11+1,1))-AVERAGE(OFFSET($H$3,0,0,'Données projet'!$E$11+1,1))</f>
        <v>157.98488572680344</v>
      </c>
      <c r="BJ70" s="62">
        <f t="shared" si="92"/>
        <v>269.20989374735825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52.570909830376912</v>
      </c>
      <c r="BQ70" s="23">
        <f>EXP(-LN(2)/25)*BQ69+(1-EXP(-LN(2)/25))/(LN(2)/25)*Calculateur!BL70*Calculateur!BN70*VLOOKUP('Données projet'!$B$11,Paramètres!$A$1:$I$89,3,0)*0.475*44/12</f>
        <v>1.1984559028998909</v>
      </c>
      <c r="BR70" s="23">
        <f>EXP(-LN(2)/2)*BR69+(1-EXP(-LN(2)/2))/(LN(2)/2)*BL70*BO70*VLOOKUP('Données projet'!$B$11,Paramètres!$A$1:$I$89,3,0)*0.475*44/12</f>
        <v>2.9712345085922028E-3</v>
      </c>
      <c r="BS70" s="24">
        <f t="shared" si="63"/>
        <v>53.772336967785392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147.72913422715322</v>
      </c>
      <c r="T71" s="62">
        <f t="shared" si="88"/>
        <v>361.07991692964799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>
        <f>AI71*VLOOKUP('Données projet'!$B$10,Paramètres!$A$1:$I$89,3,0)*VLOOKUP('Données projet'!$B$10,Paramètres!$A$1:$I$89,5,0)</f>
        <v>0</v>
      </c>
      <c r="AK71" s="14" t="e">
        <f t="shared" si="89"/>
        <v>#NUM!</v>
      </c>
      <c r="AL71" s="22" t="e">
        <f t="shared" si="58"/>
        <v>#NUM!</v>
      </c>
      <c r="AM71" s="62" t="e">
        <f t="shared" si="59"/>
        <v>#NUM!</v>
      </c>
      <c r="AN71" s="62">
        <f ca="1">AVERAGE(OFFSET($AM$3,0,0,'Données projet'!$E$10+1,1))-AVERAGE(OFFSET($H$3,0,0,'Données projet'!$E$10+1,1))</f>
        <v>151.58413719376074</v>
      </c>
      <c r="AO71" s="62">
        <f t="shared" si="90"/>
        <v>310.105543138185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46.551612292110264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5.0732601927004671E-4</v>
      </c>
      <c r="AX71" s="23">
        <f t="shared" si="60"/>
        <v>46.552119618129531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5.6843418860808015E-14</v>
      </c>
      <c r="BE71" s="14">
        <f>BD71*VLOOKUP('Données projet'!$B$11,Paramètres!$A$1:$I$89,3,0)*VLOOKUP('Données projet'!$B$11,Paramètres!$A$1:$I$89,5,0)</f>
        <v>3.3992364478763198E-14</v>
      </c>
      <c r="BF71" s="14">
        <f t="shared" si="91"/>
        <v>5.790027782444094E-13</v>
      </c>
      <c r="BG71" s="22">
        <f t="shared" si="61"/>
        <v>1.0676332069095257E-12</v>
      </c>
      <c r="BH71" s="62">
        <f t="shared" si="62"/>
        <v>293.33333333333439</v>
      </c>
      <c r="BI71" s="62">
        <f ca="1">AVERAGE(OFFSET($BH$3,0,0,'Données projet'!$E$11+1,1))-AVERAGE(OFFSET($H$3,0,0,'Données projet'!$E$11+1,1))</f>
        <v>157.98488572680344</v>
      </c>
      <c r="BJ71" s="62">
        <f t="shared" si="92"/>
        <v>269.20989374735825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51.540026353692056</v>
      </c>
      <c r="BQ71" s="23">
        <f>EXP(-LN(2)/25)*BQ70+(1-EXP(-LN(2)/25))/(LN(2)/25)*Calculateur!BL71*Calculateur!BN71*VLOOKUP('Données projet'!$B$11,Paramètres!$A$1:$I$89,3,0)*0.475*44/12</f>
        <v>1.1656840632110366</v>
      </c>
      <c r="BR71" s="23">
        <f>EXP(-LN(2)/2)*BR70+(1-EXP(-LN(2)/2))/(LN(2)/2)*BL71*BO71*VLOOKUP('Données projet'!$B$11,Paramètres!$A$1:$I$89,3,0)*0.475*44/12</f>
        <v>2.1009800695210258E-3</v>
      </c>
      <c r="BS71" s="24">
        <f t="shared" si="63"/>
        <v>52.707811396972616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147.72913422715322</v>
      </c>
      <c r="T72" s="62">
        <f t="shared" si="88"/>
        <v>361.07991692964799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>
        <f>AI72*VLOOKUP('Données projet'!$B$10,Paramètres!$A$1:$I$89,3,0)*VLOOKUP('Données projet'!$B$10,Paramètres!$A$1:$I$89,5,0)</f>
        <v>0</v>
      </c>
      <c r="AK72" s="14" t="e">
        <f t="shared" si="89"/>
        <v>#NUM!</v>
      </c>
      <c r="AL72" s="22" t="e">
        <f t="shared" si="58"/>
        <v>#NUM!</v>
      </c>
      <c r="AM72" s="62" t="e">
        <f t="shared" si="59"/>
        <v>#NUM!</v>
      </c>
      <c r="AN72" s="62">
        <f ca="1">AVERAGE(OFFSET($AM$3,0,0,'Données projet'!$E$10+1,1))-AVERAGE(OFFSET($H$3,0,0,'Données projet'!$E$10+1,1))</f>
        <v>151.58413719376074</v>
      </c>
      <c r="AO72" s="62">
        <f t="shared" si="90"/>
        <v>310.105543138185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45.638763568741837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3.5873366849822712E-4</v>
      </c>
      <c r="AX72" s="23">
        <f t="shared" si="60"/>
        <v>45.639122302410335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5.6843418860808015E-14</v>
      </c>
      <c r="BE72" s="14">
        <f>BD72*VLOOKUP('Données projet'!$B$11,Paramètres!$A$1:$I$89,3,0)*VLOOKUP('Données projet'!$B$11,Paramètres!$A$1:$I$89,5,0)</f>
        <v>3.3992364478763198E-14</v>
      </c>
      <c r="BF72" s="14">
        <f t="shared" si="91"/>
        <v>5.790027782444094E-13</v>
      </c>
      <c r="BG72" s="22">
        <f t="shared" si="61"/>
        <v>1.0676332069095257E-12</v>
      </c>
      <c r="BH72" s="62">
        <f t="shared" si="62"/>
        <v>293.33333333333439</v>
      </c>
      <c r="BI72" s="62">
        <f ca="1">AVERAGE(OFFSET($BH$3,0,0,'Données projet'!$E$11+1,1))-AVERAGE(OFFSET($H$3,0,0,'Données projet'!$E$11+1,1))</f>
        <v>157.98488572680344</v>
      </c>
      <c r="BJ72" s="62">
        <f t="shared" si="92"/>
        <v>269.20989374735825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50.529357873208156</v>
      </c>
      <c r="BQ72" s="23">
        <f>EXP(-LN(2)/25)*BQ71+(1-EXP(-LN(2)/25))/(LN(2)/25)*Calculateur!BL72*Calculateur!BN72*VLOOKUP('Données projet'!$B$11,Paramètres!$A$1:$I$89,3,0)*0.475*44/12</f>
        <v>1.1338083712018701</v>
      </c>
      <c r="BR72" s="23">
        <f>EXP(-LN(2)/2)*BR71+(1-EXP(-LN(2)/2))/(LN(2)/2)*BL72*BO72*VLOOKUP('Données projet'!$B$11,Paramètres!$A$1:$I$89,3,0)*0.475*44/12</f>
        <v>1.4856172542961014E-3</v>
      </c>
      <c r="BS72" s="24">
        <f t="shared" si="63"/>
        <v>51.664651861664325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147.72913422715322</v>
      </c>
      <c r="T73" s="62">
        <f t="shared" si="88"/>
        <v>361.07991692964799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>
        <f>AI73*VLOOKUP('Données projet'!$B$10,Paramètres!$A$1:$I$89,3,0)*VLOOKUP('Données projet'!$B$10,Paramètres!$A$1:$I$89,5,0)</f>
        <v>0</v>
      </c>
      <c r="AK73" s="14" t="e">
        <f t="shared" si="89"/>
        <v>#NUM!</v>
      </c>
      <c r="AL73" s="22" t="e">
        <f t="shared" si="58"/>
        <v>#NUM!</v>
      </c>
      <c r="AM73" s="62" t="e">
        <f t="shared" si="59"/>
        <v>#NUM!</v>
      </c>
      <c r="AN73" s="62">
        <f ca="1">AVERAGE(OFFSET($AM$3,0,0,'Données projet'!$E$10+1,1))-AVERAGE(OFFSET($H$3,0,0,'Données projet'!$E$10+1,1))</f>
        <v>151.58413719376074</v>
      </c>
      <c r="AO73" s="62">
        <f t="shared" si="90"/>
        <v>310.105543138185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44.743815252055924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2.5366300963502336E-4</v>
      </c>
      <c r="AX73" s="23">
        <f t="shared" si="60"/>
        <v>44.744068915065561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5.6843418860808015E-14</v>
      </c>
      <c r="BE73" s="14">
        <f>BD73*VLOOKUP('Données projet'!$B$11,Paramètres!$A$1:$I$89,3,0)*VLOOKUP('Données projet'!$B$11,Paramètres!$A$1:$I$89,5,0)</f>
        <v>3.3992364478763198E-14</v>
      </c>
      <c r="BF73" s="14">
        <f t="shared" si="91"/>
        <v>5.790027782444094E-13</v>
      </c>
      <c r="BG73" s="22">
        <f t="shared" si="61"/>
        <v>1.0676332069095257E-12</v>
      </c>
      <c r="BH73" s="62">
        <f t="shared" si="62"/>
        <v>293.33333333333439</v>
      </c>
      <c r="BI73" s="62">
        <f ca="1">AVERAGE(OFFSET($BH$3,0,0,'Données projet'!$E$11+1,1))-AVERAGE(OFFSET($H$3,0,0,'Données projet'!$E$11+1,1))</f>
        <v>157.98488572680344</v>
      </c>
      <c r="BJ73" s="62">
        <f t="shared" si="92"/>
        <v>269.20989374735825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49.538507985179635</v>
      </c>
      <c r="BQ73" s="23">
        <f>EXP(-LN(2)/25)*BQ72+(1-EXP(-LN(2)/25))/(LN(2)/25)*Calculateur!BL73*Calculateur!BN73*VLOOKUP('Données projet'!$B$11,Paramètres!$A$1:$I$89,3,0)*0.475*44/12</f>
        <v>1.1028043216669641</v>
      </c>
      <c r="BR73" s="23">
        <f>EXP(-LN(2)/2)*BR72+(1-EXP(-LN(2)/2))/(LN(2)/2)*BL73*BO73*VLOOKUP('Données projet'!$B$11,Paramètres!$A$1:$I$89,3,0)*0.475*44/12</f>
        <v>1.0504900347605129E-3</v>
      </c>
      <c r="BS73" s="24">
        <f t="shared" si="63"/>
        <v>50.642362796881358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147.72913422715322</v>
      </c>
      <c r="T74" s="62">
        <f t="shared" si="88"/>
        <v>361.07991692964799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>
        <f>AI74*VLOOKUP('Données projet'!$B$10,Paramètres!$A$1:$I$89,3,0)*VLOOKUP('Données projet'!$B$10,Paramètres!$A$1:$I$89,5,0)</f>
        <v>0</v>
      </c>
      <c r="AK74" s="14" t="e">
        <f t="shared" si="89"/>
        <v>#NUM!</v>
      </c>
      <c r="AL74" s="22" t="e">
        <f t="shared" si="58"/>
        <v>#NUM!</v>
      </c>
      <c r="AM74" s="62" t="e">
        <f t="shared" si="59"/>
        <v>#NUM!</v>
      </c>
      <c r="AN74" s="62">
        <f ca="1">AVERAGE(OFFSET($AM$3,0,0,'Données projet'!$E$10+1,1))-AVERAGE(OFFSET($H$3,0,0,'Données projet'!$E$10+1,1))</f>
        <v>151.58413719376074</v>
      </c>
      <c r="AO74" s="62">
        <f t="shared" si="90"/>
        <v>310.105543138185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43.866416325995644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1.7936683424911356E-4</v>
      </c>
      <c r="AX74" s="23">
        <f t="shared" si="60"/>
        <v>43.86659569282989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5.6843418860808015E-14</v>
      </c>
      <c r="BE74" s="14">
        <f>BD74*VLOOKUP('Données projet'!$B$11,Paramètres!$A$1:$I$89,3,0)*VLOOKUP('Données projet'!$B$11,Paramètres!$A$1:$I$89,5,0)</f>
        <v>3.3992364478763198E-14</v>
      </c>
      <c r="BF74" s="14">
        <f t="shared" si="91"/>
        <v>5.790027782444094E-13</v>
      </c>
      <c r="BG74" s="22">
        <f t="shared" si="61"/>
        <v>1.0676332069095257E-12</v>
      </c>
      <c r="BH74" s="62">
        <f t="shared" si="62"/>
        <v>293.33333333333439</v>
      </c>
      <c r="BI74" s="62">
        <f ca="1">AVERAGE(OFFSET($BH$3,0,0,'Données projet'!$E$11+1,1))-AVERAGE(OFFSET($H$3,0,0,'Données projet'!$E$11+1,1))</f>
        <v>157.98488572680344</v>
      </c>
      <c r="BJ74" s="62">
        <f t="shared" si="92"/>
        <v>269.20989374735825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48.567088059096598</v>
      </c>
      <c r="BQ74" s="23">
        <f>EXP(-LN(2)/25)*BQ73+(1-EXP(-LN(2)/25))/(LN(2)/25)*Calculateur!BL74*Calculateur!BN74*VLOOKUP('Données projet'!$B$11,Paramètres!$A$1:$I$89,3,0)*0.475*44/12</f>
        <v>1.0726480794970221</v>
      </c>
      <c r="BR74" s="23">
        <f>EXP(-LN(2)/2)*BR73+(1-EXP(-LN(2)/2))/(LN(2)/2)*BL74*BO74*VLOOKUP('Données projet'!$B$11,Paramètres!$A$1:$I$89,3,0)*0.475*44/12</f>
        <v>7.4280862714805069E-4</v>
      </c>
      <c r="BS74" s="24">
        <f t="shared" si="63"/>
        <v>49.640478947220764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147.72913422715322</v>
      </c>
      <c r="T75" s="62">
        <f t="shared" si="88"/>
        <v>361.07991692964799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>
        <f>AI75*VLOOKUP('Données projet'!$B$10,Paramètres!$A$1:$I$89,3,0)*VLOOKUP('Données projet'!$B$10,Paramètres!$A$1:$I$89,5,0)</f>
        <v>0</v>
      </c>
      <c r="AK75" s="14" t="e">
        <f t="shared" si="89"/>
        <v>#NUM!</v>
      </c>
      <c r="AL75" s="22" t="e">
        <f t="shared" si="58"/>
        <v>#NUM!</v>
      </c>
      <c r="AM75" s="62" t="e">
        <f t="shared" si="59"/>
        <v>#NUM!</v>
      </c>
      <c r="AN75" s="62">
        <f ca="1">AVERAGE(OFFSET($AM$3,0,0,'Données projet'!$E$10+1,1))-AVERAGE(OFFSET($H$3,0,0,'Données projet'!$E$10+1,1))</f>
        <v>151.58413719376074</v>
      </c>
      <c r="AO75" s="62">
        <f t="shared" si="90"/>
        <v>310.105543138185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43.006222657714908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1.2683150481751168E-4</v>
      </c>
      <c r="AX75" s="23">
        <f t="shared" si="60"/>
        <v>43.006349489219723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5.6843418860808015E-14</v>
      </c>
      <c r="BE75" s="14">
        <f>BD75*VLOOKUP('Données projet'!$B$11,Paramètres!$A$1:$I$89,3,0)*VLOOKUP('Données projet'!$B$11,Paramètres!$A$1:$I$89,5,0)</f>
        <v>3.3992364478763198E-14</v>
      </c>
      <c r="BF75" s="14">
        <f t="shared" si="91"/>
        <v>5.790027782444094E-13</v>
      </c>
      <c r="BG75" s="22">
        <f t="shared" si="61"/>
        <v>1.0676332069095257E-12</v>
      </c>
      <c r="BH75" s="62">
        <f t="shared" si="62"/>
        <v>293.33333333333439</v>
      </c>
      <c r="BI75" s="62">
        <f ca="1">AVERAGE(OFFSET($BH$3,0,0,'Données projet'!$E$11+1,1))-AVERAGE(OFFSET($H$3,0,0,'Données projet'!$E$11+1,1))</f>
        <v>157.98488572680344</v>
      </c>
      <c r="BJ75" s="62">
        <f t="shared" si="92"/>
        <v>269.20989374735825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47.614717085256402</v>
      </c>
      <c r="BQ75" s="23">
        <f>EXP(-LN(2)/25)*BQ74+(1-EXP(-LN(2)/25))/(LN(2)/25)*Calculateur!BL75*Calculateur!BN75*VLOOKUP('Données projet'!$B$11,Paramètres!$A$1:$I$89,3,0)*0.475*44/12</f>
        <v>1.0433164613550652</v>
      </c>
      <c r="BR75" s="23">
        <f>EXP(-LN(2)/2)*BR74+(1-EXP(-LN(2)/2))/(LN(2)/2)*BL75*BO75*VLOOKUP('Données projet'!$B$11,Paramètres!$A$1:$I$89,3,0)*0.475*44/12</f>
        <v>5.2524501738025644E-4</v>
      </c>
      <c r="BS75" s="24">
        <f t="shared" si="63"/>
        <v>48.658558791628842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147.72913422715322</v>
      </c>
      <c r="T76" s="62">
        <f t="shared" si="88"/>
        <v>361.07991692964799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>
        <f>AI76*VLOOKUP('Données projet'!$B$10,Paramètres!$A$1:$I$89,3,0)*VLOOKUP('Données projet'!$B$10,Paramètres!$A$1:$I$89,5,0)</f>
        <v>0</v>
      </c>
      <c r="AK76" s="14" t="e">
        <f t="shared" si="89"/>
        <v>#NUM!</v>
      </c>
      <c r="AL76" s="22" t="e">
        <f t="shared" si="58"/>
        <v>#NUM!</v>
      </c>
      <c r="AM76" s="62" t="e">
        <f t="shared" si="59"/>
        <v>#NUM!</v>
      </c>
      <c r="AN76" s="62">
        <f ca="1">AVERAGE(OFFSET($AM$3,0,0,'Données projet'!$E$10+1,1))-AVERAGE(OFFSET($H$3,0,0,'Données projet'!$E$10+1,1))</f>
        <v>151.58413719376074</v>
      </c>
      <c r="AO76" s="62">
        <f t="shared" si="90"/>
        <v>310.105543138185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42.162896862602821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8.968341712455678E-5</v>
      </c>
      <c r="AX76" s="23">
        <f t="shared" si="60"/>
        <v>42.162986546019944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5.6843418860808015E-14</v>
      </c>
      <c r="BE76" s="14">
        <f>BD76*VLOOKUP('Données projet'!$B$11,Paramètres!$A$1:$I$89,3,0)*VLOOKUP('Données projet'!$B$11,Paramètres!$A$1:$I$89,5,0)</f>
        <v>3.3992364478763198E-14</v>
      </c>
      <c r="BF76" s="14">
        <f t="shared" si="91"/>
        <v>5.790027782444094E-13</v>
      </c>
      <c r="BG76" s="22">
        <f t="shared" si="61"/>
        <v>1.0676332069095257E-12</v>
      </c>
      <c r="BH76" s="62">
        <f t="shared" si="62"/>
        <v>293.33333333333439</v>
      </c>
      <c r="BI76" s="62">
        <f ca="1">AVERAGE(OFFSET($BH$3,0,0,'Données projet'!$E$11+1,1))-AVERAGE(OFFSET($H$3,0,0,'Données projet'!$E$11+1,1))</f>
        <v>157.98488572680344</v>
      </c>
      <c r="BJ76" s="62">
        <f t="shared" si="92"/>
        <v>269.20989374735825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46.681021525324276</v>
      </c>
      <c r="BQ76" s="23">
        <f>EXP(-LN(2)/25)*BQ75+(1-EXP(-LN(2)/25))/(LN(2)/25)*Calculateur!BL76*Calculateur!BN76*VLOOKUP('Données projet'!$B$11,Paramètres!$A$1:$I$89,3,0)*0.475*44/12</f>
        <v>1.0147869178536828</v>
      </c>
      <c r="BR76" s="23">
        <f>EXP(-LN(2)/2)*BR75+(1-EXP(-LN(2)/2))/(LN(2)/2)*BL76*BO76*VLOOKUP('Données projet'!$B$11,Paramètres!$A$1:$I$89,3,0)*0.475*44/12</f>
        <v>3.7140431357402534E-4</v>
      </c>
      <c r="BS76" s="24">
        <f t="shared" si="63"/>
        <v>47.696179847491535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147.72913422715322</v>
      </c>
      <c r="T77" s="62">
        <f t="shared" si="88"/>
        <v>361.07991692964799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>
        <f>AI77*VLOOKUP('Données projet'!$B$10,Paramètres!$A$1:$I$89,3,0)*VLOOKUP('Données projet'!$B$10,Paramètres!$A$1:$I$89,5,0)</f>
        <v>0</v>
      </c>
      <c r="AK77" s="14" t="e">
        <f t="shared" si="89"/>
        <v>#NUM!</v>
      </c>
      <c r="AL77" s="22" t="e">
        <f t="shared" si="58"/>
        <v>#NUM!</v>
      </c>
      <c r="AM77" s="62" t="e">
        <f t="shared" si="59"/>
        <v>#NUM!</v>
      </c>
      <c r="AN77" s="62">
        <f ca="1">AVERAGE(OFFSET($AM$3,0,0,'Données projet'!$E$10+1,1))-AVERAGE(OFFSET($H$3,0,0,'Données projet'!$E$10+1,1))</f>
        <v>151.58413719376074</v>
      </c>
      <c r="AO77" s="62">
        <f t="shared" si="90"/>
        <v>310.105543138185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41.33610817195494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6.3415752408755839E-5</v>
      </c>
      <c r="AX77" s="23">
        <f t="shared" si="60"/>
        <v>41.336171587707348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5.6843418860808015E-14</v>
      </c>
      <c r="BE77" s="14">
        <f>BD77*VLOOKUP('Données projet'!$B$11,Paramètres!$A$1:$I$89,3,0)*VLOOKUP('Données projet'!$B$11,Paramètres!$A$1:$I$89,5,0)</f>
        <v>3.3992364478763198E-14</v>
      </c>
      <c r="BF77" s="14">
        <f t="shared" si="91"/>
        <v>5.790027782444094E-13</v>
      </c>
      <c r="BG77" s="22">
        <f t="shared" si="61"/>
        <v>1.0676332069095257E-12</v>
      </c>
      <c r="BH77" s="62">
        <f t="shared" si="62"/>
        <v>293.33333333333439</v>
      </c>
      <c r="BI77" s="62">
        <f ca="1">AVERAGE(OFFSET($BH$3,0,0,'Données projet'!$E$11+1,1))-AVERAGE(OFFSET($H$3,0,0,'Données projet'!$E$11+1,1))</f>
        <v>157.98488572680344</v>
      </c>
      <c r="BJ77" s="62">
        <f t="shared" si="92"/>
        <v>269.20989374735825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45.765635165824364</v>
      </c>
      <c r="BQ77" s="23">
        <f>EXP(-LN(2)/25)*BQ76+(1-EXP(-LN(2)/25))/(LN(2)/25)*Calculateur!BL77*Calculateur!BN77*VLOOKUP('Données projet'!$B$11,Paramètres!$A$1:$I$89,3,0)*0.475*44/12</f>
        <v>0.98703751621964919</v>
      </c>
      <c r="BR77" s="23">
        <f>EXP(-LN(2)/2)*BR76+(1-EXP(-LN(2)/2))/(LN(2)/2)*BL77*BO77*VLOOKUP('Données projet'!$B$11,Paramètres!$A$1:$I$89,3,0)*0.475*44/12</f>
        <v>2.6262250869012822E-4</v>
      </c>
      <c r="BS77" s="24">
        <f t="shared" si="63"/>
        <v>46.752935304552707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147.72913422715322</v>
      </c>
      <c r="T78" s="62">
        <f t="shared" si="88"/>
        <v>361.07991692964799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>
        <f>AI78*VLOOKUP('Données projet'!$B$10,Paramètres!$A$1:$I$89,3,0)*VLOOKUP('Données projet'!$B$10,Paramètres!$A$1:$I$89,5,0)</f>
        <v>0</v>
      </c>
      <c r="AK78" s="14" t="e">
        <f t="shared" si="89"/>
        <v>#NUM!</v>
      </c>
      <c r="AL78" s="22" t="e">
        <f t="shared" si="58"/>
        <v>#NUM!</v>
      </c>
      <c r="AM78" s="62" t="e">
        <f t="shared" si="59"/>
        <v>#NUM!</v>
      </c>
      <c r="AN78" s="62">
        <f ca="1">AVERAGE(OFFSET($AM$3,0,0,'Données projet'!$E$10+1,1))-AVERAGE(OFFSET($H$3,0,0,'Données projet'!$E$10+1,1))</f>
        <v>151.58413719376074</v>
      </c>
      <c r="AO78" s="62">
        <f t="shared" si="90"/>
        <v>310.105543138185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40.525532303239359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4.484170856227839E-5</v>
      </c>
      <c r="AX78" s="23">
        <f t="shared" si="60"/>
        <v>40.525577144947924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5.6843418860808015E-14</v>
      </c>
      <c r="BE78" s="14">
        <f>BD78*VLOOKUP('Données projet'!$B$11,Paramètres!$A$1:$I$89,3,0)*VLOOKUP('Données projet'!$B$11,Paramètres!$A$1:$I$89,5,0)</f>
        <v>3.3992364478763198E-14</v>
      </c>
      <c r="BF78" s="14">
        <f t="shared" si="91"/>
        <v>5.790027782444094E-13</v>
      </c>
      <c r="BG78" s="22">
        <f t="shared" si="61"/>
        <v>1.0676332069095257E-12</v>
      </c>
      <c r="BH78" s="62">
        <f t="shared" si="62"/>
        <v>293.33333333333439</v>
      </c>
      <c r="BI78" s="62">
        <f ca="1">AVERAGE(OFFSET($BH$3,0,0,'Données projet'!$E$11+1,1))-AVERAGE(OFFSET($H$3,0,0,'Données projet'!$E$11+1,1))</f>
        <v>157.98488572680344</v>
      </c>
      <c r="BJ78" s="62">
        <f t="shared" si="92"/>
        <v>269.20989374735825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44.868198974503692</v>
      </c>
      <c r="BQ78" s="23">
        <f>EXP(-LN(2)/25)*BQ77+(1-EXP(-LN(2)/25))/(LN(2)/25)*Calculateur!BL78*Calculateur!BN78*VLOOKUP('Données projet'!$B$11,Paramètres!$A$1:$I$89,3,0)*0.475*44/12</f>
        <v>0.96004692343257581</v>
      </c>
      <c r="BR78" s="23">
        <f>EXP(-LN(2)/2)*BR77+(1-EXP(-LN(2)/2))/(LN(2)/2)*BL78*BO78*VLOOKUP('Données projet'!$B$11,Paramètres!$A$1:$I$89,3,0)*0.475*44/12</f>
        <v>1.8570215678701267E-4</v>
      </c>
      <c r="BS78" s="24">
        <f t="shared" si="63"/>
        <v>45.828431600093054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147.72913422715322</v>
      </c>
      <c r="T79" s="62">
        <f t="shared" si="88"/>
        <v>361.07991692964799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>
        <f>AI79*VLOOKUP('Données projet'!$B$10,Paramètres!$A$1:$I$89,3,0)*VLOOKUP('Données projet'!$B$10,Paramètres!$A$1:$I$89,5,0)</f>
        <v>0</v>
      </c>
      <c r="AK79" s="14" t="e">
        <f t="shared" si="89"/>
        <v>#NUM!</v>
      </c>
      <c r="AL79" s="22" t="e">
        <f t="shared" si="58"/>
        <v>#NUM!</v>
      </c>
      <c r="AM79" s="62" t="e">
        <f t="shared" si="59"/>
        <v>#NUM!</v>
      </c>
      <c r="AN79" s="62">
        <f ca="1">AVERAGE(OFFSET($AM$3,0,0,'Données projet'!$E$10+1,1))-AVERAGE(OFFSET($H$3,0,0,'Données projet'!$E$10+1,1))</f>
        <v>151.58413719376074</v>
      </c>
      <c r="AO79" s="62">
        <f t="shared" si="90"/>
        <v>310.105543138185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39.73085133290683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3.170787620437792E-5</v>
      </c>
      <c r="AX79" s="23">
        <f t="shared" si="60"/>
        <v>39.730883040783034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5.6843418860808015E-14</v>
      </c>
      <c r="BE79" s="14">
        <f>BD79*VLOOKUP('Données projet'!$B$11,Paramètres!$A$1:$I$89,3,0)*VLOOKUP('Données projet'!$B$11,Paramètres!$A$1:$I$89,5,0)</f>
        <v>3.3992364478763198E-14</v>
      </c>
      <c r="BF79" s="14">
        <f t="shared" si="91"/>
        <v>5.790027782444094E-13</v>
      </c>
      <c r="BG79" s="22">
        <f t="shared" si="61"/>
        <v>1.0676332069095257E-12</v>
      </c>
      <c r="BH79" s="62">
        <f t="shared" si="62"/>
        <v>293.33333333333439</v>
      </c>
      <c r="BI79" s="62">
        <f ca="1">AVERAGE(OFFSET($BH$3,0,0,'Données projet'!$E$11+1,1))-AVERAGE(OFFSET($H$3,0,0,'Données projet'!$E$11+1,1))</f>
        <v>157.98488572680344</v>
      </c>
      <c r="BJ79" s="62">
        <f t="shared" si="92"/>
        <v>269.20989374735825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43.988360959512789</v>
      </c>
      <c r="BQ79" s="23">
        <f>EXP(-LN(2)/25)*BQ78+(1-EXP(-LN(2)/25))/(LN(2)/25)*Calculateur!BL79*Calculateur!BN79*VLOOKUP('Données projet'!$B$11,Paramètres!$A$1:$I$89,3,0)*0.475*44/12</f>
        <v>0.93379438982463858</v>
      </c>
      <c r="BR79" s="23">
        <f>EXP(-LN(2)/2)*BR78+(1-EXP(-LN(2)/2))/(LN(2)/2)*BL79*BO79*VLOOKUP('Données projet'!$B$11,Paramètres!$A$1:$I$89,3,0)*0.475*44/12</f>
        <v>1.3131125434506411E-4</v>
      </c>
      <c r="BS79" s="24">
        <f t="shared" si="63"/>
        <v>44.922286660591773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147.72913422715322</v>
      </c>
      <c r="T80" s="62">
        <f t="shared" si="88"/>
        <v>361.07991692964799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>
        <f>AI80*VLOOKUP('Données projet'!$B$10,Paramètres!$A$1:$I$89,3,0)*VLOOKUP('Données projet'!$B$10,Paramètres!$A$1:$I$89,5,0)</f>
        <v>0</v>
      </c>
      <c r="AK80" s="14" t="e">
        <f t="shared" si="89"/>
        <v>#NUM!</v>
      </c>
      <c r="AL80" s="22" t="e">
        <f t="shared" si="58"/>
        <v>#NUM!</v>
      </c>
      <c r="AM80" s="62" t="e">
        <f t="shared" si="59"/>
        <v>#NUM!</v>
      </c>
      <c r="AN80" s="62">
        <f ca="1">AVERAGE(OFFSET($AM$3,0,0,'Données projet'!$E$10+1,1))-AVERAGE(OFFSET($H$3,0,0,'Données projet'!$E$10+1,1))</f>
        <v>151.58413719376074</v>
      </c>
      <c r="AO80" s="62">
        <f t="shared" si="90"/>
        <v>310.105543138185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38.951753571694987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2.2420854281139195E-5</v>
      </c>
      <c r="AX80" s="23">
        <f t="shared" si="60"/>
        <v>38.951775992549265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5.6843418860808015E-14</v>
      </c>
      <c r="BE80" s="14">
        <f>BD80*VLOOKUP('Données projet'!$B$11,Paramètres!$A$1:$I$89,3,0)*VLOOKUP('Données projet'!$B$11,Paramètres!$A$1:$I$89,5,0)</f>
        <v>3.3992364478763198E-14</v>
      </c>
      <c r="BF80" s="14">
        <f t="shared" si="91"/>
        <v>5.790027782444094E-13</v>
      </c>
      <c r="BG80" s="22">
        <f t="shared" si="61"/>
        <v>1.0676332069095257E-12</v>
      </c>
      <c r="BH80" s="62">
        <f t="shared" si="62"/>
        <v>293.33333333333439</v>
      </c>
      <c r="BI80" s="62">
        <f ca="1">AVERAGE(OFFSET($BH$3,0,0,'Données projet'!$E$11+1,1))-AVERAGE(OFFSET($H$3,0,0,'Données projet'!$E$11+1,1))</f>
        <v>157.98488572680344</v>
      </c>
      <c r="BJ80" s="62">
        <f t="shared" si="92"/>
        <v>269.20989374735825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43.125776031347662</v>
      </c>
      <c r="BQ80" s="23">
        <f>EXP(-LN(2)/25)*BQ79+(1-EXP(-LN(2)/25))/(LN(2)/25)*Calculateur!BL80*Calculateur!BN80*VLOOKUP('Données projet'!$B$11,Paramètres!$A$1:$I$89,3,0)*0.475*44/12</f>
        <v>0.90825973312877106</v>
      </c>
      <c r="BR80" s="23">
        <f>EXP(-LN(2)/2)*BR79+(1-EXP(-LN(2)/2))/(LN(2)/2)*BL80*BO80*VLOOKUP('Données projet'!$B$11,Paramètres!$A$1:$I$89,3,0)*0.475*44/12</f>
        <v>9.2851078393506336E-5</v>
      </c>
      <c r="BS80" s="24">
        <f t="shared" si="63"/>
        <v>44.034128615554827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147.72913422715322</v>
      </c>
      <c r="T81" s="62">
        <f t="shared" si="88"/>
        <v>361.07991692964799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>
        <f>AI81*VLOOKUP('Données projet'!$B$10,Paramètres!$A$1:$I$89,3,0)*VLOOKUP('Données projet'!$B$10,Paramètres!$A$1:$I$89,5,0)</f>
        <v>0</v>
      </c>
      <c r="AK81" s="14" t="e">
        <f t="shared" si="89"/>
        <v>#NUM!</v>
      </c>
      <c r="AL81" s="22" t="e">
        <f t="shared" si="58"/>
        <v>#NUM!</v>
      </c>
      <c r="AM81" s="62" t="e">
        <f t="shared" si="59"/>
        <v>#NUM!</v>
      </c>
      <c r="AN81" s="62">
        <f ca="1">AVERAGE(OFFSET($AM$3,0,0,'Données projet'!$E$10+1,1))-AVERAGE(OFFSET($H$3,0,0,'Données projet'!$E$10+1,1))</f>
        <v>151.58413719376074</v>
      </c>
      <c r="AO81" s="62">
        <f t="shared" si="90"/>
        <v>310.105543138185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38.187933442377798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1.585393810218896E-5</v>
      </c>
      <c r="AX81" s="23">
        <f t="shared" si="60"/>
        <v>38.1879492963159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5.6843418860808015E-14</v>
      </c>
      <c r="BE81" s="14">
        <f>BD81*VLOOKUP('Données projet'!$B$11,Paramètres!$A$1:$I$89,3,0)*VLOOKUP('Données projet'!$B$11,Paramètres!$A$1:$I$89,5,0)</f>
        <v>3.3992364478763198E-14</v>
      </c>
      <c r="BF81" s="14">
        <f t="shared" si="91"/>
        <v>5.790027782444094E-13</v>
      </c>
      <c r="BG81" s="22">
        <f t="shared" si="61"/>
        <v>1.0676332069095257E-12</v>
      </c>
      <c r="BH81" s="62">
        <f t="shared" si="62"/>
        <v>293.33333333333439</v>
      </c>
      <c r="BI81" s="62">
        <f ca="1">AVERAGE(OFFSET($BH$3,0,0,'Données projet'!$E$11+1,1))-AVERAGE(OFFSET($H$3,0,0,'Données projet'!$E$11+1,1))</f>
        <v>157.98488572680344</v>
      </c>
      <c r="BJ81" s="62">
        <f t="shared" si="92"/>
        <v>269.20989374735825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42.280105867498996</v>
      </c>
      <c r="BQ81" s="23">
        <f>EXP(-LN(2)/25)*BQ80+(1-EXP(-LN(2)/25))/(LN(2)/25)*Calculateur!BL81*Calculateur!BN81*VLOOKUP('Données projet'!$B$11,Paramètres!$A$1:$I$89,3,0)*0.475*44/12</f>
        <v>0.88342332296306136</v>
      </c>
      <c r="BR81" s="23">
        <f>EXP(-LN(2)/2)*BR80+(1-EXP(-LN(2)/2))/(LN(2)/2)*BL81*BO81*VLOOKUP('Données projet'!$B$11,Paramètres!$A$1:$I$89,3,0)*0.475*44/12</f>
        <v>6.5655627172532056E-5</v>
      </c>
      <c r="BS81" s="24">
        <f t="shared" si="63"/>
        <v>43.163594846089232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147.72913422715322</v>
      </c>
      <c r="T82" s="62">
        <f t="shared" si="88"/>
        <v>361.07991692964799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>
        <f>AI82*VLOOKUP('Données projet'!$B$10,Paramètres!$A$1:$I$89,3,0)*VLOOKUP('Données projet'!$B$10,Paramètres!$A$1:$I$89,5,0)</f>
        <v>0</v>
      </c>
      <c r="AK82" s="14" t="e">
        <f t="shared" si="89"/>
        <v>#NUM!</v>
      </c>
      <c r="AL82" s="22" t="e">
        <f t="shared" si="58"/>
        <v>#NUM!</v>
      </c>
      <c r="AM82" s="62" t="e">
        <f t="shared" si="59"/>
        <v>#NUM!</v>
      </c>
      <c r="AN82" s="62">
        <f ca="1">AVERAGE(OFFSET($AM$3,0,0,'Données projet'!$E$10+1,1))-AVERAGE(OFFSET($H$3,0,0,'Données projet'!$E$10+1,1))</f>
        <v>151.58413719376074</v>
      </c>
      <c r="AO82" s="62">
        <f t="shared" si="90"/>
        <v>310.105543138185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37.43909135991224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1.1210427140569598E-5</v>
      </c>
      <c r="AX82" s="23">
        <f t="shared" si="60"/>
        <v>37.439102570339379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5.6843418860808015E-14</v>
      </c>
      <c r="BE82" s="14">
        <f>BD82*VLOOKUP('Données projet'!$B$11,Paramètres!$A$1:$I$89,3,0)*VLOOKUP('Données projet'!$B$11,Paramètres!$A$1:$I$89,5,0)</f>
        <v>3.3992364478763198E-14</v>
      </c>
      <c r="BF82" s="14">
        <f t="shared" si="91"/>
        <v>5.790027782444094E-13</v>
      </c>
      <c r="BG82" s="22">
        <f t="shared" si="61"/>
        <v>1.0676332069095257E-12</v>
      </c>
      <c r="BH82" s="62">
        <f t="shared" si="62"/>
        <v>293.33333333333439</v>
      </c>
      <c r="BI82" s="62">
        <f ca="1">AVERAGE(OFFSET($BH$3,0,0,'Données projet'!$E$11+1,1))-AVERAGE(OFFSET($H$3,0,0,'Données projet'!$E$11+1,1))</f>
        <v>157.98488572680344</v>
      </c>
      <c r="BJ82" s="62">
        <f t="shared" si="92"/>
        <v>269.20989374735825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41.451018779755536</v>
      </c>
      <c r="BQ82" s="23">
        <f>EXP(-LN(2)/25)*BQ81+(1-EXP(-LN(2)/25))/(LN(2)/25)*Calculateur!BL82*Calculateur!BN82*VLOOKUP('Données projet'!$B$11,Paramètres!$A$1:$I$89,3,0)*0.475*44/12</f>
        <v>0.85926606573942299</v>
      </c>
      <c r="BR82" s="23">
        <f>EXP(-LN(2)/2)*BR81+(1-EXP(-LN(2)/2))/(LN(2)/2)*BL82*BO82*VLOOKUP('Données projet'!$B$11,Paramètres!$A$1:$I$89,3,0)*0.475*44/12</f>
        <v>4.6425539196753168E-5</v>
      </c>
      <c r="BS82" s="24">
        <f t="shared" si="63"/>
        <v>42.310331271034158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147.72913422715322</v>
      </c>
      <c r="T83" s="62">
        <f t="shared" si="88"/>
        <v>361.07991692964799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>
        <f>AI83*VLOOKUP('Données projet'!$B$10,Paramètres!$A$1:$I$89,3,0)*VLOOKUP('Données projet'!$B$10,Paramètres!$A$1:$I$89,5,0)</f>
        <v>0</v>
      </c>
      <c r="AK83" s="14" t="e">
        <f t="shared" si="89"/>
        <v>#NUM!</v>
      </c>
      <c r="AL83" s="22" t="e">
        <f t="shared" si="58"/>
        <v>#NUM!</v>
      </c>
      <c r="AM83" s="62" t="e">
        <f t="shared" si="59"/>
        <v>#NUM!</v>
      </c>
      <c r="AN83" s="62">
        <f ca="1">AVERAGE(OFFSET($AM$3,0,0,'Données projet'!$E$10+1,1))-AVERAGE(OFFSET($H$3,0,0,'Données projet'!$E$10+1,1))</f>
        <v>151.58413719376074</v>
      </c>
      <c r="AO83" s="62">
        <f t="shared" si="90"/>
        <v>310.105543138185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36.70493361393526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7.9269690510944799E-6</v>
      </c>
      <c r="AX83" s="23">
        <f t="shared" si="60"/>
        <v>36.704941540904315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5.6843418860808015E-14</v>
      </c>
      <c r="BE83" s="14">
        <f>BD83*VLOOKUP('Données projet'!$B$11,Paramètres!$A$1:$I$89,3,0)*VLOOKUP('Données projet'!$B$11,Paramètres!$A$1:$I$89,5,0)</f>
        <v>3.3992364478763198E-14</v>
      </c>
      <c r="BF83" s="14">
        <f t="shared" si="91"/>
        <v>5.790027782444094E-13</v>
      </c>
      <c r="BG83" s="22">
        <f t="shared" si="61"/>
        <v>1.0676332069095257E-12</v>
      </c>
      <c r="BH83" s="62">
        <f t="shared" si="62"/>
        <v>293.33333333333439</v>
      </c>
      <c r="BI83" s="62">
        <f ca="1">AVERAGE(OFFSET($BH$3,0,0,'Données projet'!$E$11+1,1))-AVERAGE(OFFSET($H$3,0,0,'Données projet'!$E$11+1,1))</f>
        <v>157.98488572680344</v>
      </c>
      <c r="BJ83" s="62">
        <f t="shared" si="92"/>
        <v>269.20989374735825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40.638189584109533</v>
      </c>
      <c r="BQ83" s="23">
        <f>EXP(-LN(2)/25)*BQ82+(1-EXP(-LN(2)/25))/(LN(2)/25)*Calculateur!BL83*Calculateur!BN83*VLOOKUP('Données projet'!$B$11,Paramètres!$A$1:$I$89,3,0)*0.475*44/12</f>
        <v>0.83576938998493999</v>
      </c>
      <c r="BR83" s="23">
        <f>EXP(-LN(2)/2)*BR82+(1-EXP(-LN(2)/2))/(LN(2)/2)*BL83*BO83*VLOOKUP('Données projet'!$B$11,Paramètres!$A$1:$I$89,3,0)*0.475*44/12</f>
        <v>3.2827813586266028E-5</v>
      </c>
      <c r="BS83" s="24">
        <f t="shared" si="63"/>
        <v>41.473991801908056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147.72913422715322</v>
      </c>
      <c r="T84" s="62">
        <f t="shared" si="88"/>
        <v>361.07991692964799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>
        <f>AI84*VLOOKUP('Données projet'!$B$10,Paramètres!$A$1:$I$89,3,0)*VLOOKUP('Données projet'!$B$10,Paramètres!$A$1:$I$89,5,0)</f>
        <v>0</v>
      </c>
      <c r="AK84" s="14" t="e">
        <f t="shared" si="89"/>
        <v>#NUM!</v>
      </c>
      <c r="AL84" s="22" t="e">
        <f t="shared" si="58"/>
        <v>#NUM!</v>
      </c>
      <c r="AM84" s="62" t="e">
        <f t="shared" si="59"/>
        <v>#NUM!</v>
      </c>
      <c r="AN84" s="62">
        <f ca="1">AVERAGE(OFFSET($AM$3,0,0,'Données projet'!$E$10+1,1))-AVERAGE(OFFSET($H$3,0,0,'Données projet'!$E$10+1,1))</f>
        <v>151.58413719376074</v>
      </c>
      <c r="AO84" s="62">
        <f t="shared" si="90"/>
        <v>310.105543138185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35.985172253564883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5.6052135702847988E-6</v>
      </c>
      <c r="AX84" s="23">
        <f t="shared" si="60"/>
        <v>35.985177858778457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5.6843418860808015E-14</v>
      </c>
      <c r="BE84" s="14">
        <f>BD84*VLOOKUP('Données projet'!$B$11,Paramètres!$A$1:$I$89,3,0)*VLOOKUP('Données projet'!$B$11,Paramètres!$A$1:$I$89,5,0)</f>
        <v>3.3992364478763198E-14</v>
      </c>
      <c r="BF84" s="14">
        <f t="shared" si="91"/>
        <v>5.790027782444094E-13</v>
      </c>
      <c r="BG84" s="22">
        <f t="shared" si="61"/>
        <v>1.0676332069095257E-12</v>
      </c>
      <c r="BH84" s="62">
        <f t="shared" si="62"/>
        <v>293.33333333333439</v>
      </c>
      <c r="BI84" s="62">
        <f ca="1">AVERAGE(OFFSET($BH$3,0,0,'Données projet'!$E$11+1,1))-AVERAGE(OFFSET($H$3,0,0,'Données projet'!$E$11+1,1))</f>
        <v>157.98488572680344</v>
      </c>
      <c r="BJ84" s="62">
        <f t="shared" si="92"/>
        <v>269.20989374735825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39.84129947321329</v>
      </c>
      <c r="BQ84" s="23">
        <f>EXP(-LN(2)/25)*BQ83+(1-EXP(-LN(2)/25))/(LN(2)/25)*Calculateur!BL84*Calculateur!BN84*VLOOKUP('Données projet'!$B$11,Paramètres!$A$1:$I$89,3,0)*0.475*44/12</f>
        <v>0.81291523206459981</v>
      </c>
      <c r="BR84" s="23">
        <f>EXP(-LN(2)/2)*BR83+(1-EXP(-LN(2)/2))/(LN(2)/2)*BL84*BO84*VLOOKUP('Données projet'!$B$11,Paramètres!$A$1:$I$89,3,0)*0.475*44/12</f>
        <v>2.3212769598376584E-5</v>
      </c>
      <c r="BS84" s="24">
        <f t="shared" si="63"/>
        <v>40.654237918047485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147.72913422715322</v>
      </c>
      <c r="T85" s="62">
        <f t="shared" si="88"/>
        <v>361.07991692964799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>
        <f>AI85*VLOOKUP('Données projet'!$B$10,Paramètres!$A$1:$I$89,3,0)*VLOOKUP('Données projet'!$B$10,Paramètres!$A$1:$I$89,5,0)</f>
        <v>0</v>
      </c>
      <c r="AK85" s="14" t="e">
        <f t="shared" si="89"/>
        <v>#NUM!</v>
      </c>
      <c r="AL85" s="22" t="e">
        <f t="shared" si="58"/>
        <v>#NUM!</v>
      </c>
      <c r="AM85" s="62" t="e">
        <f t="shared" si="59"/>
        <v>#NUM!</v>
      </c>
      <c r="AN85" s="62">
        <f ca="1">AVERAGE(OFFSET($AM$3,0,0,'Données projet'!$E$10+1,1))-AVERAGE(OFFSET($H$3,0,0,'Données projet'!$E$10+1,1))</f>
        <v>151.58413719376074</v>
      </c>
      <c r="AO85" s="62">
        <f t="shared" si="90"/>
        <v>310.105543138185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35.279524974460287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3.96348452554724E-6</v>
      </c>
      <c r="AX85" s="23">
        <f t="shared" si="60"/>
        <v>35.279528937944811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5.6843418860808015E-14</v>
      </c>
      <c r="BE85" s="14">
        <f>BD85*VLOOKUP('Données projet'!$B$11,Paramètres!$A$1:$I$89,3,0)*VLOOKUP('Données projet'!$B$11,Paramètres!$A$1:$I$89,5,0)</f>
        <v>3.3992364478763198E-14</v>
      </c>
      <c r="BF85" s="14">
        <f t="shared" si="91"/>
        <v>5.790027782444094E-13</v>
      </c>
      <c r="BG85" s="22">
        <f t="shared" si="61"/>
        <v>1.0676332069095257E-12</v>
      </c>
      <c r="BH85" s="62">
        <f t="shared" si="62"/>
        <v>293.33333333333439</v>
      </c>
      <c r="BI85" s="62">
        <f ca="1">AVERAGE(OFFSET($BH$3,0,0,'Données projet'!$E$11+1,1))-AVERAGE(OFFSET($H$3,0,0,'Données projet'!$E$11+1,1))</f>
        <v>157.98488572680344</v>
      </c>
      <c r="BJ85" s="62">
        <f t="shared" si="92"/>
        <v>269.20989374735825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39.060035891336753</v>
      </c>
      <c r="BQ85" s="23">
        <f>EXP(-LN(2)/25)*BQ84+(1-EXP(-LN(2)/25))/(LN(2)/25)*Calculateur!BL85*Calculateur!BN85*VLOOKUP('Données projet'!$B$11,Paramètres!$A$1:$I$89,3,0)*0.475*44/12</f>
        <v>0.79068602229443918</v>
      </c>
      <c r="BR85" s="23">
        <f>EXP(-LN(2)/2)*BR84+(1-EXP(-LN(2)/2))/(LN(2)/2)*BL85*BO85*VLOOKUP('Données projet'!$B$11,Paramètres!$A$1:$I$89,3,0)*0.475*44/12</f>
        <v>1.6413906793133014E-5</v>
      </c>
      <c r="BS85" s="24">
        <f t="shared" si="63"/>
        <v>39.850738327537982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147.72913422715322</v>
      </c>
      <c r="T86" s="62">
        <f t="shared" si="88"/>
        <v>361.07991692964799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>
        <f>AI86*VLOOKUP('Données projet'!$B$10,Paramètres!$A$1:$I$89,3,0)*VLOOKUP('Données projet'!$B$10,Paramètres!$A$1:$I$89,5,0)</f>
        <v>0</v>
      </c>
      <c r="AK86" s="14" t="e">
        <f t="shared" si="89"/>
        <v>#NUM!</v>
      </c>
      <c r="AL86" s="22" t="e">
        <f t="shared" si="58"/>
        <v>#NUM!</v>
      </c>
      <c r="AM86" s="62" t="e">
        <f t="shared" si="59"/>
        <v>#NUM!</v>
      </c>
      <c r="AN86" s="62">
        <f ca="1">AVERAGE(OFFSET($AM$3,0,0,'Données projet'!$E$10+1,1))-AVERAGE(OFFSET($H$3,0,0,'Données projet'!$E$10+1,1))</f>
        <v>151.58413719376074</v>
      </c>
      <c r="AO86" s="62">
        <f t="shared" si="90"/>
        <v>310.105543138185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34.587715008096588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2.8026067851423994E-6</v>
      </c>
      <c r="AX86" s="23">
        <f t="shared" si="60"/>
        <v>34.587717810703374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5.6843418860808015E-14</v>
      </c>
      <c r="BE86" s="14">
        <f>BD86*VLOOKUP('Données projet'!$B$11,Paramètres!$A$1:$I$89,3,0)*VLOOKUP('Données projet'!$B$11,Paramètres!$A$1:$I$89,5,0)</f>
        <v>3.3992364478763198E-14</v>
      </c>
      <c r="BF86" s="14">
        <f t="shared" si="91"/>
        <v>5.790027782444094E-13</v>
      </c>
      <c r="BG86" s="22">
        <f t="shared" si="61"/>
        <v>1.0676332069095257E-12</v>
      </c>
      <c r="BH86" s="62">
        <f t="shared" si="62"/>
        <v>293.33333333333439</v>
      </c>
      <c r="BI86" s="62">
        <f ca="1">AVERAGE(OFFSET($BH$3,0,0,'Données projet'!$E$11+1,1))-AVERAGE(OFFSET($H$3,0,0,'Données projet'!$E$11+1,1))</f>
        <v>157.98488572680344</v>
      </c>
      <c r="BJ86" s="62">
        <f t="shared" si="92"/>
        <v>269.20989374735825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38.294092411777079</v>
      </c>
      <c r="BQ86" s="23">
        <f>EXP(-LN(2)/25)*BQ85+(1-EXP(-LN(2)/25))/(LN(2)/25)*Calculateur!BL86*Calculateur!BN86*VLOOKUP('Données projet'!$B$11,Paramètres!$A$1:$I$89,3,0)*0.475*44/12</f>
        <v>0.76906467143442692</v>
      </c>
      <c r="BR86" s="23">
        <f>EXP(-LN(2)/2)*BR85+(1-EXP(-LN(2)/2))/(LN(2)/2)*BL86*BO86*VLOOKUP('Données projet'!$B$11,Paramètres!$A$1:$I$89,3,0)*0.475*44/12</f>
        <v>1.1606384799188292E-5</v>
      </c>
      <c r="BS86" s="24">
        <f t="shared" si="63"/>
        <v>39.06316868959631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147.72913422715322</v>
      </c>
      <c r="T87" s="62">
        <f t="shared" si="88"/>
        <v>361.07991692964799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>
        <f>AI87*VLOOKUP('Données projet'!$B$10,Paramètres!$A$1:$I$89,3,0)*VLOOKUP('Données projet'!$B$10,Paramètres!$A$1:$I$89,5,0)</f>
        <v>0</v>
      </c>
      <c r="AK87" s="14" t="e">
        <f t="shared" si="89"/>
        <v>#NUM!</v>
      </c>
      <c r="AL87" s="22" t="e">
        <f t="shared" si="58"/>
        <v>#NUM!</v>
      </c>
      <c r="AM87" s="62" t="e">
        <f t="shared" si="59"/>
        <v>#NUM!</v>
      </c>
      <c r="AN87" s="62">
        <f ca="1">AVERAGE(OFFSET($AM$3,0,0,'Données projet'!$E$10+1,1))-AVERAGE(OFFSET($H$3,0,0,'Données projet'!$E$10+1,1))</f>
        <v>151.58413719376074</v>
      </c>
      <c r="AO87" s="62">
        <f t="shared" si="90"/>
        <v>310.105543138185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33.909471013210869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1.98174226277362E-6</v>
      </c>
      <c r="AX87" s="23">
        <f t="shared" si="60"/>
        <v>33.909472994953134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5.6843418860808015E-14</v>
      </c>
      <c r="BE87" s="14">
        <f>BD87*VLOOKUP('Données projet'!$B$11,Paramètres!$A$1:$I$89,3,0)*VLOOKUP('Données projet'!$B$11,Paramètres!$A$1:$I$89,5,0)</f>
        <v>3.3992364478763198E-14</v>
      </c>
      <c r="BF87" s="14">
        <f t="shared" si="91"/>
        <v>5.790027782444094E-13</v>
      </c>
      <c r="BG87" s="22">
        <f t="shared" si="61"/>
        <v>1.0676332069095257E-12</v>
      </c>
      <c r="BH87" s="62">
        <f t="shared" si="62"/>
        <v>293.33333333333439</v>
      </c>
      <c r="BI87" s="62">
        <f ca="1">AVERAGE(OFFSET($BH$3,0,0,'Données projet'!$E$11+1,1))-AVERAGE(OFFSET($H$3,0,0,'Données projet'!$E$11+1,1))</f>
        <v>157.98488572680344</v>
      </c>
      <c r="BJ87" s="62">
        <f t="shared" si="92"/>
        <v>269.20989374735825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37.543168616672183</v>
      </c>
      <c r="BQ87" s="23">
        <f>EXP(-LN(2)/25)*BQ86+(1-EXP(-LN(2)/25))/(LN(2)/25)*Calculateur!BL87*Calculateur!BN87*VLOOKUP('Données projet'!$B$11,Paramètres!$A$1:$I$89,3,0)*0.475*44/12</f>
        <v>0.74803455755069914</v>
      </c>
      <c r="BR87" s="23">
        <f>EXP(-LN(2)/2)*BR86+(1-EXP(-LN(2)/2))/(LN(2)/2)*BL87*BO87*VLOOKUP('Données projet'!$B$11,Paramètres!$A$1:$I$89,3,0)*0.475*44/12</f>
        <v>8.2069533965665069E-6</v>
      </c>
      <c r="BS87" s="24">
        <f t="shared" si="63"/>
        <v>38.291211381176275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147.72913422715322</v>
      </c>
      <c r="T88" s="62">
        <f t="shared" si="88"/>
        <v>361.07991692964799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>
        <f>AI88*VLOOKUP('Données projet'!$B$10,Paramètres!$A$1:$I$89,3,0)*VLOOKUP('Données projet'!$B$10,Paramètres!$A$1:$I$89,5,0)</f>
        <v>0</v>
      </c>
      <c r="AK88" s="14" t="e">
        <f t="shared" si="89"/>
        <v>#NUM!</v>
      </c>
      <c r="AL88" s="22" t="e">
        <f t="shared" si="58"/>
        <v>#NUM!</v>
      </c>
      <c r="AM88" s="62" t="e">
        <f t="shared" si="59"/>
        <v>#NUM!</v>
      </c>
      <c r="AN88" s="62">
        <f ca="1">AVERAGE(OFFSET($AM$3,0,0,'Données projet'!$E$10+1,1))-AVERAGE(OFFSET($H$3,0,0,'Données projet'!$E$10+1,1))</f>
        <v>151.58413719376074</v>
      </c>
      <c r="AO88" s="62">
        <f t="shared" si="90"/>
        <v>310.105543138185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33.244526969376871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1.4013033925711997E-6</v>
      </c>
      <c r="AX88" s="23">
        <f t="shared" si="60"/>
        <v>33.244528370680264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5.6843418860808015E-14</v>
      </c>
      <c r="BE88" s="14">
        <f>BD88*VLOOKUP('Données projet'!$B$11,Paramètres!$A$1:$I$89,3,0)*VLOOKUP('Données projet'!$B$11,Paramètres!$A$1:$I$89,5,0)</f>
        <v>3.3992364478763198E-14</v>
      </c>
      <c r="BF88" s="14">
        <f t="shared" si="91"/>
        <v>5.790027782444094E-13</v>
      </c>
      <c r="BG88" s="22">
        <f t="shared" si="61"/>
        <v>1.0676332069095257E-12</v>
      </c>
      <c r="BH88" s="62">
        <f t="shared" si="62"/>
        <v>293.33333333333439</v>
      </c>
      <c r="BI88" s="62">
        <f ca="1">AVERAGE(OFFSET($BH$3,0,0,'Données projet'!$E$11+1,1))-AVERAGE(OFFSET($H$3,0,0,'Données projet'!$E$11+1,1))</f>
        <v>157.98488572680344</v>
      </c>
      <c r="BJ88" s="62">
        <f t="shared" si="92"/>
        <v>269.20989374735825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36.806969979171001</v>
      </c>
      <c r="BQ88" s="23">
        <f>EXP(-LN(2)/25)*BQ87+(1-EXP(-LN(2)/25))/(LN(2)/25)*Calculateur!BL88*Calculateur!BN88*VLOOKUP('Données projet'!$B$11,Paramètres!$A$1:$I$89,3,0)*0.475*44/12</f>
        <v>0.7275795132370475</v>
      </c>
      <c r="BR88" s="23">
        <f>EXP(-LN(2)/2)*BR87+(1-EXP(-LN(2)/2))/(LN(2)/2)*BL88*BO88*VLOOKUP('Données projet'!$B$11,Paramètres!$A$1:$I$89,3,0)*0.475*44/12</f>
        <v>5.803192399594146E-6</v>
      </c>
      <c r="BS88" s="24">
        <f t="shared" si="63"/>
        <v>37.534555295600448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147.72913422715322</v>
      </c>
      <c r="T89" s="62">
        <f t="shared" si="88"/>
        <v>361.07991692964799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>
        <f>AI89*VLOOKUP('Données projet'!$B$10,Paramètres!$A$1:$I$89,3,0)*VLOOKUP('Données projet'!$B$10,Paramètres!$A$1:$I$89,5,0)</f>
        <v>0</v>
      </c>
      <c r="AK89" s="14" t="e">
        <f t="shared" si="89"/>
        <v>#NUM!</v>
      </c>
      <c r="AL89" s="22" t="e">
        <f t="shared" si="58"/>
        <v>#NUM!</v>
      </c>
      <c r="AM89" s="62" t="e">
        <f t="shared" si="59"/>
        <v>#NUM!</v>
      </c>
      <c r="AN89" s="62">
        <f ca="1">AVERAGE(OFFSET($AM$3,0,0,'Données projet'!$E$10+1,1))-AVERAGE(OFFSET($H$3,0,0,'Données projet'!$E$10+1,1))</f>
        <v>151.58413719376074</v>
      </c>
      <c r="AO89" s="62">
        <f t="shared" si="90"/>
        <v>310.105543138185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32.592622072666636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9.9087113138680999E-7</v>
      </c>
      <c r="AX89" s="23">
        <f t="shared" si="60"/>
        <v>32.592623063537765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5.6843418860808015E-14</v>
      </c>
      <c r="BE89" s="14">
        <f>BD89*VLOOKUP('Données projet'!$B$11,Paramètres!$A$1:$I$89,3,0)*VLOOKUP('Données projet'!$B$11,Paramètres!$A$1:$I$89,5,0)</f>
        <v>3.3992364478763198E-14</v>
      </c>
      <c r="BF89" s="14">
        <f t="shared" si="91"/>
        <v>5.790027782444094E-13</v>
      </c>
      <c r="BG89" s="22">
        <f t="shared" si="61"/>
        <v>1.0676332069095257E-12</v>
      </c>
      <c r="BH89" s="62">
        <f t="shared" si="62"/>
        <v>293.33333333333439</v>
      </c>
      <c r="BI89" s="62">
        <f ca="1">AVERAGE(OFFSET($BH$3,0,0,'Données projet'!$E$11+1,1))-AVERAGE(OFFSET($H$3,0,0,'Données projet'!$E$11+1,1))</f>
        <v>157.98488572680344</v>
      </c>
      <c r="BJ89" s="62">
        <f t="shared" si="92"/>
        <v>269.20989374735825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36.085207747914389</v>
      </c>
      <c r="BQ89" s="23">
        <f>EXP(-LN(2)/25)*BQ88+(1-EXP(-LN(2)/25))/(LN(2)/25)*Calculateur!BL89*Calculateur!BN89*VLOOKUP('Données projet'!$B$11,Paramètres!$A$1:$I$89,3,0)*0.475*44/12</f>
        <v>0.70768381318583673</v>
      </c>
      <c r="BR89" s="23">
        <f>EXP(-LN(2)/2)*BR88+(1-EXP(-LN(2)/2))/(LN(2)/2)*BL89*BO89*VLOOKUP('Données projet'!$B$11,Paramètres!$A$1:$I$89,3,0)*0.475*44/12</f>
        <v>4.1034766982832535E-6</v>
      </c>
      <c r="BS89" s="24">
        <f t="shared" si="63"/>
        <v>36.792895664576925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147.72913422715322</v>
      </c>
      <c r="T90" s="62">
        <f t="shared" si="88"/>
        <v>361.07991692964799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>
        <f>AI90*VLOOKUP('Données projet'!$B$10,Paramètres!$A$1:$I$89,3,0)*VLOOKUP('Données projet'!$B$10,Paramètres!$A$1:$I$89,5,0)</f>
        <v>0</v>
      </c>
      <c r="AK90" s="14" t="e">
        <f t="shared" si="89"/>
        <v>#NUM!</v>
      </c>
      <c r="AL90" s="22" t="e">
        <f t="shared" si="58"/>
        <v>#NUM!</v>
      </c>
      <c r="AM90" s="62" t="e">
        <f t="shared" si="59"/>
        <v>#NUM!</v>
      </c>
      <c r="AN90" s="62">
        <f ca="1">AVERAGE(OFFSET($AM$3,0,0,'Données projet'!$E$10+1,1))-AVERAGE(OFFSET($H$3,0,0,'Données projet'!$E$10+1,1))</f>
        <v>151.58413719376074</v>
      </c>
      <c r="AO90" s="62">
        <f t="shared" si="90"/>
        <v>310.105543138185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31.953500633358168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7.0065169628559984E-7</v>
      </c>
      <c r="AX90" s="23">
        <f t="shared" si="60"/>
        <v>31.953501334009864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5.6843418860808015E-14</v>
      </c>
      <c r="BE90" s="14">
        <f>BD90*VLOOKUP('Données projet'!$B$11,Paramètres!$A$1:$I$89,3,0)*VLOOKUP('Données projet'!$B$11,Paramètres!$A$1:$I$89,5,0)</f>
        <v>3.3992364478763198E-14</v>
      </c>
      <c r="BF90" s="14">
        <f t="shared" si="91"/>
        <v>5.790027782444094E-13</v>
      </c>
      <c r="BG90" s="22">
        <f t="shared" si="61"/>
        <v>1.0676332069095257E-12</v>
      </c>
      <c r="BH90" s="62">
        <f t="shared" si="62"/>
        <v>293.33333333333439</v>
      </c>
      <c r="BI90" s="62">
        <f ca="1">AVERAGE(OFFSET($BH$3,0,0,'Données projet'!$E$11+1,1))-AVERAGE(OFFSET($H$3,0,0,'Données projet'!$E$11+1,1))</f>
        <v>157.98488572680344</v>
      </c>
      <c r="BJ90" s="62">
        <f t="shared" si="92"/>
        <v>269.20989374735825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35.377598833781228</v>
      </c>
      <c r="BQ90" s="23">
        <f>EXP(-LN(2)/25)*BQ89+(1-EXP(-LN(2)/25))/(LN(2)/25)*Calculateur!BL90*Calculateur!BN90*VLOOKUP('Données projet'!$B$11,Paramètres!$A$1:$I$89,3,0)*0.475*44/12</f>
        <v>0.68833216209879577</v>
      </c>
      <c r="BR90" s="23">
        <f>EXP(-LN(2)/2)*BR89+(1-EXP(-LN(2)/2))/(LN(2)/2)*BL90*BO90*VLOOKUP('Données projet'!$B$11,Paramètres!$A$1:$I$89,3,0)*0.475*44/12</f>
        <v>2.901596199797073E-6</v>
      </c>
      <c r="BS90" s="24">
        <f t="shared" si="63"/>
        <v>36.065933897476221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147.72913422715322</v>
      </c>
      <c r="T91" s="62">
        <f t="shared" si="88"/>
        <v>361.07991692964799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>
        <f>AI91*VLOOKUP('Données projet'!$B$10,Paramètres!$A$1:$I$89,3,0)*VLOOKUP('Données projet'!$B$10,Paramètres!$A$1:$I$89,5,0)</f>
        <v>0</v>
      </c>
      <c r="AK91" s="14" t="e">
        <f t="shared" si="89"/>
        <v>#NUM!</v>
      </c>
      <c r="AL91" s="22" t="e">
        <f t="shared" si="58"/>
        <v>#NUM!</v>
      </c>
      <c r="AM91" s="62" t="e">
        <f t="shared" si="59"/>
        <v>#NUM!</v>
      </c>
      <c r="AN91" s="62">
        <f ca="1">AVERAGE(OFFSET($AM$3,0,0,'Données projet'!$E$10+1,1))-AVERAGE(OFFSET($H$3,0,0,'Données projet'!$E$10+1,1))</f>
        <v>151.58413719376074</v>
      </c>
      <c r="AO91" s="62">
        <f t="shared" si="90"/>
        <v>310.105543138185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31.326911975648951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4.9543556569340499E-7</v>
      </c>
      <c r="AX91" s="23">
        <f t="shared" si="60"/>
        <v>31.326912471084515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5.6843418860808015E-14</v>
      </c>
      <c r="BE91" s="14">
        <f>BD91*VLOOKUP('Données projet'!$B$11,Paramètres!$A$1:$I$89,3,0)*VLOOKUP('Données projet'!$B$11,Paramètres!$A$1:$I$89,5,0)</f>
        <v>3.3992364478763198E-14</v>
      </c>
      <c r="BF91" s="14">
        <f t="shared" si="91"/>
        <v>5.790027782444094E-13</v>
      </c>
      <c r="BG91" s="22">
        <f t="shared" si="61"/>
        <v>1.0676332069095257E-12</v>
      </c>
      <c r="BH91" s="62">
        <f t="shared" si="62"/>
        <v>293.33333333333439</v>
      </c>
      <c r="BI91" s="62">
        <f ca="1">AVERAGE(OFFSET($BH$3,0,0,'Données projet'!$E$11+1,1))-AVERAGE(OFFSET($H$3,0,0,'Données projet'!$E$11+1,1))</f>
        <v>157.98488572680344</v>
      </c>
      <c r="BJ91" s="62">
        <f t="shared" si="92"/>
        <v>269.20989374735825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34.683865698855399</v>
      </c>
      <c r="BQ91" s="23">
        <f>EXP(-LN(2)/25)*BQ90+(1-EXP(-LN(2)/25))/(LN(2)/25)*Calculateur!BL91*Calculateur!BN91*VLOOKUP('Données projet'!$B$11,Paramètres!$A$1:$I$89,3,0)*0.475*44/12</f>
        <v>0.66950968292838897</v>
      </c>
      <c r="BR91" s="23">
        <f>EXP(-LN(2)/2)*BR90+(1-EXP(-LN(2)/2))/(LN(2)/2)*BL91*BO91*VLOOKUP('Données projet'!$B$11,Paramètres!$A$1:$I$89,3,0)*0.475*44/12</f>
        <v>2.0517383491416267E-6</v>
      </c>
      <c r="BS91" s="24">
        <f t="shared" si="63"/>
        <v>35.353377433522134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147.72913422715322</v>
      </c>
      <c r="T92" s="62">
        <f t="shared" si="88"/>
        <v>361.07991692964799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>
        <f>AI92*VLOOKUP('Données projet'!$B$10,Paramètres!$A$1:$I$89,3,0)*VLOOKUP('Données projet'!$B$10,Paramètres!$A$1:$I$89,5,0)</f>
        <v>0</v>
      </c>
      <c r="AK92" s="14" t="e">
        <f t="shared" si="89"/>
        <v>#NUM!</v>
      </c>
      <c r="AL92" s="22" t="e">
        <f t="shared" si="58"/>
        <v>#NUM!</v>
      </c>
      <c r="AM92" s="62" t="e">
        <f t="shared" si="59"/>
        <v>#NUM!</v>
      </c>
      <c r="AN92" s="62">
        <f ca="1">AVERAGE(OFFSET($AM$3,0,0,'Données projet'!$E$10+1,1))-AVERAGE(OFFSET($H$3,0,0,'Données projet'!$E$10+1,1))</f>
        <v>151.58413719376074</v>
      </c>
      <c r="AO92" s="62">
        <f t="shared" si="90"/>
        <v>310.105543138185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30.712610339336067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3.5032584814279992E-7</v>
      </c>
      <c r="AX92" s="23">
        <f t="shared" si="60"/>
        <v>30.712610689661915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5.6843418860808015E-14</v>
      </c>
      <c r="BE92" s="14">
        <f>BD92*VLOOKUP('Données projet'!$B$11,Paramètres!$A$1:$I$89,3,0)*VLOOKUP('Données projet'!$B$11,Paramètres!$A$1:$I$89,5,0)</f>
        <v>3.3992364478763198E-14</v>
      </c>
      <c r="BF92" s="14">
        <f t="shared" si="91"/>
        <v>5.790027782444094E-13</v>
      </c>
      <c r="BG92" s="22">
        <f t="shared" si="61"/>
        <v>1.0676332069095257E-12</v>
      </c>
      <c r="BH92" s="62">
        <f t="shared" si="62"/>
        <v>293.33333333333439</v>
      </c>
      <c r="BI92" s="62">
        <f ca="1">AVERAGE(OFFSET($BH$3,0,0,'Données projet'!$E$11+1,1))-AVERAGE(OFFSET($H$3,0,0,'Données projet'!$E$11+1,1))</f>
        <v>157.98488572680344</v>
      </c>
      <c r="BJ92" s="62">
        <f t="shared" si="92"/>
        <v>269.20989374735825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34.003736247570032</v>
      </c>
      <c r="BQ92" s="23">
        <f>EXP(-LN(2)/25)*BQ91+(1-EXP(-LN(2)/25))/(LN(2)/25)*Calculateur!BL92*Calculateur!BN92*VLOOKUP('Données projet'!$B$11,Paramètres!$A$1:$I$89,3,0)*0.475*44/12</f>
        <v>0.65120190544072809</v>
      </c>
      <c r="BR92" s="23">
        <f>EXP(-LN(2)/2)*BR91+(1-EXP(-LN(2)/2))/(LN(2)/2)*BL92*BO92*VLOOKUP('Données projet'!$B$11,Paramètres!$A$1:$I$89,3,0)*0.475*44/12</f>
        <v>1.4507980998985365E-6</v>
      </c>
      <c r="BS92" s="24">
        <f t="shared" si="63"/>
        <v>34.654939603808863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147.72913422715322</v>
      </c>
      <c r="T93" s="62">
        <f t="shared" si="88"/>
        <v>361.07991692964799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>
        <f>AI93*VLOOKUP('Données projet'!$B$10,Paramètres!$A$1:$I$89,3,0)*VLOOKUP('Données projet'!$B$10,Paramètres!$A$1:$I$89,5,0)</f>
        <v>0</v>
      </c>
      <c r="AK93" s="14" t="e">
        <f t="shared" si="89"/>
        <v>#NUM!</v>
      </c>
      <c r="AL93" s="22" t="e">
        <f t="shared" si="58"/>
        <v>#NUM!</v>
      </c>
      <c r="AM93" s="62" t="e">
        <f t="shared" si="59"/>
        <v>#NUM!</v>
      </c>
      <c r="AN93" s="62">
        <f ca="1">AVERAGE(OFFSET($AM$3,0,0,'Données projet'!$E$10+1,1))-AVERAGE(OFFSET($H$3,0,0,'Données projet'!$E$10+1,1))</f>
        <v>151.58413719376074</v>
      </c>
      <c r="AO93" s="62">
        <f t="shared" si="90"/>
        <v>310.105543138185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30.110354783424278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2.477177828467025E-7</v>
      </c>
      <c r="AX93" s="23">
        <f t="shared" si="60"/>
        <v>30.11035503114206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5.6843418860808015E-14</v>
      </c>
      <c r="BE93" s="14">
        <f>BD93*VLOOKUP('Données projet'!$B$11,Paramètres!$A$1:$I$89,3,0)*VLOOKUP('Données projet'!$B$11,Paramètres!$A$1:$I$89,5,0)</f>
        <v>3.3992364478763198E-14</v>
      </c>
      <c r="BF93" s="14">
        <f t="shared" si="91"/>
        <v>5.790027782444094E-13</v>
      </c>
      <c r="BG93" s="22">
        <f t="shared" si="61"/>
        <v>1.0676332069095257E-12</v>
      </c>
      <c r="BH93" s="62">
        <f t="shared" si="62"/>
        <v>293.33333333333439</v>
      </c>
      <c r="BI93" s="62">
        <f ca="1">AVERAGE(OFFSET($BH$3,0,0,'Données projet'!$E$11+1,1))-AVERAGE(OFFSET($H$3,0,0,'Données projet'!$E$11+1,1))</f>
        <v>157.98488572680344</v>
      </c>
      <c r="BJ93" s="62">
        <f t="shared" si="92"/>
        <v>269.20989374735825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33.336943719986365</v>
      </c>
      <c r="BQ93" s="23">
        <f>EXP(-LN(2)/25)*BQ92+(1-EXP(-LN(2)/25))/(LN(2)/25)*Calculateur!BL93*Calculateur!BN93*VLOOKUP('Données projet'!$B$11,Paramètres!$A$1:$I$89,3,0)*0.475*44/12</f>
        <v>0.63339475509123155</v>
      </c>
      <c r="BR93" s="23">
        <f>EXP(-LN(2)/2)*BR92+(1-EXP(-LN(2)/2))/(LN(2)/2)*BL93*BO93*VLOOKUP('Données projet'!$B$11,Paramètres!$A$1:$I$89,3,0)*0.475*44/12</f>
        <v>1.0258691745708134E-6</v>
      </c>
      <c r="BS93" s="24">
        <f t="shared" si="63"/>
        <v>33.970339500946771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147.72913422715322</v>
      </c>
      <c r="T94" s="62">
        <f t="shared" si="88"/>
        <v>361.07991692964799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>
        <f>AI94*VLOOKUP('Données projet'!$B$10,Paramètres!$A$1:$I$89,3,0)*VLOOKUP('Données projet'!$B$10,Paramètres!$A$1:$I$89,5,0)</f>
        <v>0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151.58413719376074</v>
      </c>
      <c r="AO94" s="62">
        <f t="shared" si="90"/>
        <v>310.105543138185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29.519909091624303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1.7516292407139996E-7</v>
      </c>
      <c r="AX94" s="23">
        <f t="shared" si="60"/>
        <v>29.519909266787227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5.6843418860808015E-14</v>
      </c>
      <c r="BE94" s="14">
        <f>BD94*VLOOKUP('Données projet'!$B$11,Paramètres!$A$1:$I$89,3,0)*VLOOKUP('Données projet'!$B$11,Paramètres!$A$1:$I$89,5,0)</f>
        <v>3.3992364478763198E-14</v>
      </c>
      <c r="BF94" s="14">
        <f t="shared" si="91"/>
        <v>5.790027782444094E-13</v>
      </c>
      <c r="BG94" s="22">
        <f t="shared" si="61"/>
        <v>1.0676332069095257E-12</v>
      </c>
      <c r="BH94" s="62">
        <f t="shared" si="62"/>
        <v>293.33333333333439</v>
      </c>
      <c r="BI94" s="62">
        <f ca="1">AVERAGE(OFFSET($BH$3,0,0,'Données projet'!$E$11+1,1))-AVERAGE(OFFSET($H$3,0,0,'Données projet'!$E$11+1,1))</f>
        <v>157.98488572680344</v>
      </c>
      <c r="BJ94" s="62">
        <f t="shared" si="92"/>
        <v>269.20989374735825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32.683226587165336</v>
      </c>
      <c r="BQ94" s="23">
        <f>EXP(-LN(2)/25)*BQ93+(1-EXP(-LN(2)/25))/(LN(2)/25)*Calculateur!BL94*Calculateur!BN94*VLOOKUP('Données projet'!$B$11,Paramètres!$A$1:$I$89,3,0)*0.475*44/12</f>
        <v>0.61607454220447933</v>
      </c>
      <c r="BR94" s="23">
        <f>EXP(-LN(2)/2)*BR93+(1-EXP(-LN(2)/2))/(LN(2)/2)*BL94*BO94*VLOOKUP('Données projet'!$B$11,Paramètres!$A$1:$I$89,3,0)*0.475*44/12</f>
        <v>7.2539904994926825E-7</v>
      </c>
      <c r="BS94" s="24">
        <f t="shared" si="63"/>
        <v>33.299301854768864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147.72913422715322</v>
      </c>
      <c r="T95" s="62">
        <f t="shared" si="88"/>
        <v>361.07991692964799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>
        <f>AI95*VLOOKUP('Données projet'!$B$10,Paramètres!$A$1:$I$89,3,0)*VLOOKUP('Données projet'!$B$10,Paramètres!$A$1:$I$89,5,0)</f>
        <v>0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151.58413719376074</v>
      </c>
      <c r="AO95" s="62">
        <f t="shared" si="90"/>
        <v>310.105543138185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28.941041679704213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1.2385889142335125E-7</v>
      </c>
      <c r="AX95" s="23">
        <f t="shared" si="60"/>
        <v>28.941041803563106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5.6843418860808015E-14</v>
      </c>
      <c r="BE95" s="14">
        <f>BD95*VLOOKUP('Données projet'!$B$11,Paramètres!$A$1:$I$89,3,0)*VLOOKUP('Données projet'!$B$11,Paramètres!$A$1:$I$89,5,0)</f>
        <v>3.3992364478763198E-14</v>
      </c>
      <c r="BF95" s="14">
        <f t="shared" si="91"/>
        <v>5.790027782444094E-13</v>
      </c>
      <c r="BG95" s="22">
        <f t="shared" si="61"/>
        <v>1.0676332069095257E-12</v>
      </c>
      <c r="BH95" s="62">
        <f t="shared" si="62"/>
        <v>293.33333333333439</v>
      </c>
      <c r="BI95" s="62">
        <f ca="1">AVERAGE(OFFSET($BH$3,0,0,'Données projet'!$E$11+1,1))-AVERAGE(OFFSET($H$3,0,0,'Données projet'!$E$11+1,1))</f>
        <v>157.98488572680344</v>
      </c>
      <c r="BJ95" s="62">
        <f t="shared" si="92"/>
        <v>269.20989374735825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32.042328448590844</v>
      </c>
      <c r="BQ95" s="23">
        <f>EXP(-LN(2)/25)*BQ94+(1-EXP(-LN(2)/25))/(LN(2)/25)*Calculateur!BL95*Calculateur!BN95*VLOOKUP('Données projet'!$B$11,Paramètres!$A$1:$I$89,3,0)*0.475*44/12</f>
        <v>0.59922795144994567</v>
      </c>
      <c r="BR95" s="23">
        <f>EXP(-LN(2)/2)*BR94+(1-EXP(-LN(2)/2))/(LN(2)/2)*BL95*BO95*VLOOKUP('Données projet'!$B$11,Paramètres!$A$1:$I$89,3,0)*0.475*44/12</f>
        <v>5.1293458728540668E-7</v>
      </c>
      <c r="BS95" s="24">
        <f t="shared" si="63"/>
        <v>32.641556912975382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147.72913422715322</v>
      </c>
      <c r="T96" s="62">
        <f t="shared" si="88"/>
        <v>361.07991692964799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>
        <f>AI96*VLOOKUP('Données projet'!$B$10,Paramètres!$A$1:$I$89,3,0)*VLOOKUP('Données projet'!$B$10,Paramètres!$A$1:$I$89,5,0)</f>
        <v>0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151.58413719376074</v>
      </c>
      <c r="AO96" s="62">
        <f t="shared" si="90"/>
        <v>310.105543138185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28.373525504657618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8.7581462035699981E-8</v>
      </c>
      <c r="AX96" s="23">
        <f t="shared" si="60"/>
        <v>28.37352559223908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5.6843418860808015E-14</v>
      </c>
      <c r="BE96" s="14">
        <f>BD96*VLOOKUP('Données projet'!$B$11,Paramètres!$A$1:$I$89,3,0)*VLOOKUP('Données projet'!$B$11,Paramètres!$A$1:$I$89,5,0)</f>
        <v>3.3992364478763198E-14</v>
      </c>
      <c r="BF96" s="14">
        <f t="shared" si="91"/>
        <v>5.790027782444094E-13</v>
      </c>
      <c r="BG96" s="22">
        <f t="shared" si="61"/>
        <v>1.0676332069095257E-12</v>
      </c>
      <c r="BH96" s="62">
        <f t="shared" si="62"/>
        <v>293.33333333333439</v>
      </c>
      <c r="BI96" s="62">
        <f ca="1">AVERAGE(OFFSET($BH$3,0,0,'Données projet'!$E$11+1,1))-AVERAGE(OFFSET($H$3,0,0,'Données projet'!$E$11+1,1))</f>
        <v>157.98488572680344</v>
      </c>
      <c r="BJ96" s="62">
        <f t="shared" si="92"/>
        <v>269.20989374735825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31.413997931604531</v>
      </c>
      <c r="BQ96" s="23">
        <f>EXP(-LN(2)/25)*BQ95+(1-EXP(-LN(2)/25))/(LN(2)/25)*Calculateur!BL96*Calculateur!BN96*VLOOKUP('Données projet'!$B$11,Paramètres!$A$1:$I$89,3,0)*0.475*44/12</f>
        <v>0.58284203160551851</v>
      </c>
      <c r="BR96" s="23">
        <f>EXP(-LN(2)/2)*BR95+(1-EXP(-LN(2)/2))/(LN(2)/2)*BL96*BO96*VLOOKUP('Données projet'!$B$11,Paramètres!$A$1:$I$89,3,0)*0.475*44/12</f>
        <v>3.6269952497463413E-7</v>
      </c>
      <c r="BS96" s="24">
        <f t="shared" si="63"/>
        <v>31.996840325909574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147.72913422715322</v>
      </c>
      <c r="T97" s="62">
        <f t="shared" si="88"/>
        <v>361.07991692964799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>
        <f>AI97*VLOOKUP('Données projet'!$B$10,Paramètres!$A$1:$I$89,3,0)*VLOOKUP('Données projet'!$B$10,Paramètres!$A$1:$I$89,5,0)</f>
        <v>0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151.58413719376074</v>
      </c>
      <c r="AO97" s="62">
        <f t="shared" si="90"/>
        <v>310.105543138185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27.817137975653001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6.1929445711675624E-8</v>
      </c>
      <c r="AX97" s="23">
        <f t="shared" si="60"/>
        <v>27.817138037582446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5.6843418860808015E-14</v>
      </c>
      <c r="BE97" s="14">
        <f>BD97*VLOOKUP('Données projet'!$B$11,Paramètres!$A$1:$I$89,3,0)*VLOOKUP('Données projet'!$B$11,Paramètres!$A$1:$I$89,5,0)</f>
        <v>3.3992364478763198E-14</v>
      </c>
      <c r="BF97" s="14">
        <f t="shared" si="91"/>
        <v>5.790027782444094E-13</v>
      </c>
      <c r="BG97" s="22">
        <f t="shared" si="61"/>
        <v>1.0676332069095257E-12</v>
      </c>
      <c r="BH97" s="62">
        <f t="shared" si="62"/>
        <v>293.33333333333439</v>
      </c>
      <c r="BI97" s="62">
        <f ca="1">AVERAGE(OFFSET($BH$3,0,0,'Données projet'!$E$11+1,1))-AVERAGE(OFFSET($H$3,0,0,'Données projet'!$E$11+1,1))</f>
        <v>157.98488572680344</v>
      </c>
      <c r="BJ97" s="62">
        <f t="shared" si="92"/>
        <v>269.20989374735825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30.797988592812548</v>
      </c>
      <c r="BQ97" s="23">
        <f>EXP(-LN(2)/25)*BQ96+(1-EXP(-LN(2)/25))/(LN(2)/25)*Calculateur!BL97*Calculateur!BN97*VLOOKUP('Données projet'!$B$11,Paramètres!$A$1:$I$89,3,0)*0.475*44/12</f>
        <v>0.56690418560093525</v>
      </c>
      <c r="BR97" s="23">
        <f>EXP(-LN(2)/2)*BR96+(1-EXP(-LN(2)/2))/(LN(2)/2)*BL97*BO97*VLOOKUP('Données projet'!$B$11,Paramètres!$A$1:$I$89,3,0)*0.475*44/12</f>
        <v>2.5646729364270334E-7</v>
      </c>
      <c r="BS97" s="24">
        <f t="shared" si="63"/>
        <v>31.36489303488078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147.72913422715322</v>
      </c>
      <c r="T98" s="62">
        <f t="shared" si="88"/>
        <v>361.07991692964799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>
        <f>AI98*VLOOKUP('Données projet'!$B$10,Paramètres!$A$1:$I$89,3,0)*VLOOKUP('Données projet'!$B$10,Paramètres!$A$1:$I$89,5,0)</f>
        <v>0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151.58413719376074</v>
      </c>
      <c r="AO98" s="62">
        <f t="shared" si="90"/>
        <v>310.105543138185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27.271660866729281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4.379073101784999E-8</v>
      </c>
      <c r="AX98" s="23">
        <f t="shared" si="60"/>
        <v>27.271660910520012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5.6843418860808015E-14</v>
      </c>
      <c r="BE98" s="14">
        <f>BD98*VLOOKUP('Données projet'!$B$11,Paramètres!$A$1:$I$89,3,0)*VLOOKUP('Données projet'!$B$11,Paramètres!$A$1:$I$89,5,0)</f>
        <v>3.3992364478763198E-14</v>
      </c>
      <c r="BF98" s="14">
        <f t="shared" si="91"/>
        <v>5.790027782444094E-13</v>
      </c>
      <c r="BG98" s="22">
        <f t="shared" si="61"/>
        <v>1.0676332069095257E-12</v>
      </c>
      <c r="BH98" s="62">
        <f t="shared" si="62"/>
        <v>293.33333333333439</v>
      </c>
      <c r="BI98" s="62">
        <f ca="1">AVERAGE(OFFSET($BH$3,0,0,'Données projet'!$E$11+1,1))-AVERAGE(OFFSET($H$3,0,0,'Données projet'!$E$11+1,1))</f>
        <v>157.98488572680344</v>
      </c>
      <c r="BJ98" s="62">
        <f t="shared" si="92"/>
        <v>269.20989374735825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30.194058821425678</v>
      </c>
      <c r="BQ98" s="23">
        <f>EXP(-LN(2)/25)*BQ97+(1-EXP(-LN(2)/25))/(LN(2)/25)*Calculateur!BL98*Calculateur!BN98*VLOOKUP('Données projet'!$B$11,Paramètres!$A$1:$I$89,3,0)*0.475*44/12</f>
        <v>0.55140216083348226</v>
      </c>
      <c r="BR98" s="23">
        <f>EXP(-LN(2)/2)*BR97+(1-EXP(-LN(2)/2))/(LN(2)/2)*BL98*BO98*VLOOKUP('Données projet'!$B$11,Paramètres!$A$1:$I$89,3,0)*0.475*44/12</f>
        <v>1.8134976248731706E-7</v>
      </c>
      <c r="BS98" s="24">
        <f t="shared" si="63"/>
        <v>30.745461163608923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147.72913422715322</v>
      </c>
      <c r="T99" s="62">
        <f t="shared" si="88"/>
        <v>361.07991692964799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>
        <f>AI99*VLOOKUP('Données projet'!$B$10,Paramètres!$A$1:$I$89,3,0)*VLOOKUP('Données projet'!$B$10,Paramètres!$A$1:$I$89,5,0)</f>
        <v>0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151.58413719376074</v>
      </c>
      <c r="AO99" s="62">
        <f t="shared" si="90"/>
        <v>310.105543138185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26.736880231203372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3.0964722855837812E-8</v>
      </c>
      <c r="AX99" s="23">
        <f t="shared" si="60"/>
        <v>26.736880262168096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5.6843418860808015E-14</v>
      </c>
      <c r="BE99" s="14">
        <f>BD99*VLOOKUP('Données projet'!$B$11,Paramètres!$A$1:$I$89,3,0)*VLOOKUP('Données projet'!$B$11,Paramètres!$A$1:$I$89,5,0)</f>
        <v>3.3992364478763198E-14</v>
      </c>
      <c r="BF99" s="14">
        <f t="shared" si="91"/>
        <v>5.790027782444094E-13</v>
      </c>
      <c r="BG99" s="22">
        <f t="shared" si="61"/>
        <v>1.0676332069095257E-12</v>
      </c>
      <c r="BH99" s="62">
        <f t="shared" si="62"/>
        <v>293.33333333333439</v>
      </c>
      <c r="BI99" s="62">
        <f ca="1">AVERAGE(OFFSET($BH$3,0,0,'Données projet'!$E$11+1,1))-AVERAGE(OFFSET($H$3,0,0,'Données projet'!$E$11+1,1))</f>
        <v>157.98488572680344</v>
      </c>
      <c r="BJ99" s="62">
        <f t="shared" si="92"/>
        <v>269.20989374735825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29.601971744494918</v>
      </c>
      <c r="BQ99" s="23">
        <f>EXP(-LN(2)/25)*BQ98+(1-EXP(-LN(2)/25))/(LN(2)/25)*Calculateur!BL99*Calculateur!BN99*VLOOKUP('Données projet'!$B$11,Paramètres!$A$1:$I$89,3,0)*0.475*44/12</f>
        <v>0.53632403974851128</v>
      </c>
      <c r="BR99" s="23">
        <f>EXP(-LN(2)/2)*BR98+(1-EXP(-LN(2)/2))/(LN(2)/2)*BL99*BO99*VLOOKUP('Données projet'!$B$11,Paramètres!$A$1:$I$89,3,0)*0.475*44/12</f>
        <v>1.2823364682135167E-7</v>
      </c>
      <c r="BS99" s="24">
        <f t="shared" si="63"/>
        <v>30.138295912477076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147.72913422715322</v>
      </c>
      <c r="T100" s="62">
        <f t="shared" si="88"/>
        <v>361.07991692964799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>
        <f>AI100*VLOOKUP('Données projet'!$B$10,Paramètres!$A$1:$I$89,3,0)*VLOOKUP('Données projet'!$B$10,Paramètres!$A$1:$I$89,5,0)</f>
        <v>0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151.58413719376074</v>
      </c>
      <c r="AO100" s="62">
        <f t="shared" si="90"/>
        <v>310.105543138185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26.212586317756145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2.1895365508924995E-8</v>
      </c>
      <c r="AX100" s="23">
        <f t="shared" si="60"/>
        <v>26.212586339651509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5.6843418860808015E-14</v>
      </c>
      <c r="BE100" s="14">
        <f>BD100*VLOOKUP('Données projet'!$B$11,Paramètres!$A$1:$I$89,3,0)*VLOOKUP('Données projet'!$B$11,Paramètres!$A$1:$I$89,5,0)</f>
        <v>3.3992364478763198E-14</v>
      </c>
      <c r="BF100" s="14">
        <f t="shared" si="91"/>
        <v>5.790027782444094E-13</v>
      </c>
      <c r="BG100" s="22">
        <f t="shared" si="61"/>
        <v>1.0676332069095257E-12</v>
      </c>
      <c r="BH100" s="62">
        <f t="shared" si="62"/>
        <v>293.33333333333439</v>
      </c>
      <c r="BI100" s="62">
        <f ca="1">AVERAGE(OFFSET($BH$3,0,0,'Données projet'!$E$11+1,1))-AVERAGE(OFFSET($H$3,0,0,'Données projet'!$E$11+1,1))</f>
        <v>157.98488572680344</v>
      </c>
      <c r="BJ100" s="62">
        <f t="shared" si="92"/>
        <v>269.20989374735825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29.021495134005313</v>
      </c>
      <c r="BQ100" s="23">
        <f>EXP(-LN(2)/25)*BQ99+(1-EXP(-LN(2)/25))/(LN(2)/25)*Calculateur!BL100*Calculateur!BN100*VLOOKUP('Données projet'!$B$11,Paramètres!$A$1:$I$89,3,0)*0.475*44/12</f>
        <v>0.52165823067753281</v>
      </c>
      <c r="BR100" s="23">
        <f>EXP(-LN(2)/2)*BR99+(1-EXP(-LN(2)/2))/(LN(2)/2)*BL100*BO100*VLOOKUP('Données projet'!$B$11,Paramètres!$A$1:$I$89,3,0)*0.475*44/12</f>
        <v>9.0674881243658531E-8</v>
      </c>
      <c r="BS100" s="24">
        <f t="shared" si="63"/>
        <v>29.543153455357729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147.72913422715322</v>
      </c>
      <c r="T101" s="62">
        <f t="shared" si="88"/>
        <v>361.07991692964799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>
        <f>AI101*VLOOKUP('Données projet'!$B$10,Paramètres!$A$1:$I$89,3,0)*VLOOKUP('Données projet'!$B$10,Paramètres!$A$1:$I$89,5,0)</f>
        <v>0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151.58413719376074</v>
      </c>
      <c r="AO101" s="62">
        <f t="shared" si="90"/>
        <v>310.105543138185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25.698573488163905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1.5482361427918906E-8</v>
      </c>
      <c r="AX101" s="23">
        <f t="shared" si="60"/>
        <v>25.698573503646266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5.6843418860808015E-14</v>
      </c>
      <c r="BE101" s="14">
        <f>BD101*VLOOKUP('Données projet'!$B$11,Paramètres!$A$1:$I$89,3,0)*VLOOKUP('Données projet'!$B$11,Paramètres!$A$1:$I$89,5,0)</f>
        <v>3.3992364478763198E-14</v>
      </c>
      <c r="BF101" s="14">
        <f t="shared" si="91"/>
        <v>5.790027782444094E-13</v>
      </c>
      <c r="BG101" s="22">
        <f t="shared" si="61"/>
        <v>1.0676332069095257E-12</v>
      </c>
      <c r="BH101" s="62">
        <f t="shared" si="62"/>
        <v>293.33333333333439</v>
      </c>
      <c r="BI101" s="62">
        <f ca="1">AVERAGE(OFFSET($BH$3,0,0,'Données projet'!$E$11+1,1))-AVERAGE(OFFSET($H$3,0,0,'Données projet'!$E$11+1,1))</f>
        <v>157.98488572680344</v>
      </c>
      <c r="BJ101" s="62">
        <f t="shared" si="92"/>
        <v>269.20989374735825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28.452401315791636</v>
      </c>
      <c r="BQ101" s="23">
        <f>EXP(-LN(2)/25)*BQ100+(1-EXP(-LN(2)/25))/(LN(2)/25)*Calculateur!BL101*Calculateur!BN101*VLOOKUP('Données projet'!$B$11,Paramètres!$A$1:$I$89,3,0)*0.475*44/12</f>
        <v>0.50739345892684162</v>
      </c>
      <c r="BR101" s="23">
        <f>EXP(-LN(2)/2)*BR100+(1-EXP(-LN(2)/2))/(LN(2)/2)*BL101*BO101*VLOOKUP('Données projet'!$B$11,Paramètres!$A$1:$I$89,3,0)*0.475*44/12</f>
        <v>6.4116823410675835E-8</v>
      </c>
      <c r="BS101" s="24">
        <f t="shared" si="63"/>
        <v>28.9597948388353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147.72913422715322</v>
      </c>
      <c r="T102" s="62">
        <f t="shared" si="88"/>
        <v>361.07991692964799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>
        <f>AI102*VLOOKUP('Données projet'!$B$10,Paramètres!$A$1:$I$89,3,0)*VLOOKUP('Données projet'!$B$10,Paramètres!$A$1:$I$89,5,0)</f>
        <v>0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151.58413719376074</v>
      </c>
      <c r="AO102" s="62">
        <f t="shared" si="90"/>
        <v>310.105543138185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25.194640136643102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1.0947682754462498E-8</v>
      </c>
      <c r="AX102" s="23">
        <f t="shared" si="60"/>
        <v>25.194640147590786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5.6843418860808015E-14</v>
      </c>
      <c r="BE102" s="14">
        <f>BD102*VLOOKUP('Données projet'!$B$11,Paramètres!$A$1:$I$89,3,0)*VLOOKUP('Données projet'!$B$11,Paramètres!$A$1:$I$89,5,0)</f>
        <v>3.3992364478763198E-14</v>
      </c>
      <c r="BF102" s="14">
        <f t="shared" si="91"/>
        <v>5.790027782444094E-13</v>
      </c>
      <c r="BG102" s="22">
        <f t="shared" si="61"/>
        <v>1.0676332069095257E-12</v>
      </c>
      <c r="BH102" s="62">
        <f t="shared" si="62"/>
        <v>293.33333333333439</v>
      </c>
      <c r="BI102" s="62">
        <f ca="1">AVERAGE(OFFSET($BH$3,0,0,'Données projet'!$E$11+1,1))-AVERAGE(OFFSET($H$3,0,0,'Données projet'!$E$11+1,1))</f>
        <v>157.98488572680344</v>
      </c>
      <c r="BJ102" s="62">
        <f t="shared" si="92"/>
        <v>269.20989374735825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27.894467080240176</v>
      </c>
      <c r="BQ102" s="23">
        <f>EXP(-LN(2)/25)*BQ101+(1-EXP(-LN(2)/25))/(LN(2)/25)*Calculateur!BL102*Calculateur!BN102*VLOOKUP('Données projet'!$B$11,Paramètres!$A$1:$I$89,3,0)*0.475*44/12</f>
        <v>0.49351875810982482</v>
      </c>
      <c r="BR102" s="23">
        <f>EXP(-LN(2)/2)*BR101+(1-EXP(-LN(2)/2))/(LN(2)/2)*BL102*BO102*VLOOKUP('Données projet'!$B$11,Paramètres!$A$1:$I$89,3,0)*0.475*44/12</f>
        <v>4.5337440621829266E-8</v>
      </c>
      <c r="BS102" s="24">
        <f t="shared" si="63"/>
        <v>28.387985883687442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147.72913422715322</v>
      </c>
      <c r="T103" s="62">
        <f t="shared" si="88"/>
        <v>361.07991692964799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>
        <f>AI103*VLOOKUP('Données projet'!$B$10,Paramètres!$A$1:$I$89,3,0)*VLOOKUP('Données projet'!$B$10,Paramètres!$A$1:$I$89,5,0)</f>
        <v>0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151.58413719376074</v>
      </c>
      <c r="AO103" s="62">
        <f t="shared" si="90"/>
        <v>310.105543138185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24.700588610776627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7.741180713959453E-9</v>
      </c>
      <c r="AX103" s="23">
        <f t="shared" si="60"/>
        <v>24.700588618517809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5.6843418860808015E-14</v>
      </c>
      <c r="BE103" s="14">
        <f>BD103*VLOOKUP('Données projet'!$B$11,Paramètres!$A$1:$I$89,3,0)*VLOOKUP('Données projet'!$B$11,Paramètres!$A$1:$I$89,5,0)</f>
        <v>3.3992364478763198E-14</v>
      </c>
      <c r="BF103" s="14">
        <f t="shared" si="91"/>
        <v>5.790027782444094E-13</v>
      </c>
      <c r="BG103" s="22">
        <f t="shared" si="61"/>
        <v>1.0676332069095257E-12</v>
      </c>
      <c r="BH103" s="62">
        <f t="shared" si="62"/>
        <v>293.33333333333439</v>
      </c>
      <c r="BI103" s="62">
        <f ca="1">AVERAGE(OFFSET($BH$3,0,0,'Données projet'!$E$11+1,1))-AVERAGE(OFFSET($H$3,0,0,'Données projet'!$E$11+1,1))</f>
        <v>157.98488572680344</v>
      </c>
      <c r="BJ103" s="62">
        <f t="shared" si="92"/>
        <v>269.20989374735825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27.347473594741597</v>
      </c>
      <c r="BQ103" s="23">
        <f>EXP(-LN(2)/25)*BQ102+(1-EXP(-LN(2)/25))/(LN(2)/25)*Calculateur!BL103*Calculateur!BN103*VLOOKUP('Données projet'!$B$11,Paramètres!$A$1:$I$89,3,0)*0.475*44/12</f>
        <v>0.48002346171628812</v>
      </c>
      <c r="BR103" s="23">
        <f>EXP(-LN(2)/2)*BR102+(1-EXP(-LN(2)/2))/(LN(2)/2)*BL103*BO103*VLOOKUP('Données projet'!$B$11,Paramètres!$A$1:$I$89,3,0)*0.475*44/12</f>
        <v>3.2058411705337918E-8</v>
      </c>
      <c r="BS103" s="24">
        <f t="shared" si="63"/>
        <v>27.827497088516299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147.72913422715322</v>
      </c>
      <c r="T104" s="62">
        <f t="shared" si="88"/>
        <v>361.07991692964799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>
        <f>AI104*VLOOKUP('Données projet'!$B$10,Paramètres!$A$1:$I$89,3,0)*VLOOKUP('Données projet'!$B$10,Paramètres!$A$1:$I$89,5,0)</f>
        <v>0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151.58413719376074</v>
      </c>
      <c r="AO104" s="62">
        <f t="shared" si="90"/>
        <v>310.105543138185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24.216225133990719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5.4738413772312488E-9</v>
      </c>
      <c r="AX104" s="23">
        <f t="shared" si="60"/>
        <v>24.216225139464559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5.6843418860808015E-14</v>
      </c>
      <c r="BE104" s="14">
        <f>BD104*VLOOKUP('Données projet'!$B$11,Paramètres!$A$1:$I$89,3,0)*VLOOKUP('Données projet'!$B$11,Paramètres!$A$1:$I$89,5,0)</f>
        <v>3.3992364478763198E-14</v>
      </c>
      <c r="BF104" s="14">
        <f t="shared" si="91"/>
        <v>5.790027782444094E-13</v>
      </c>
      <c r="BG104" s="22">
        <f t="shared" si="61"/>
        <v>1.0676332069095257E-12</v>
      </c>
      <c r="BH104" s="62">
        <f t="shared" si="62"/>
        <v>293.33333333333439</v>
      </c>
      <c r="BI104" s="62">
        <f ca="1">AVERAGE(OFFSET($BH$3,0,0,'Données projet'!$E$11+1,1))-AVERAGE(OFFSET($H$3,0,0,'Données projet'!$E$11+1,1))</f>
        <v>157.98488572680344</v>
      </c>
      <c r="BJ104" s="62">
        <f t="shared" si="92"/>
        <v>269.20989374735825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26.811206317860563</v>
      </c>
      <c r="BQ104" s="23">
        <f>EXP(-LN(2)/25)*BQ103+(1-EXP(-LN(2)/25))/(LN(2)/25)*Calculateur!BL104*Calculateur!BN104*VLOOKUP('Données projet'!$B$11,Paramètres!$A$1:$I$89,3,0)*0.475*44/12</f>
        <v>0.46689719491231946</v>
      </c>
      <c r="BR104" s="23">
        <f>EXP(-LN(2)/2)*BR103+(1-EXP(-LN(2)/2))/(LN(2)/2)*BL104*BO104*VLOOKUP('Données projet'!$B$11,Paramètres!$A$1:$I$89,3,0)*0.475*44/12</f>
        <v>2.2668720310914633E-8</v>
      </c>
      <c r="BS104" s="24">
        <f t="shared" si="63"/>
        <v>27.278103535441605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147.72913422715322</v>
      </c>
      <c r="T105" s="62">
        <f t="shared" si="88"/>
        <v>361.07991692964799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>
        <f>AI105*VLOOKUP('Données projet'!$B$10,Paramètres!$A$1:$I$89,3,0)*VLOOKUP('Données projet'!$B$10,Paramètres!$A$1:$I$89,5,0)</f>
        <v>0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151.58413719376074</v>
      </c>
      <c r="AO105" s="62">
        <f t="shared" si="90"/>
        <v>310.105543138185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23.741359729552034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3.8705903569797265E-9</v>
      </c>
      <c r="AX105" s="23">
        <f t="shared" si="60"/>
        <v>23.741359733422623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5.6843418860808015E-14</v>
      </c>
      <c r="BE105" s="14">
        <f>BD105*VLOOKUP('Données projet'!$B$11,Paramètres!$A$1:$I$89,3,0)*VLOOKUP('Données projet'!$B$11,Paramètres!$A$1:$I$89,5,0)</f>
        <v>3.3992364478763198E-14</v>
      </c>
      <c r="BF105" s="14">
        <f t="shared" si="91"/>
        <v>5.790027782444094E-13</v>
      </c>
      <c r="BG105" s="22">
        <f t="shared" si="61"/>
        <v>1.0676332069095257E-12</v>
      </c>
      <c r="BH105" s="62">
        <f t="shared" si="62"/>
        <v>293.33333333333439</v>
      </c>
      <c r="BI105" s="62">
        <f ca="1">AVERAGE(OFFSET($BH$3,0,0,'Données projet'!$E$11+1,1))-AVERAGE(OFFSET($H$3,0,0,'Données projet'!$E$11+1,1))</f>
        <v>157.98488572680344</v>
      </c>
      <c r="BJ105" s="62">
        <f t="shared" si="92"/>
        <v>269.20989374735825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26.285454915188424</v>
      </c>
      <c r="BQ105" s="23">
        <f>EXP(-LN(2)/25)*BQ104+(1-EXP(-LN(2)/25))/(LN(2)/25)*Calculateur!BL105*Calculateur!BN105*VLOOKUP('Données projet'!$B$11,Paramètres!$A$1:$I$89,3,0)*0.475*44/12</f>
        <v>0.4541298665643857</v>
      </c>
      <c r="BR105" s="23">
        <f>EXP(-LN(2)/2)*BR104+(1-EXP(-LN(2)/2))/(LN(2)/2)*BL105*BO105*VLOOKUP('Données projet'!$B$11,Paramètres!$A$1:$I$89,3,0)*0.475*44/12</f>
        <v>1.6029205852668959E-8</v>
      </c>
      <c r="BS105" s="24">
        <f t="shared" si="63"/>
        <v>26.739584797782015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147.72913422715322</v>
      </c>
      <c r="T106" s="62">
        <f t="shared" si="88"/>
        <v>361.07991692964799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>
        <f>AI106*VLOOKUP('Données projet'!$B$10,Paramètres!$A$1:$I$89,3,0)*VLOOKUP('Données projet'!$B$10,Paramètres!$A$1:$I$89,5,0)</f>
        <v>0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151.58413719376074</v>
      </c>
      <c r="AO106" s="62">
        <f t="shared" si="90"/>
        <v>310.105543138185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23.275806146055093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2.7369206886156244E-9</v>
      </c>
      <c r="AX106" s="23">
        <f t="shared" si="60"/>
        <v>23.275806148792014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5.6843418860808015E-14</v>
      </c>
      <c r="BE106" s="14">
        <f>BD106*VLOOKUP('Données projet'!$B$11,Paramètres!$A$1:$I$89,3,0)*VLOOKUP('Données projet'!$B$11,Paramètres!$A$1:$I$89,5,0)</f>
        <v>3.3992364478763198E-14</v>
      </c>
      <c r="BF106" s="14">
        <f t="shared" si="91"/>
        <v>5.790027782444094E-13</v>
      </c>
      <c r="BG106" s="22">
        <f t="shared" si="61"/>
        <v>1.0676332069095257E-12</v>
      </c>
      <c r="BH106" s="62">
        <f t="shared" si="62"/>
        <v>293.33333333333439</v>
      </c>
      <c r="BI106" s="62">
        <f ca="1">AVERAGE(OFFSET($BH$3,0,0,'Données projet'!$E$11+1,1))-AVERAGE(OFFSET($H$3,0,0,'Données projet'!$E$11+1,1))</f>
        <v>157.98488572680344</v>
      </c>
      <c r="BJ106" s="62">
        <f t="shared" si="92"/>
        <v>269.20989374735825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25.770013176845996</v>
      </c>
      <c r="BQ106" s="23">
        <f>EXP(-LN(2)/25)*BQ105+(1-EXP(-LN(2)/25))/(LN(2)/25)*Calculateur!BL106*Calculateur!BN106*VLOOKUP('Données projet'!$B$11,Paramètres!$A$1:$I$89,3,0)*0.475*44/12</f>
        <v>0.44171166148153079</v>
      </c>
      <c r="BR106" s="23">
        <f>EXP(-LN(2)/2)*BR105+(1-EXP(-LN(2)/2))/(LN(2)/2)*BL106*BO106*VLOOKUP('Données projet'!$B$11,Paramètres!$A$1:$I$89,3,0)*0.475*44/12</f>
        <v>1.1334360155457316E-8</v>
      </c>
      <c r="BS106" s="24">
        <f t="shared" si="63"/>
        <v>26.211724849661888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147.72913422715322</v>
      </c>
      <c r="T107" s="62">
        <f t="shared" si="88"/>
        <v>361.07991692964799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>
        <f>AI107*VLOOKUP('Données projet'!$B$10,Paramètres!$A$1:$I$89,3,0)*VLOOKUP('Données projet'!$B$10,Paramètres!$A$1:$I$89,5,0)</f>
        <v>0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151.58413719376074</v>
      </c>
      <c r="AO107" s="62">
        <f t="shared" si="90"/>
        <v>310.105543138185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22.819381784370879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1.9352951784898633E-9</v>
      </c>
      <c r="AX107" s="23">
        <f t="shared" si="60"/>
        <v>22.819381786306174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5.6843418860808015E-14</v>
      </c>
      <c r="BE107" s="14">
        <f>BD107*VLOOKUP('Données projet'!$B$11,Paramètres!$A$1:$I$89,3,0)*VLOOKUP('Données projet'!$B$11,Paramètres!$A$1:$I$89,5,0)</f>
        <v>3.3992364478763198E-14</v>
      </c>
      <c r="BF107" s="14">
        <f t="shared" si="91"/>
        <v>5.790027782444094E-13</v>
      </c>
      <c r="BG107" s="22">
        <f t="shared" si="61"/>
        <v>1.0676332069095257E-12</v>
      </c>
      <c r="BH107" s="62">
        <f t="shared" si="62"/>
        <v>293.33333333333439</v>
      </c>
      <c r="BI107" s="62">
        <f ca="1">AVERAGE(OFFSET($BH$3,0,0,'Données projet'!$E$11+1,1))-AVERAGE(OFFSET($H$3,0,0,'Données projet'!$E$11+1,1))</f>
        <v>157.98488572680344</v>
      </c>
      <c r="BJ107" s="62">
        <f t="shared" si="92"/>
        <v>269.20989374735825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25.264678936604046</v>
      </c>
      <c r="BQ107" s="23">
        <f>EXP(-LN(2)/25)*BQ106+(1-EXP(-LN(2)/25))/(LN(2)/25)*Calculateur!BL107*Calculateur!BN107*VLOOKUP('Données projet'!$B$11,Paramètres!$A$1:$I$89,3,0)*0.475*44/12</f>
        <v>0.42963303286971161</v>
      </c>
      <c r="BR107" s="23">
        <f>EXP(-LN(2)/2)*BR106+(1-EXP(-LN(2)/2))/(LN(2)/2)*BL107*BO107*VLOOKUP('Données projet'!$B$11,Paramètres!$A$1:$I$89,3,0)*0.475*44/12</f>
        <v>8.0146029263344794E-9</v>
      </c>
      <c r="BS107" s="24">
        <f t="shared" si="63"/>
        <v>25.694311977488361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147.72913422715322</v>
      </c>
      <c r="T108" s="62">
        <f t="shared" si="88"/>
        <v>361.07991692964799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>
        <f>AI108*VLOOKUP('Données projet'!$B$10,Paramètres!$A$1:$I$89,3,0)*VLOOKUP('Données projet'!$B$10,Paramètres!$A$1:$I$89,5,0)</f>
        <v>0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151.58413719376074</v>
      </c>
      <c r="AO108" s="62">
        <f t="shared" si="90"/>
        <v>310.105543138185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22.371907626027923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1.3684603443078122E-9</v>
      </c>
      <c r="AX108" s="23">
        <f t="shared" si="60"/>
        <v>22.371907627396382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5.6843418860808015E-14</v>
      </c>
      <c r="BE108" s="14">
        <f>BD108*VLOOKUP('Données projet'!$B$11,Paramètres!$A$1:$I$89,3,0)*VLOOKUP('Données projet'!$B$11,Paramètres!$A$1:$I$89,5,0)</f>
        <v>3.3992364478763198E-14</v>
      </c>
      <c r="BF108" s="14">
        <f t="shared" si="91"/>
        <v>5.790027782444094E-13</v>
      </c>
      <c r="BG108" s="22">
        <f t="shared" si="61"/>
        <v>1.0676332069095257E-12</v>
      </c>
      <c r="BH108" s="62">
        <f t="shared" si="62"/>
        <v>293.33333333333439</v>
      </c>
      <c r="BI108" s="62">
        <f ca="1">AVERAGE(OFFSET($BH$3,0,0,'Données projet'!$E$11+1,1))-AVERAGE(OFFSET($H$3,0,0,'Données projet'!$E$11+1,1))</f>
        <v>157.98488572680344</v>
      </c>
      <c r="BJ108" s="62">
        <f t="shared" si="92"/>
        <v>269.20989374735825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24.769253992589789</v>
      </c>
      <c r="BQ108" s="23">
        <f>EXP(-LN(2)/25)*BQ107+(1-EXP(-LN(2)/25))/(LN(2)/25)*Calculateur!BL108*Calculateur!BN108*VLOOKUP('Données projet'!$B$11,Paramètres!$A$1:$I$89,3,0)*0.475*44/12</f>
        <v>0.41788469499247011</v>
      </c>
      <c r="BR108" s="23">
        <f>EXP(-LN(2)/2)*BR107+(1-EXP(-LN(2)/2))/(LN(2)/2)*BL108*BO108*VLOOKUP('Données projet'!$B$11,Paramètres!$A$1:$I$89,3,0)*0.475*44/12</f>
        <v>5.6671800777286582E-9</v>
      </c>
      <c r="BS108" s="24">
        <f t="shared" si="63"/>
        <v>25.187138693249437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147.72913422715322</v>
      </c>
      <c r="T109" s="62">
        <f t="shared" si="88"/>
        <v>361.07991692964799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>
        <f>AI109*VLOOKUP('Données projet'!$B$10,Paramètres!$A$1:$I$89,3,0)*VLOOKUP('Données projet'!$B$10,Paramètres!$A$1:$I$89,5,0)</f>
        <v>0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151.58413719376074</v>
      </c>
      <c r="AO109" s="62">
        <f t="shared" si="90"/>
        <v>310.105543138185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21.933208162997783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9.6764758924493163E-10</v>
      </c>
      <c r="AX109" s="23">
        <f t="shared" si="60"/>
        <v>21.933208163965432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5.6843418860808015E-14</v>
      </c>
      <c r="BE109" s="14">
        <f>BD109*VLOOKUP('Données projet'!$B$11,Paramètres!$A$1:$I$89,3,0)*VLOOKUP('Données projet'!$B$11,Paramètres!$A$1:$I$89,5,0)</f>
        <v>3.3992364478763198E-14</v>
      </c>
      <c r="BF109" s="14">
        <f t="shared" si="91"/>
        <v>5.790027782444094E-13</v>
      </c>
      <c r="BG109" s="22">
        <f t="shared" si="61"/>
        <v>1.0676332069095257E-12</v>
      </c>
      <c r="BH109" s="62">
        <f t="shared" si="62"/>
        <v>293.33333333333439</v>
      </c>
      <c r="BI109" s="62">
        <f ca="1">AVERAGE(OFFSET($BH$3,0,0,'Données projet'!$E$11+1,1))-AVERAGE(OFFSET($H$3,0,0,'Données projet'!$E$11+1,1))</f>
        <v>157.98488572680344</v>
      </c>
      <c r="BJ109" s="62">
        <f t="shared" si="92"/>
        <v>269.20989374735825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24.283544029548271</v>
      </c>
      <c r="BQ109" s="23">
        <f>EXP(-LN(2)/25)*BQ108+(1-EXP(-LN(2)/25))/(LN(2)/25)*Calculateur!BL109*Calculateur!BN109*VLOOKUP('Données projet'!$B$11,Paramètres!$A$1:$I$89,3,0)*0.475*44/12</f>
        <v>0.40645761603230002</v>
      </c>
      <c r="BR109" s="23">
        <f>EXP(-LN(2)/2)*BR108+(1-EXP(-LN(2)/2))/(LN(2)/2)*BL109*BO109*VLOOKUP('Données projet'!$B$11,Paramètres!$A$1:$I$89,3,0)*0.475*44/12</f>
        <v>4.0073014631672397E-9</v>
      </c>
      <c r="BS109" s="24">
        <f t="shared" si="63"/>
        <v>24.69000164958787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147.72913422715322</v>
      </c>
      <c r="T110" s="62">
        <f t="shared" si="88"/>
        <v>361.07991692964799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>
        <f>AI110*VLOOKUP('Données projet'!$B$10,Paramètres!$A$1:$I$89,3,0)*VLOOKUP('Données projet'!$B$10,Paramètres!$A$1:$I$89,5,0)</f>
        <v>0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151.58413719376074</v>
      </c>
      <c r="AO110" s="62">
        <f t="shared" si="90"/>
        <v>310.105543138185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21.503111328857415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6.842301721539061E-10</v>
      </c>
      <c r="AX110" s="23">
        <f t="shared" si="60"/>
        <v>21.503111329541646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5.6843418860808015E-14</v>
      </c>
      <c r="BE110" s="14">
        <f>BD110*VLOOKUP('Données projet'!$B$11,Paramètres!$A$1:$I$89,3,0)*VLOOKUP('Données projet'!$B$11,Paramètres!$A$1:$I$89,5,0)</f>
        <v>3.3992364478763198E-14</v>
      </c>
      <c r="BF110" s="14">
        <f t="shared" si="91"/>
        <v>5.790027782444094E-13</v>
      </c>
      <c r="BG110" s="22">
        <f t="shared" si="61"/>
        <v>1.0676332069095257E-12</v>
      </c>
      <c r="BH110" s="62">
        <f t="shared" si="62"/>
        <v>293.33333333333439</v>
      </c>
      <c r="BI110" s="62">
        <f ca="1">AVERAGE(OFFSET($BH$3,0,0,'Données projet'!$E$11+1,1))-AVERAGE(OFFSET($H$3,0,0,'Données projet'!$E$11+1,1))</f>
        <v>157.98488572680344</v>
      </c>
      <c r="BJ110" s="62">
        <f t="shared" si="92"/>
        <v>269.20989374735825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23.807358542628172</v>
      </c>
      <c r="BQ110" s="23">
        <f>EXP(-LN(2)/25)*BQ109+(1-EXP(-LN(2)/25))/(LN(2)/25)*Calculateur!BL110*Calculateur!BN110*VLOOKUP('Données projet'!$B$11,Paramètres!$A$1:$I$89,3,0)*0.475*44/12</f>
        <v>0.3953430111472197</v>
      </c>
      <c r="BR110" s="23">
        <f>EXP(-LN(2)/2)*BR109+(1-EXP(-LN(2)/2))/(LN(2)/2)*BL110*BO110*VLOOKUP('Données projet'!$B$11,Paramètres!$A$1:$I$89,3,0)*0.475*44/12</f>
        <v>2.8335900388643291E-9</v>
      </c>
      <c r="BS110" s="24">
        <f t="shared" si="63"/>
        <v>24.202701556608982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147.72913422715322</v>
      </c>
      <c r="T111" s="62">
        <f t="shared" si="88"/>
        <v>361.07991692964799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>
        <f>AI111*VLOOKUP('Données projet'!$B$10,Paramètres!$A$1:$I$89,3,0)*VLOOKUP('Données projet'!$B$10,Paramètres!$A$1:$I$89,5,0)</f>
        <v>0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151.58413719376074</v>
      </c>
      <c r="AO111" s="62">
        <f t="shared" si="90"/>
        <v>310.105543138185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21.081448431301371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4.8382379462246581E-10</v>
      </c>
      <c r="AX111" s="23">
        <f t="shared" si="60"/>
        <v>21.081448431785194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5.6843418860808015E-14</v>
      </c>
      <c r="BE111" s="14">
        <f>BD111*VLOOKUP('Données projet'!$B$11,Paramètres!$A$1:$I$89,3,0)*VLOOKUP('Données projet'!$B$11,Paramètres!$A$1:$I$89,5,0)</f>
        <v>3.3992364478763198E-14</v>
      </c>
      <c r="BF111" s="14">
        <f t="shared" si="91"/>
        <v>5.790027782444094E-13</v>
      </c>
      <c r="BG111" s="22">
        <f t="shared" si="61"/>
        <v>1.0676332069095257E-12</v>
      </c>
      <c r="BH111" s="62">
        <f t="shared" si="62"/>
        <v>293.33333333333439</v>
      </c>
      <c r="BI111" s="62">
        <f ca="1">AVERAGE(OFFSET($BH$3,0,0,'Données projet'!$E$11+1,1))-AVERAGE(OFFSET($H$3,0,0,'Données projet'!$E$11+1,1))</f>
        <v>157.98488572680344</v>
      </c>
      <c r="BJ111" s="62">
        <f t="shared" si="92"/>
        <v>269.20989374735825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23.34051076266211</v>
      </c>
      <c r="BQ111" s="23">
        <f>EXP(-LN(2)/25)*BQ110+(1-EXP(-LN(2)/25))/(LN(2)/25)*Calculateur!BL111*Calculateur!BN111*VLOOKUP('Données projet'!$B$11,Paramètres!$A$1:$I$89,3,0)*0.475*44/12</f>
        <v>0.38453233571721357</v>
      </c>
      <c r="BR111" s="23">
        <f>EXP(-LN(2)/2)*BR110+(1-EXP(-LN(2)/2))/(LN(2)/2)*BL111*BO111*VLOOKUP('Données projet'!$B$11,Paramètres!$A$1:$I$89,3,0)*0.475*44/12</f>
        <v>2.0036507315836199E-9</v>
      </c>
      <c r="BS111" s="24">
        <f t="shared" si="63"/>
        <v>23.725043100382976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147.72913422715322</v>
      </c>
      <c r="T112" s="62">
        <f t="shared" si="88"/>
        <v>361.07991692964799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>
        <f>AI112*VLOOKUP('Données projet'!$B$10,Paramètres!$A$1:$I$89,3,0)*VLOOKUP('Données projet'!$B$10,Paramètres!$A$1:$I$89,5,0)</f>
        <v>0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151.58413719376074</v>
      </c>
      <c r="AO112" s="62">
        <f t="shared" si="90"/>
        <v>310.105543138185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20.668054085977431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3.4211508607695305E-10</v>
      </c>
      <c r="AX112" s="23">
        <f t="shared" si="60"/>
        <v>20.668054086319547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5.6843418860808015E-14</v>
      </c>
      <c r="BE112" s="14">
        <f>BD112*VLOOKUP('Données projet'!$B$11,Paramètres!$A$1:$I$89,3,0)*VLOOKUP('Données projet'!$B$11,Paramètres!$A$1:$I$89,5,0)</f>
        <v>3.3992364478763198E-14</v>
      </c>
      <c r="BF112" s="14">
        <f t="shared" si="91"/>
        <v>5.790027782444094E-13</v>
      </c>
      <c r="BG112" s="22">
        <f t="shared" si="61"/>
        <v>1.0676332069095257E-12</v>
      </c>
      <c r="BH112" s="62">
        <f t="shared" si="62"/>
        <v>293.33333333333439</v>
      </c>
      <c r="BI112" s="62">
        <f ca="1">AVERAGE(OFFSET($BH$3,0,0,'Données projet'!$E$11+1,1))-AVERAGE(OFFSET($H$3,0,0,'Données projet'!$E$11+1,1))</f>
        <v>157.98488572680344</v>
      </c>
      <c r="BJ112" s="62">
        <f t="shared" si="92"/>
        <v>269.20989374735825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22.882817582912153</v>
      </c>
      <c r="BQ112" s="23">
        <f>EXP(-LN(2)/25)*BQ111+(1-EXP(-LN(2)/25))/(LN(2)/25)*Calculateur!BL112*Calculateur!BN112*VLOOKUP('Données projet'!$B$11,Paramètres!$A$1:$I$89,3,0)*0.475*44/12</f>
        <v>0.37401727877534968</v>
      </c>
      <c r="BR112" s="23">
        <f>EXP(-LN(2)/2)*BR111+(1-EXP(-LN(2)/2))/(LN(2)/2)*BL112*BO112*VLOOKUP('Données projet'!$B$11,Paramètres!$A$1:$I$89,3,0)*0.475*44/12</f>
        <v>1.4167950194321646E-9</v>
      </c>
      <c r="BS112" s="24">
        <f t="shared" si="63"/>
        <v>23.256834863104295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147.72913422715322</v>
      </c>
      <c r="T113" s="62">
        <f t="shared" si="88"/>
        <v>361.07991692964799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>
        <f>AI113*VLOOKUP('Données projet'!$B$10,Paramètres!$A$1:$I$89,3,0)*VLOOKUP('Données projet'!$B$10,Paramètres!$A$1:$I$89,5,0)</f>
        <v>0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151.58413719376074</v>
      </c>
      <c r="AO113" s="62">
        <f t="shared" si="90"/>
        <v>310.105543138185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20.26276615161964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2.4191189731123291E-10</v>
      </c>
      <c r="AX113" s="23">
        <f t="shared" si="60"/>
        <v>20.262766151861552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5.6843418860808015E-14</v>
      </c>
      <c r="BE113" s="14">
        <f>BD113*VLOOKUP('Données projet'!$B$11,Paramètres!$A$1:$I$89,3,0)*VLOOKUP('Données projet'!$B$11,Paramètres!$A$1:$I$89,5,0)</f>
        <v>3.3992364478763198E-14</v>
      </c>
      <c r="BF113" s="14">
        <f t="shared" si="91"/>
        <v>5.790027782444094E-13</v>
      </c>
      <c r="BG113" s="22">
        <f t="shared" si="61"/>
        <v>1.0676332069095257E-12</v>
      </c>
      <c r="BH113" s="62">
        <f t="shared" si="62"/>
        <v>293.33333333333439</v>
      </c>
      <c r="BI113" s="62">
        <f ca="1">AVERAGE(OFFSET($BH$3,0,0,'Données projet'!$E$11+1,1))-AVERAGE(OFFSET($H$3,0,0,'Données projet'!$E$11+1,1))</f>
        <v>157.98488572680344</v>
      </c>
      <c r="BJ113" s="62">
        <f t="shared" si="92"/>
        <v>269.20989374735825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22.434099487251817</v>
      </c>
      <c r="BQ113" s="23">
        <f>EXP(-LN(2)/25)*BQ112+(1-EXP(-LN(2)/25))/(LN(2)/25)*Calculateur!BL113*Calculateur!BN113*VLOOKUP('Données projet'!$B$11,Paramètres!$A$1:$I$89,3,0)*0.475*44/12</f>
        <v>0.36378975661852386</v>
      </c>
      <c r="BR113" s="23">
        <f>EXP(-LN(2)/2)*BR112+(1-EXP(-LN(2)/2))/(LN(2)/2)*BL113*BO113*VLOOKUP('Données projet'!$B$11,Paramètres!$A$1:$I$89,3,0)*0.475*44/12</f>
        <v>1.0018253657918099E-9</v>
      </c>
      <c r="BS113" s="24">
        <f t="shared" si="63"/>
        <v>22.797889244872167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147.72913422715322</v>
      </c>
      <c r="T114" s="62">
        <f t="shared" si="88"/>
        <v>361.07991692964799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>
        <f>AI114*VLOOKUP('Données projet'!$B$10,Paramètres!$A$1:$I$89,3,0)*VLOOKUP('Données projet'!$B$10,Paramètres!$A$1:$I$89,5,0)</f>
        <v>0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151.58413719376074</v>
      </c>
      <c r="AO114" s="62">
        <f t="shared" si="90"/>
        <v>310.105543138185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19.865425666453376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1.7105754303847652E-10</v>
      </c>
      <c r="AX114" s="23">
        <f t="shared" si="60"/>
        <v>19.865425666624432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5.6843418860808015E-14</v>
      </c>
      <c r="BE114" s="14">
        <f>BD114*VLOOKUP('Données projet'!$B$11,Paramètres!$A$1:$I$89,3,0)*VLOOKUP('Données projet'!$B$11,Paramètres!$A$1:$I$89,5,0)</f>
        <v>3.3992364478763198E-14</v>
      </c>
      <c r="BF114" s="14">
        <f t="shared" si="91"/>
        <v>5.790027782444094E-13</v>
      </c>
      <c r="BG114" s="22">
        <f t="shared" si="61"/>
        <v>1.0676332069095257E-12</v>
      </c>
      <c r="BH114" s="62">
        <f t="shared" si="62"/>
        <v>293.33333333333439</v>
      </c>
      <c r="BI114" s="62">
        <f ca="1">AVERAGE(OFFSET($BH$3,0,0,'Données projet'!$E$11+1,1))-AVERAGE(OFFSET($H$3,0,0,'Données projet'!$E$11+1,1))</f>
        <v>157.98488572680344</v>
      </c>
      <c r="BJ114" s="62">
        <f t="shared" si="92"/>
        <v>269.20989374735825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21.994180479756366</v>
      </c>
      <c r="BQ114" s="23">
        <f>EXP(-LN(2)/25)*BQ113+(1-EXP(-LN(2)/25))/(LN(2)/25)*Calculateur!BL114*Calculateur!BN114*VLOOKUP('Données projet'!$B$11,Paramètres!$A$1:$I$89,3,0)*0.475*44/12</f>
        <v>0.35384190659291848</v>
      </c>
      <c r="BR114" s="23">
        <f>EXP(-LN(2)/2)*BR113+(1-EXP(-LN(2)/2))/(LN(2)/2)*BL114*BO114*VLOOKUP('Données projet'!$B$11,Paramètres!$A$1:$I$89,3,0)*0.475*44/12</f>
        <v>7.0839750971608228E-10</v>
      </c>
      <c r="BS114" s="24">
        <f t="shared" si="63"/>
        <v>22.348022387057682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147.72913422715322</v>
      </c>
      <c r="T115" s="62">
        <f t="shared" si="88"/>
        <v>361.07991692964799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>
        <f>AI115*VLOOKUP('Données projet'!$B$10,Paramètres!$A$1:$I$89,3,0)*VLOOKUP('Données projet'!$B$10,Paramètres!$A$1:$I$89,5,0)</f>
        <v>0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151.58413719376074</v>
      </c>
      <c r="AO115" s="62">
        <f t="shared" si="90"/>
        <v>310.105543138185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19.475876785847454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1.2095594865561645E-10</v>
      </c>
      <c r="AX115" s="23">
        <f t="shared" si="60"/>
        <v>19.47587678596841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5.6843418860808015E-14</v>
      </c>
      <c r="BE115" s="14">
        <f>BD115*VLOOKUP('Données projet'!$B$11,Paramètres!$A$1:$I$89,3,0)*VLOOKUP('Données projet'!$B$11,Paramètres!$A$1:$I$89,5,0)</f>
        <v>3.3992364478763198E-14</v>
      </c>
      <c r="BF115" s="14">
        <f t="shared" si="91"/>
        <v>5.790027782444094E-13</v>
      </c>
      <c r="BG115" s="22">
        <f t="shared" si="61"/>
        <v>1.0676332069095257E-12</v>
      </c>
      <c r="BH115" s="62">
        <f t="shared" si="62"/>
        <v>293.33333333333439</v>
      </c>
      <c r="BI115" s="62">
        <f ca="1">AVERAGE(OFFSET($BH$3,0,0,'Données projet'!$E$11+1,1))-AVERAGE(OFFSET($H$3,0,0,'Données projet'!$E$11+1,1))</f>
        <v>157.98488572680344</v>
      </c>
      <c r="BJ115" s="62">
        <f t="shared" si="92"/>
        <v>269.20989374735825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21.562888015673803</v>
      </c>
      <c r="BQ115" s="23">
        <f>EXP(-LN(2)/25)*BQ114+(1-EXP(-LN(2)/25))/(LN(2)/25)*Calculateur!BL115*Calculateur!BN115*VLOOKUP('Données projet'!$B$11,Paramètres!$A$1:$I$89,3,0)*0.475*44/12</f>
        <v>0.34416608104939794</v>
      </c>
      <c r="BR115" s="23">
        <f>EXP(-LN(2)/2)*BR114+(1-EXP(-LN(2)/2))/(LN(2)/2)*BL115*BO115*VLOOKUP('Données projet'!$B$11,Paramètres!$A$1:$I$89,3,0)*0.475*44/12</f>
        <v>5.0091268289590496E-10</v>
      </c>
      <c r="BS115" s="24">
        <f t="shared" si="63"/>
        <v>21.907054097224112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147.72913422715322</v>
      </c>
      <c r="T116" s="62">
        <f t="shared" si="88"/>
        <v>361.07991692964799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>
        <f>AI116*VLOOKUP('Données projet'!$B$10,Paramètres!$A$1:$I$89,3,0)*VLOOKUP('Données projet'!$B$10,Paramètres!$A$1:$I$89,5,0)</f>
        <v>0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151.58413719376074</v>
      </c>
      <c r="AO116" s="62">
        <f t="shared" si="90"/>
        <v>310.105543138185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19.09396672118886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8.5528771519238262E-11</v>
      </c>
      <c r="AX116" s="23">
        <f t="shared" si="60"/>
        <v>19.093966721274388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5.6843418860808015E-14</v>
      </c>
      <c r="BE116" s="14">
        <f>BD116*VLOOKUP('Données projet'!$B$11,Paramètres!$A$1:$I$89,3,0)*VLOOKUP('Données projet'!$B$11,Paramètres!$A$1:$I$89,5,0)</f>
        <v>3.3992364478763198E-14</v>
      </c>
      <c r="BF116" s="14">
        <f t="shared" si="91"/>
        <v>5.790027782444094E-13</v>
      </c>
      <c r="BG116" s="22">
        <f t="shared" si="61"/>
        <v>1.0676332069095257E-12</v>
      </c>
      <c r="BH116" s="62">
        <f t="shared" si="62"/>
        <v>293.33333333333439</v>
      </c>
      <c r="BI116" s="62">
        <f ca="1">AVERAGE(OFFSET($BH$3,0,0,'Données projet'!$E$11+1,1))-AVERAGE(OFFSET($H$3,0,0,'Données projet'!$E$11+1,1))</f>
        <v>157.98488572680344</v>
      </c>
      <c r="BJ116" s="62">
        <f t="shared" si="92"/>
        <v>269.20989374735825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21.14005293374947</v>
      </c>
      <c r="BQ116" s="23">
        <f>EXP(-LN(2)/25)*BQ115+(1-EXP(-LN(2)/25))/(LN(2)/25)*Calculateur!BL116*Calculateur!BN116*VLOOKUP('Données projet'!$B$11,Paramètres!$A$1:$I$89,3,0)*0.475*44/12</f>
        <v>0.33475484146419454</v>
      </c>
      <c r="BR116" s="23">
        <f>EXP(-LN(2)/2)*BR115+(1-EXP(-LN(2)/2))/(LN(2)/2)*BL116*BO116*VLOOKUP('Données projet'!$B$11,Paramètres!$A$1:$I$89,3,0)*0.475*44/12</f>
        <v>3.5419875485804114E-10</v>
      </c>
      <c r="BS116" s="24">
        <f t="shared" si="63"/>
        <v>21.474807775567861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147.72913422715322</v>
      </c>
      <c r="T117" s="62">
        <f t="shared" si="88"/>
        <v>361.07991692964799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>
        <f>AI117*VLOOKUP('Données projet'!$B$10,Paramètres!$A$1:$I$89,3,0)*VLOOKUP('Données projet'!$B$10,Paramètres!$A$1:$I$89,5,0)</f>
        <v>0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151.58413719376074</v>
      </c>
      <c r="AO117" s="62">
        <f t="shared" si="90"/>
        <v>310.105543138185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18.719545679956081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6.0477974327808227E-11</v>
      </c>
      <c r="AX117" s="23">
        <f t="shared" si="60"/>
        <v>18.719545680016559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5.6843418860808015E-14</v>
      </c>
      <c r="BE117" s="14">
        <f>BD117*VLOOKUP('Données projet'!$B$11,Paramètres!$A$1:$I$89,3,0)*VLOOKUP('Données projet'!$B$11,Paramètres!$A$1:$I$89,5,0)</f>
        <v>3.3992364478763198E-14</v>
      </c>
      <c r="BF117" s="14">
        <f t="shared" si="91"/>
        <v>5.790027782444094E-13</v>
      </c>
      <c r="BG117" s="22">
        <f t="shared" si="61"/>
        <v>1.0676332069095257E-12</v>
      </c>
      <c r="BH117" s="62">
        <f t="shared" si="62"/>
        <v>293.33333333333439</v>
      </c>
      <c r="BI117" s="62">
        <f ca="1">AVERAGE(OFFSET($BH$3,0,0,'Données projet'!$E$11+1,1))-AVERAGE(OFFSET($H$3,0,0,'Données projet'!$E$11+1,1))</f>
        <v>157.98488572680344</v>
      </c>
      <c r="BJ117" s="62">
        <f t="shared" si="92"/>
        <v>269.20989374735825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20.72550938987774</v>
      </c>
      <c r="BQ117" s="23">
        <f>EXP(-LN(2)/25)*BQ116+(1-EXP(-LN(2)/25))/(LN(2)/25)*Calculateur!BL117*Calculateur!BN117*VLOOKUP('Données projet'!$B$11,Paramètres!$A$1:$I$89,3,0)*0.475*44/12</f>
        <v>0.3256009527203641</v>
      </c>
      <c r="BR117" s="23">
        <f>EXP(-LN(2)/2)*BR116+(1-EXP(-LN(2)/2))/(LN(2)/2)*BL117*BO117*VLOOKUP('Données projet'!$B$11,Paramètres!$A$1:$I$89,3,0)*0.475*44/12</f>
        <v>2.5045634144795248E-10</v>
      </c>
      <c r="BS117" s="24">
        <f t="shared" si="63"/>
        <v>21.05111034284856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147.72913422715322</v>
      </c>
      <c r="T118" s="62">
        <f t="shared" si="88"/>
        <v>361.07991692964799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>
        <f>AI118*VLOOKUP('Données projet'!$B$10,Paramètres!$A$1:$I$89,3,0)*VLOOKUP('Données projet'!$B$10,Paramètres!$A$1:$I$89,5,0)</f>
        <v>0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151.58413719376074</v>
      </c>
      <c r="AO118" s="62">
        <f t="shared" si="90"/>
        <v>310.105543138185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18.352466806967595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4.2764385759619131E-11</v>
      </c>
      <c r="AX118" s="23">
        <f t="shared" si="60"/>
        <v>18.352466807010359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5.6843418860808015E-14</v>
      </c>
      <c r="BE118" s="14">
        <f>BD118*VLOOKUP('Données projet'!$B$11,Paramètres!$A$1:$I$89,3,0)*VLOOKUP('Données projet'!$B$11,Paramètres!$A$1:$I$89,5,0)</f>
        <v>3.3992364478763198E-14</v>
      </c>
      <c r="BF118" s="14">
        <f t="shared" si="91"/>
        <v>5.790027782444094E-13</v>
      </c>
      <c r="BG118" s="22">
        <f t="shared" si="61"/>
        <v>1.0676332069095257E-12</v>
      </c>
      <c r="BH118" s="62">
        <f t="shared" si="62"/>
        <v>293.33333333333439</v>
      </c>
      <c r="BI118" s="62">
        <f ca="1">AVERAGE(OFFSET($BH$3,0,0,'Données projet'!$E$11+1,1))-AVERAGE(OFFSET($H$3,0,0,'Données projet'!$E$11+1,1))</f>
        <v>157.98488572680344</v>
      </c>
      <c r="BJ118" s="62">
        <f t="shared" si="92"/>
        <v>269.20989374735825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20.319094792054738</v>
      </c>
      <c r="BQ118" s="23">
        <f>EXP(-LN(2)/25)*BQ117+(1-EXP(-LN(2)/25))/(LN(2)/25)*Calculateur!BL118*Calculateur!BN118*VLOOKUP('Données projet'!$B$11,Paramètres!$A$1:$I$89,3,0)*0.475*44/12</f>
        <v>0.31669737754561583</v>
      </c>
      <c r="BR118" s="23">
        <f>EXP(-LN(2)/2)*BR117+(1-EXP(-LN(2)/2))/(LN(2)/2)*BL118*BO118*VLOOKUP('Données projet'!$B$11,Paramètres!$A$1:$I$89,3,0)*0.475*44/12</f>
        <v>1.7709937742902057E-10</v>
      </c>
      <c r="BS118" s="24">
        <f t="shared" si="63"/>
        <v>20.635792169777453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147.72913422715322</v>
      </c>
      <c r="T119" s="62">
        <f t="shared" si="88"/>
        <v>361.07991692964799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>
        <f>AI119*VLOOKUP('Données projet'!$B$10,Paramètres!$A$1:$I$89,3,0)*VLOOKUP('Données projet'!$B$10,Paramètres!$A$1:$I$89,5,0)</f>
        <v>0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151.58413719376074</v>
      </c>
      <c r="AO119" s="62">
        <f t="shared" si="90"/>
        <v>310.105543138185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17.992586126782406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3.0238987163904113E-11</v>
      </c>
      <c r="AX119" s="23">
        <f t="shared" si="60"/>
        <v>17.992586126812647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5.6843418860808015E-14</v>
      </c>
      <c r="BE119" s="14">
        <f>BD119*VLOOKUP('Données projet'!$B$11,Paramètres!$A$1:$I$89,3,0)*VLOOKUP('Données projet'!$B$11,Paramètres!$A$1:$I$89,5,0)</f>
        <v>3.3992364478763198E-14</v>
      </c>
      <c r="BF119" s="14">
        <f t="shared" si="91"/>
        <v>5.790027782444094E-13</v>
      </c>
      <c r="BG119" s="22">
        <f t="shared" si="61"/>
        <v>1.0676332069095257E-12</v>
      </c>
      <c r="BH119" s="62">
        <f t="shared" si="62"/>
        <v>293.33333333333439</v>
      </c>
      <c r="BI119" s="62">
        <f ca="1">AVERAGE(OFFSET($BH$3,0,0,'Données projet'!$E$11+1,1))-AVERAGE(OFFSET($H$3,0,0,'Données projet'!$E$11+1,1))</f>
        <v>157.98488572680344</v>
      </c>
      <c r="BJ119" s="62">
        <f t="shared" si="92"/>
        <v>269.20989374735825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19.92064973660662</v>
      </c>
      <c r="BQ119" s="23">
        <f>EXP(-LN(2)/25)*BQ118+(1-EXP(-LN(2)/25))/(LN(2)/25)*Calculateur!BL119*Calculateur!BN119*VLOOKUP('Données projet'!$B$11,Paramètres!$A$1:$I$89,3,0)*0.475*44/12</f>
        <v>0.30803727110223972</v>
      </c>
      <c r="BR119" s="23">
        <f>EXP(-LN(2)/2)*BR118+(1-EXP(-LN(2)/2))/(LN(2)/2)*BL119*BO119*VLOOKUP('Données projet'!$B$11,Paramètres!$A$1:$I$89,3,0)*0.475*44/12</f>
        <v>1.2522817072397624E-10</v>
      </c>
      <c r="BS119" s="24">
        <f t="shared" si="63"/>
        <v>20.22868700783409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147.72913422715322</v>
      </c>
      <c r="T120" s="62">
        <f t="shared" si="88"/>
        <v>361.07991692964799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>
        <f>AI120*VLOOKUP('Données projet'!$B$10,Paramètres!$A$1:$I$89,3,0)*VLOOKUP('Données projet'!$B$10,Paramètres!$A$1:$I$89,5,0)</f>
        <v>0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151.58413719376074</v>
      </c>
      <c r="AO120" s="62">
        <f t="shared" si="90"/>
        <v>310.105543138185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17.639762487230108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2.1382192879809566E-11</v>
      </c>
      <c r="AX120" s="23">
        <f t="shared" si="60"/>
        <v>17.639762487251492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5.6843418860808015E-14</v>
      </c>
      <c r="BE120" s="14">
        <f>BD120*VLOOKUP('Données projet'!$B$11,Paramètres!$A$1:$I$89,3,0)*VLOOKUP('Données projet'!$B$11,Paramètres!$A$1:$I$89,5,0)</f>
        <v>3.3992364478763198E-14</v>
      </c>
      <c r="BF120" s="14">
        <f t="shared" si="91"/>
        <v>5.790027782444094E-13</v>
      </c>
      <c r="BG120" s="22">
        <f t="shared" si="61"/>
        <v>1.0676332069095257E-12</v>
      </c>
      <c r="BH120" s="62">
        <f t="shared" si="62"/>
        <v>293.33333333333439</v>
      </c>
      <c r="BI120" s="62">
        <f ca="1">AVERAGE(OFFSET($BH$3,0,0,'Données projet'!$E$11+1,1))-AVERAGE(OFFSET($H$3,0,0,'Données projet'!$E$11+1,1))</f>
        <v>157.98488572680344</v>
      </c>
      <c r="BJ120" s="62">
        <f t="shared" si="92"/>
        <v>269.20989374735825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19.530017945668352</v>
      </c>
      <c r="BQ120" s="23">
        <f>EXP(-LN(2)/25)*BQ119+(1-EXP(-LN(2)/25))/(LN(2)/25)*Calculateur!BL120*Calculateur!BN120*VLOOKUP('Données projet'!$B$11,Paramètres!$A$1:$I$89,3,0)*0.475*44/12</f>
        <v>0.29961397572497289</v>
      </c>
      <c r="BR120" s="23">
        <f>EXP(-LN(2)/2)*BR119+(1-EXP(-LN(2)/2))/(LN(2)/2)*BL120*BO120*VLOOKUP('Données projet'!$B$11,Paramètres!$A$1:$I$89,3,0)*0.475*44/12</f>
        <v>8.8549688714510285E-11</v>
      </c>
      <c r="BS120" s="24">
        <f t="shared" si="63"/>
        <v>19.829631921481877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147.72913422715322</v>
      </c>
      <c r="T121" s="62">
        <f t="shared" si="88"/>
        <v>361.07991692964799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>
        <f>AI121*VLOOKUP('Données projet'!$B$10,Paramètres!$A$1:$I$89,3,0)*VLOOKUP('Données projet'!$B$10,Paramètres!$A$1:$I$89,5,0)</f>
        <v>0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151.58413719376074</v>
      </c>
      <c r="AO121" s="62">
        <f t="shared" si="90"/>
        <v>310.105543138185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17.293857504048262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1.5119493581952057E-11</v>
      </c>
      <c r="AX121" s="23">
        <f t="shared" si="60"/>
        <v>17.293857504063382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5.6843418860808015E-14</v>
      </c>
      <c r="BE121" s="14">
        <f>BD121*VLOOKUP('Données projet'!$B$11,Paramètres!$A$1:$I$89,3,0)*VLOOKUP('Données projet'!$B$11,Paramètres!$A$1:$I$89,5,0)</f>
        <v>3.3992364478763198E-14</v>
      </c>
      <c r="BF121" s="14">
        <f t="shared" si="91"/>
        <v>5.790027782444094E-13</v>
      </c>
      <c r="BG121" s="22">
        <f t="shared" si="61"/>
        <v>1.0676332069095257E-12</v>
      </c>
      <c r="BH121" s="62">
        <f t="shared" si="62"/>
        <v>293.33333333333439</v>
      </c>
      <c r="BI121" s="62">
        <f ca="1">AVERAGE(OFFSET($BH$3,0,0,'Données projet'!$E$11+1,1))-AVERAGE(OFFSET($H$3,0,0,'Données projet'!$E$11+1,1))</f>
        <v>157.98488572680344</v>
      </c>
      <c r="BJ121" s="62">
        <f t="shared" si="92"/>
        <v>269.20989374735825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19.147046205888515</v>
      </c>
      <c r="BQ121" s="23">
        <f>EXP(-LN(2)/25)*BQ120+(1-EXP(-LN(2)/25))/(LN(2)/25)*Calculateur!BL121*Calculateur!BN121*VLOOKUP('Données projet'!$B$11,Paramètres!$A$1:$I$89,3,0)*0.475*44/12</f>
        <v>0.29142101580275931</v>
      </c>
      <c r="BR121" s="23">
        <f>EXP(-LN(2)/2)*BR120+(1-EXP(-LN(2)/2))/(LN(2)/2)*BL121*BO121*VLOOKUP('Données projet'!$B$11,Paramètres!$A$1:$I$89,3,0)*0.475*44/12</f>
        <v>6.2614085361988121E-11</v>
      </c>
      <c r="BS121" s="24">
        <f t="shared" si="63"/>
        <v>19.438467221753886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147.72913422715322</v>
      </c>
      <c r="T122" s="62">
        <f t="shared" si="88"/>
        <v>361.07991692964799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>
        <f>AI122*VLOOKUP('Données projet'!$B$10,Paramètres!$A$1:$I$89,3,0)*VLOOKUP('Données projet'!$B$10,Paramètres!$A$1:$I$89,5,0)</f>
        <v>0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151.58413719376074</v>
      </c>
      <c r="AO122" s="62">
        <f t="shared" si="90"/>
        <v>310.105543138185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16.954735506605402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1.0691096439904783E-11</v>
      </c>
      <c r="AX122" s="23">
        <f t="shared" si="60"/>
        <v>16.954735506616093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5.6843418860808015E-14</v>
      </c>
      <c r="BE122" s="14">
        <f>BD122*VLOOKUP('Données projet'!$B$11,Paramètres!$A$1:$I$89,3,0)*VLOOKUP('Données projet'!$B$11,Paramètres!$A$1:$I$89,5,0)</f>
        <v>3.3992364478763198E-14</v>
      </c>
      <c r="BF122" s="14">
        <f t="shared" si="91"/>
        <v>5.790027782444094E-13</v>
      </c>
      <c r="BG122" s="22">
        <f t="shared" si="61"/>
        <v>1.0676332069095257E-12</v>
      </c>
      <c r="BH122" s="62">
        <f t="shared" si="62"/>
        <v>293.33333333333439</v>
      </c>
      <c r="BI122" s="62">
        <f ca="1">AVERAGE(OFFSET($BH$3,0,0,'Données projet'!$E$11+1,1))-AVERAGE(OFFSET($H$3,0,0,'Données projet'!$E$11+1,1))</f>
        <v>157.98488572680344</v>
      </c>
      <c r="BJ122" s="62">
        <f t="shared" si="92"/>
        <v>269.20989374735825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18.771584308336067</v>
      </c>
      <c r="BQ122" s="23">
        <f>EXP(-LN(2)/25)*BQ121+(1-EXP(-LN(2)/25))/(LN(2)/25)*Calculateur!BL122*Calculateur!BN122*VLOOKUP('Données projet'!$B$11,Paramètres!$A$1:$I$89,3,0)*0.475*44/12</f>
        <v>0.28345209280046768</v>
      </c>
      <c r="BR122" s="23">
        <f>EXP(-LN(2)/2)*BR121+(1-EXP(-LN(2)/2))/(LN(2)/2)*BL122*BO122*VLOOKUP('Données projet'!$B$11,Paramètres!$A$1:$I$89,3,0)*0.475*44/12</f>
        <v>4.4274844357255142E-11</v>
      </c>
      <c r="BS122" s="24">
        <f t="shared" si="63"/>
        <v>19.055036401180807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147.72913422715322</v>
      </c>
      <c r="T123" s="62">
        <f t="shared" si="88"/>
        <v>361.07991692964799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>
        <f>AI123*VLOOKUP('Données projet'!$B$10,Paramètres!$A$1:$I$89,3,0)*VLOOKUP('Données projet'!$B$10,Paramètres!$A$1:$I$89,5,0)</f>
        <v>0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151.58413719376074</v>
      </c>
      <c r="AO123" s="62">
        <f t="shared" si="90"/>
        <v>310.105543138185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16.622263484688403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7.5597467909760283E-12</v>
      </c>
      <c r="AX123" s="23">
        <f t="shared" si="60"/>
        <v>16.622263484695964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5.6843418860808015E-14</v>
      </c>
      <c r="BE123" s="14">
        <f>BD123*VLOOKUP('Données projet'!$B$11,Paramètres!$A$1:$I$89,3,0)*VLOOKUP('Données projet'!$B$11,Paramètres!$A$1:$I$89,5,0)</f>
        <v>3.3992364478763198E-14</v>
      </c>
      <c r="BF123" s="14">
        <f t="shared" si="91"/>
        <v>5.790027782444094E-13</v>
      </c>
      <c r="BG123" s="22">
        <f t="shared" si="61"/>
        <v>1.0676332069095257E-12</v>
      </c>
      <c r="BH123" s="62">
        <f t="shared" si="62"/>
        <v>293.33333333333439</v>
      </c>
      <c r="BI123" s="62">
        <f ca="1">AVERAGE(OFFSET($BH$3,0,0,'Données projet'!$E$11+1,1))-AVERAGE(OFFSET($H$3,0,0,'Données projet'!$E$11+1,1))</f>
        <v>157.98488572680344</v>
      </c>
      <c r="BJ123" s="62">
        <f t="shared" si="92"/>
        <v>269.20989374735825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18.403484989585476</v>
      </c>
      <c r="BQ123" s="23">
        <f>EXP(-LN(2)/25)*BQ122+(1-EXP(-LN(2)/25))/(LN(2)/25)*Calculateur!BL123*Calculateur!BN123*VLOOKUP('Données projet'!$B$11,Paramètres!$A$1:$I$89,3,0)*0.475*44/12</f>
        <v>0.27570108041674118</v>
      </c>
      <c r="BR123" s="23">
        <f>EXP(-LN(2)/2)*BR122+(1-EXP(-LN(2)/2))/(LN(2)/2)*BL123*BO123*VLOOKUP('Données projet'!$B$11,Paramètres!$A$1:$I$89,3,0)*0.475*44/12</f>
        <v>3.130704268099406E-11</v>
      </c>
      <c r="BS123" s="24">
        <f t="shared" si="63"/>
        <v>18.679186070033523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147.72913422715322</v>
      </c>
      <c r="T124" s="62">
        <f t="shared" si="88"/>
        <v>361.07991692964799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>
        <f>AI124*VLOOKUP('Données projet'!$B$10,Paramètres!$A$1:$I$89,3,0)*VLOOKUP('Données projet'!$B$10,Paramètres!$A$1:$I$89,5,0)</f>
        <v>0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151.58413719376074</v>
      </c>
      <c r="AO124" s="62">
        <f t="shared" si="90"/>
        <v>310.105543138185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16.296311036333289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5.3455482199523914E-12</v>
      </c>
      <c r="AX124" s="23">
        <f t="shared" si="60"/>
        <v>16.296311036338636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5.6843418860808015E-14</v>
      </c>
      <c r="BE124" s="14">
        <f>BD124*VLOOKUP('Données projet'!$B$11,Paramètres!$A$1:$I$89,3,0)*VLOOKUP('Données projet'!$B$11,Paramètres!$A$1:$I$89,5,0)</f>
        <v>3.3992364478763198E-14</v>
      </c>
      <c r="BF124" s="14">
        <f t="shared" si="91"/>
        <v>5.790027782444094E-13</v>
      </c>
      <c r="BG124" s="22">
        <f t="shared" si="61"/>
        <v>1.0676332069095257E-12</v>
      </c>
      <c r="BH124" s="62">
        <f t="shared" si="62"/>
        <v>293.33333333333439</v>
      </c>
      <c r="BI124" s="62">
        <f ca="1">AVERAGE(OFFSET($BH$3,0,0,'Données projet'!$E$11+1,1))-AVERAGE(OFFSET($H$3,0,0,'Données projet'!$E$11+1,1))</f>
        <v>157.98488572680344</v>
      </c>
      <c r="BJ124" s="62">
        <f t="shared" si="92"/>
        <v>269.20989374735825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18.042603873957169</v>
      </c>
      <c r="BQ124" s="23">
        <f>EXP(-LN(2)/25)*BQ123+(1-EXP(-LN(2)/25))/(LN(2)/25)*Calculateur!BL124*Calculateur!BN124*VLOOKUP('Données projet'!$B$11,Paramètres!$A$1:$I$89,3,0)*0.475*44/12</f>
        <v>0.2681620198742557</v>
      </c>
      <c r="BR124" s="23">
        <f>EXP(-LN(2)/2)*BR123+(1-EXP(-LN(2)/2))/(LN(2)/2)*BL124*BO124*VLOOKUP('Données projet'!$B$11,Paramètres!$A$1:$I$89,3,0)*0.475*44/12</f>
        <v>2.2137422178627571E-11</v>
      </c>
      <c r="BS124" s="24">
        <f t="shared" si="63"/>
        <v>18.310765893853564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147.72913422715322</v>
      </c>
      <c r="T125" s="62">
        <f t="shared" si="88"/>
        <v>361.07991692964799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>
        <f>AI125*VLOOKUP('Données projet'!$B$10,Paramètres!$A$1:$I$89,3,0)*VLOOKUP('Données projet'!$B$10,Paramètres!$A$1:$I$89,5,0)</f>
        <v>0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151.58413719376074</v>
      </c>
      <c r="AO125" s="62">
        <f t="shared" si="90"/>
        <v>310.105543138185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15.976750316679055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3.7798733954880142E-12</v>
      </c>
      <c r="AX125" s="23">
        <f t="shared" si="60"/>
        <v>15.976750316682836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5.6843418860808015E-14</v>
      </c>
      <c r="BE125" s="14">
        <f>BD125*VLOOKUP('Données projet'!$B$11,Paramètres!$A$1:$I$89,3,0)*VLOOKUP('Données projet'!$B$11,Paramètres!$A$1:$I$89,5,0)</f>
        <v>3.3992364478763198E-14</v>
      </c>
      <c r="BF125" s="14">
        <f t="shared" si="91"/>
        <v>5.790027782444094E-13</v>
      </c>
      <c r="BG125" s="22">
        <f t="shared" si="61"/>
        <v>1.0676332069095257E-12</v>
      </c>
      <c r="BH125" s="62">
        <f t="shared" si="62"/>
        <v>293.33333333333439</v>
      </c>
      <c r="BI125" s="62">
        <f ca="1">AVERAGE(OFFSET($BH$3,0,0,'Données projet'!$E$11+1,1))-AVERAGE(OFFSET($H$3,0,0,'Données projet'!$E$11+1,1))</f>
        <v>157.98488572680344</v>
      </c>
      <c r="BJ125" s="62">
        <f t="shared" si="92"/>
        <v>269.20989374735825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17.688799416890589</v>
      </c>
      <c r="BQ125" s="23">
        <f>EXP(-LN(2)/25)*BQ124+(1-EXP(-LN(2)/25))/(LN(2)/25)*Calculateur!BL125*Calculateur!BN125*VLOOKUP('Données projet'!$B$11,Paramètres!$A$1:$I$89,3,0)*0.475*44/12</f>
        <v>0.26082911533876646</v>
      </c>
      <c r="BR125" s="23">
        <f>EXP(-LN(2)/2)*BR124+(1-EXP(-LN(2)/2))/(LN(2)/2)*BL125*BO125*VLOOKUP('Données projet'!$B$11,Paramètres!$A$1:$I$89,3,0)*0.475*44/12</f>
        <v>1.565352134049703E-11</v>
      </c>
      <c r="BS125" s="24">
        <f t="shared" si="63"/>
        <v>17.949628532245008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147.72913422715322</v>
      </c>
      <c r="T126" s="62">
        <f t="shared" si="88"/>
        <v>361.07991692964799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>
        <f>AI126*VLOOKUP('Données projet'!$B$10,Paramètres!$A$1:$I$89,3,0)*VLOOKUP('Données projet'!$B$10,Paramètres!$A$1:$I$89,5,0)</f>
        <v>0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151.58413719376074</v>
      </c>
      <c r="AO126" s="62">
        <f t="shared" si="90"/>
        <v>310.105543138185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15.663455987824447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2.6727741099761957E-12</v>
      </c>
      <c r="AX126" s="23">
        <f t="shared" si="60"/>
        <v>15.66345598782712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5.6843418860808015E-14</v>
      </c>
      <c r="BE126" s="14">
        <f>BD126*VLOOKUP('Données projet'!$B$11,Paramètres!$A$1:$I$89,3,0)*VLOOKUP('Données projet'!$B$11,Paramètres!$A$1:$I$89,5,0)</f>
        <v>3.3992364478763198E-14</v>
      </c>
      <c r="BF126" s="14">
        <f t="shared" si="91"/>
        <v>5.790027782444094E-13</v>
      </c>
      <c r="BG126" s="22">
        <f t="shared" si="61"/>
        <v>1.0676332069095257E-12</v>
      </c>
      <c r="BH126" s="62">
        <f t="shared" si="62"/>
        <v>293.33333333333439</v>
      </c>
      <c r="BI126" s="62">
        <f ca="1">AVERAGE(OFFSET($BH$3,0,0,'Données projet'!$E$11+1,1))-AVERAGE(OFFSET($H$3,0,0,'Données projet'!$E$11+1,1))</f>
        <v>157.98488572680344</v>
      </c>
      <c r="BJ126" s="62">
        <f t="shared" si="92"/>
        <v>269.20989374735825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17.341932849427675</v>
      </c>
      <c r="BQ126" s="23">
        <f>EXP(-LN(2)/25)*BQ125+(1-EXP(-LN(2)/25))/(LN(2)/25)*Calculateur!BL126*Calculateur!BN126*VLOOKUP('Données projet'!$B$11,Paramètres!$A$1:$I$89,3,0)*0.475*44/12</f>
        <v>0.25369672946342087</v>
      </c>
      <c r="BR126" s="23">
        <f>EXP(-LN(2)/2)*BR125+(1-EXP(-LN(2)/2))/(LN(2)/2)*BL126*BO126*VLOOKUP('Données projet'!$B$11,Paramètres!$A$1:$I$89,3,0)*0.475*44/12</f>
        <v>1.1068711089313786E-11</v>
      </c>
      <c r="BS126" s="24">
        <f t="shared" si="63"/>
        <v>17.595629578902166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147.72913422715322</v>
      </c>
      <c r="T127" s="62">
        <f t="shared" si="88"/>
        <v>361.07991692964799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>
        <f>AI127*VLOOKUP('Données projet'!$B$10,Paramètres!$A$1:$I$89,3,0)*VLOOKUP('Données projet'!$B$10,Paramètres!$A$1:$I$89,5,0)</f>
        <v>0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151.58413719376074</v>
      </c>
      <c r="AO127" s="62">
        <f t="shared" si="90"/>
        <v>310.105543138185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15.356305169668007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1.8899366977440071E-12</v>
      </c>
      <c r="AX127" s="23">
        <f t="shared" si="60"/>
        <v>15.356305169669897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5.6843418860808015E-14</v>
      </c>
      <c r="BE127" s="14">
        <f>BD127*VLOOKUP('Données projet'!$B$11,Paramètres!$A$1:$I$89,3,0)*VLOOKUP('Données projet'!$B$11,Paramètres!$A$1:$I$89,5,0)</f>
        <v>3.3992364478763198E-14</v>
      </c>
      <c r="BF127" s="14">
        <f t="shared" si="91"/>
        <v>5.790027782444094E-13</v>
      </c>
      <c r="BG127" s="22">
        <f t="shared" si="61"/>
        <v>1.0676332069095257E-12</v>
      </c>
      <c r="BH127" s="62">
        <f t="shared" si="62"/>
        <v>293.33333333333439</v>
      </c>
      <c r="BI127" s="62">
        <f ca="1">AVERAGE(OFFSET($BH$3,0,0,'Données projet'!$E$11+1,1))-AVERAGE(OFFSET($H$3,0,0,'Données projet'!$E$11+1,1))</f>
        <v>157.98488572680344</v>
      </c>
      <c r="BJ127" s="62">
        <f t="shared" si="92"/>
        <v>269.20989374735825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17.001868123784991</v>
      </c>
      <c r="BQ127" s="23">
        <f>EXP(-LN(2)/25)*BQ126+(1-EXP(-LN(2)/25))/(LN(2)/25)*Calculateur!BL127*Calculateur!BN127*VLOOKUP('Données projet'!$B$11,Paramètres!$A$1:$I$89,3,0)*0.475*44/12</f>
        <v>0.24675937905491246</v>
      </c>
      <c r="BR127" s="23">
        <f>EXP(-LN(2)/2)*BR126+(1-EXP(-LN(2)/2))/(LN(2)/2)*BL127*BO127*VLOOKUP('Données projet'!$B$11,Paramètres!$A$1:$I$89,3,0)*0.475*44/12</f>
        <v>7.8267606702485151E-12</v>
      </c>
      <c r="BS127" s="24">
        <f t="shared" si="63"/>
        <v>17.248627502847729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147.72913422715322</v>
      </c>
      <c r="T128" s="62">
        <f t="shared" si="88"/>
        <v>361.07991692964799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>
        <f>AI128*VLOOKUP('Données projet'!$B$10,Paramètres!$A$1:$I$89,3,0)*VLOOKUP('Données projet'!$B$10,Paramètres!$A$1:$I$89,5,0)</f>
        <v>0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151.58413719376074</v>
      </c>
      <c r="AO128" s="62">
        <f t="shared" si="90"/>
        <v>310.105543138185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15.055177391712114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1.3363870549880978E-12</v>
      </c>
      <c r="AX128" s="23">
        <f t="shared" si="60"/>
        <v>15.05517739171345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5.6843418860808015E-14</v>
      </c>
      <c r="BE128" s="14">
        <f>BD128*VLOOKUP('Données projet'!$B$11,Paramètres!$A$1:$I$89,3,0)*VLOOKUP('Données projet'!$B$11,Paramètres!$A$1:$I$89,5,0)</f>
        <v>3.3992364478763198E-14</v>
      </c>
      <c r="BF128" s="14">
        <f t="shared" si="91"/>
        <v>5.790027782444094E-13</v>
      </c>
      <c r="BG128" s="22">
        <f t="shared" si="61"/>
        <v>1.0676332069095257E-12</v>
      </c>
      <c r="BH128" s="62">
        <f t="shared" si="62"/>
        <v>293.33333333333439</v>
      </c>
      <c r="BI128" s="62">
        <f ca="1">AVERAGE(OFFSET($BH$3,0,0,'Données projet'!$E$11+1,1))-AVERAGE(OFFSET($H$3,0,0,'Données projet'!$E$11+1,1))</f>
        <v>157.98488572680344</v>
      </c>
      <c r="BJ128" s="62">
        <f t="shared" si="92"/>
        <v>269.20989374735825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16.668471859993158</v>
      </c>
      <c r="BQ128" s="23">
        <f>EXP(-LN(2)/25)*BQ127+(1-EXP(-LN(2)/25))/(LN(2)/25)*Calculateur!BL128*Calculateur!BN128*VLOOKUP('Données projet'!$B$11,Paramètres!$A$1:$I$89,3,0)*0.475*44/12</f>
        <v>0.24001173085814412</v>
      </c>
      <c r="BR128" s="23">
        <f>EXP(-LN(2)/2)*BR127+(1-EXP(-LN(2)/2))/(LN(2)/2)*BL128*BO128*VLOOKUP('Données projet'!$B$11,Paramètres!$A$1:$I$89,3,0)*0.475*44/12</f>
        <v>5.5343555446568928E-12</v>
      </c>
      <c r="BS128" s="24">
        <f t="shared" si="63"/>
        <v>16.908483590856836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147.72913422715322</v>
      </c>
      <c r="T129" s="62">
        <f t="shared" si="88"/>
        <v>361.07991692964799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>
        <f>AI129*VLOOKUP('Données projet'!$B$10,Paramètres!$A$1:$I$89,3,0)*VLOOKUP('Données projet'!$B$10,Paramètres!$A$1:$I$89,5,0)</f>
        <v>0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151.58413719376074</v>
      </c>
      <c r="AO129" s="62">
        <f t="shared" si="90"/>
        <v>310.105543138185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14.759954545812127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9.4496834887200354E-13</v>
      </c>
      <c r="AX129" s="23">
        <f t="shared" si="60"/>
        <v>14.759954545813072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5.6843418860808015E-14</v>
      </c>
      <c r="BE129" s="14">
        <f>BD129*VLOOKUP('Données projet'!$B$11,Paramètres!$A$1:$I$89,3,0)*VLOOKUP('Données projet'!$B$11,Paramètres!$A$1:$I$89,5,0)</f>
        <v>3.3992364478763198E-14</v>
      </c>
      <c r="BF129" s="14">
        <f t="shared" si="91"/>
        <v>5.790027782444094E-13</v>
      </c>
      <c r="BG129" s="22">
        <f t="shared" si="61"/>
        <v>1.0676332069095257E-12</v>
      </c>
      <c r="BH129" s="62">
        <f t="shared" si="62"/>
        <v>293.33333333333439</v>
      </c>
      <c r="BI129" s="62">
        <f ca="1">AVERAGE(OFFSET($BH$3,0,0,'Données projet'!$E$11+1,1))-AVERAGE(OFFSET($H$3,0,0,'Données projet'!$E$11+1,1))</f>
        <v>157.98488572680344</v>
      </c>
      <c r="BJ129" s="62">
        <f t="shared" si="92"/>
        <v>269.20989374735825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16.341613293582643</v>
      </c>
      <c r="BQ129" s="23">
        <f>EXP(-LN(2)/25)*BQ128+(1-EXP(-LN(2)/25))/(LN(2)/25)*Calculateur!BL129*Calculateur!BN129*VLOOKUP('Données projet'!$B$11,Paramètres!$A$1:$I$89,3,0)*0.475*44/12</f>
        <v>0.23344859745615978</v>
      </c>
      <c r="BR129" s="23">
        <f>EXP(-LN(2)/2)*BR128+(1-EXP(-LN(2)/2))/(LN(2)/2)*BL129*BO129*VLOOKUP('Données projet'!$B$11,Paramètres!$A$1:$I$89,3,0)*0.475*44/12</f>
        <v>3.9133803351242575E-12</v>
      </c>
      <c r="BS129" s="24">
        <f t="shared" si="63"/>
        <v>16.575061891042719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147.72913422715322</v>
      </c>
      <c r="T130" s="62">
        <f t="shared" si="88"/>
        <v>361.07991692964799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>
        <f>AI130*VLOOKUP('Données projet'!$B$10,Paramètres!$A$1:$I$89,3,0)*VLOOKUP('Données projet'!$B$10,Paramètres!$A$1:$I$89,5,0)</f>
        <v>0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151.58413719376074</v>
      </c>
      <c r="AO130" s="62">
        <f t="shared" si="90"/>
        <v>310.105543138185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14.470520839852083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6.6819352749404892E-13</v>
      </c>
      <c r="AX130" s="23">
        <f t="shared" si="60"/>
        <v>14.470520839852751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5.6843418860808015E-14</v>
      </c>
      <c r="BE130" s="14">
        <f>BD130*VLOOKUP('Données projet'!$B$11,Paramètres!$A$1:$I$89,3,0)*VLOOKUP('Données projet'!$B$11,Paramètres!$A$1:$I$89,5,0)</f>
        <v>3.3992364478763198E-14</v>
      </c>
      <c r="BF130" s="14">
        <f t="shared" si="91"/>
        <v>5.790027782444094E-13</v>
      </c>
      <c r="BG130" s="22">
        <f t="shared" si="61"/>
        <v>1.0676332069095257E-12</v>
      </c>
      <c r="BH130" s="62">
        <f t="shared" si="62"/>
        <v>293.33333333333439</v>
      </c>
      <c r="BI130" s="62">
        <f ca="1">AVERAGE(OFFSET($BH$3,0,0,'Données projet'!$E$11+1,1))-AVERAGE(OFFSET($H$3,0,0,'Données projet'!$E$11+1,1))</f>
        <v>157.98488572680344</v>
      </c>
      <c r="BJ130" s="62">
        <f t="shared" si="92"/>
        <v>269.20989374735825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16.021164224295397</v>
      </c>
      <c r="BQ130" s="23">
        <f>EXP(-LN(2)/25)*BQ129+(1-EXP(-LN(2)/25))/(LN(2)/25)*Calculateur!BL130*Calculateur!BN130*VLOOKUP('Données projet'!$B$11,Paramètres!$A$1:$I$89,3,0)*0.475*44/12</f>
        <v>0.2270649332821929</v>
      </c>
      <c r="BR130" s="23">
        <f>EXP(-LN(2)/2)*BR129+(1-EXP(-LN(2)/2))/(LN(2)/2)*BL130*BO130*VLOOKUP('Données projet'!$B$11,Paramètres!$A$1:$I$89,3,0)*0.475*44/12</f>
        <v>2.7671777723284464E-12</v>
      </c>
      <c r="BS130" s="24">
        <f t="shared" si="63"/>
        <v>16.248229157580358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147.72913422715322</v>
      </c>
      <c r="T131" s="62">
        <f t="shared" si="88"/>
        <v>361.07991692964799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>
        <f>AI131*VLOOKUP('Données projet'!$B$10,Paramètres!$A$1:$I$89,3,0)*VLOOKUP('Données projet'!$B$10,Paramètres!$A$1:$I$89,5,0)</f>
        <v>0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151.58413719376074</v>
      </c>
      <c r="AO131" s="62">
        <f t="shared" si="90"/>
        <v>310.105543138185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14.186762752328788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4.7248417443600177E-13</v>
      </c>
      <c r="AX131" s="23">
        <f t="shared" si="60"/>
        <v>14.18676275232926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5.6843418860808015E-14</v>
      </c>
      <c r="BE131" s="14">
        <f>BD131*VLOOKUP('Données projet'!$B$11,Paramètres!$A$1:$I$89,3,0)*VLOOKUP('Données projet'!$B$11,Paramètres!$A$1:$I$89,5,0)</f>
        <v>3.3992364478763198E-14</v>
      </c>
      <c r="BF131" s="14">
        <f t="shared" si="91"/>
        <v>5.790027782444094E-13</v>
      </c>
      <c r="BG131" s="22">
        <f t="shared" si="61"/>
        <v>1.0676332069095257E-12</v>
      </c>
      <c r="BH131" s="62">
        <f t="shared" si="62"/>
        <v>293.33333333333439</v>
      </c>
      <c r="BI131" s="62">
        <f ca="1">AVERAGE(OFFSET($BH$3,0,0,'Données projet'!$E$11+1,1))-AVERAGE(OFFSET($H$3,0,0,'Données projet'!$E$11+1,1))</f>
        <v>157.98488572680344</v>
      </c>
      <c r="BJ131" s="62">
        <f t="shared" si="92"/>
        <v>269.20989374735825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15.706998965802242</v>
      </c>
      <c r="BQ131" s="23">
        <f>EXP(-LN(2)/25)*BQ130+(1-EXP(-LN(2)/25))/(LN(2)/25)*Calculateur!BL131*Calculateur!BN131*VLOOKUP('Données projet'!$B$11,Paramètres!$A$1:$I$89,3,0)*0.475*44/12</f>
        <v>0.22085583074076545</v>
      </c>
      <c r="BR131" s="23">
        <f>EXP(-LN(2)/2)*BR130+(1-EXP(-LN(2)/2))/(LN(2)/2)*BL131*BO131*VLOOKUP('Données projet'!$B$11,Paramètres!$A$1:$I$89,3,0)*0.475*44/12</f>
        <v>1.9566901675621288E-12</v>
      </c>
      <c r="BS131" s="24">
        <f t="shared" si="63"/>
        <v>15.927854796544965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147.72913422715322</v>
      </c>
      <c r="T132" s="62">
        <f t="shared" si="88"/>
        <v>361.07991692964799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>
        <f>AI132*VLOOKUP('Données projet'!$B$10,Paramètres!$A$1:$I$89,3,0)*VLOOKUP('Données projet'!$B$10,Paramètres!$A$1:$I$89,5,0)</f>
        <v>0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151.58413719376074</v>
      </c>
      <c r="AO132" s="62">
        <f t="shared" si="90"/>
        <v>310.105543138185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13.908568987826479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3.3409676374702446E-13</v>
      </c>
      <c r="AX132" s="23">
        <f t="shared" ref="AX132:AX153" si="114">SUM(AU132:AW132)</f>
        <v>13.908568987826813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5.6843418860808015E-14</v>
      </c>
      <c r="BE132" s="14">
        <f>BD132*VLOOKUP('Données projet'!$B$11,Paramètres!$A$1:$I$89,3,0)*VLOOKUP('Données projet'!$B$11,Paramètres!$A$1:$I$89,5,0)</f>
        <v>3.3992364478763198E-14</v>
      </c>
      <c r="BF132" s="14">
        <f t="shared" si="91"/>
        <v>5.790027782444094E-13</v>
      </c>
      <c r="BG132" s="22">
        <f t="shared" ref="BG132:BG153" si="115">(BE132+BF132)*0.475*44/12</f>
        <v>1.0676332069095257E-12</v>
      </c>
      <c r="BH132" s="62">
        <f t="shared" ref="BH132:BH195" si="116">BG132+(AY132+AZ132)*44/12</f>
        <v>293.33333333333439</v>
      </c>
      <c r="BI132" s="62">
        <f ca="1">AVERAGE(OFFSET($BH$3,0,0,'Données projet'!$E$11+1,1))-AVERAGE(OFFSET($H$3,0,0,'Données projet'!$E$11+1,1))</f>
        <v>157.98488572680344</v>
      </c>
      <c r="BJ132" s="62">
        <f t="shared" si="92"/>
        <v>269.20989374735825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15.398994296406251</v>
      </c>
      <c r="BQ132" s="23">
        <f>EXP(-LN(2)/25)*BQ131+(1-EXP(-LN(2)/25))/(LN(2)/25)*Calculateur!BL132*Calculateur!BN132*VLOOKUP('Données projet'!$B$11,Paramètres!$A$1:$I$89,3,0)*0.475*44/12</f>
        <v>0.21481651643485586</v>
      </c>
      <c r="BR132" s="23">
        <f>EXP(-LN(2)/2)*BR131+(1-EXP(-LN(2)/2))/(LN(2)/2)*BL132*BO132*VLOOKUP('Données projet'!$B$11,Paramètres!$A$1:$I$89,3,0)*0.475*44/12</f>
        <v>1.3835888861642232E-12</v>
      </c>
      <c r="BS132" s="24">
        <f t="shared" ref="BS132:BS153" si="117">SUM(BP132:BR132)</f>
        <v>15.613810812842491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147.72913422715322</v>
      </c>
      <c r="T133" s="62">
        <f t="shared" ref="T133:T196" si="142">$T$3</f>
        <v>361.07991692964799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>
        <f>AI133*VLOOKUP('Données projet'!$B$10,Paramètres!$A$1:$I$89,3,0)*VLOOKUP('Données projet'!$B$10,Paramètres!$A$1:$I$89,5,0)</f>
        <v>0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151.58413719376074</v>
      </c>
      <c r="AO133" s="62">
        <f t="shared" ref="AO133:AO196" si="144">$AO$3</f>
        <v>310.105543138185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13.635830433364619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2.3624208721800089E-13</v>
      </c>
      <c r="AX133" s="23">
        <f t="shared" si="114"/>
        <v>13.635830433364855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5.6843418860808015E-14</v>
      </c>
      <c r="BE133" s="14">
        <f>BD133*VLOOKUP('Données projet'!$B$11,Paramètres!$A$1:$I$89,3,0)*VLOOKUP('Données projet'!$B$11,Paramètres!$A$1:$I$89,5,0)</f>
        <v>3.3992364478763198E-14</v>
      </c>
      <c r="BF133" s="14">
        <f t="shared" ref="BF133:BF153" si="145">EXP(-1.0587+0.8836*LN(BE133)+0.284)</f>
        <v>5.790027782444094E-13</v>
      </c>
      <c r="BG133" s="22">
        <f t="shared" si="115"/>
        <v>1.0676332069095257E-12</v>
      </c>
      <c r="BH133" s="62">
        <f t="shared" si="116"/>
        <v>293.33333333333439</v>
      </c>
      <c r="BI133" s="62">
        <f ca="1">AVERAGE(OFFSET($BH$3,0,0,'Données projet'!$E$11+1,1))-AVERAGE(OFFSET($H$3,0,0,'Données projet'!$E$11+1,1))</f>
        <v>157.98488572680344</v>
      </c>
      <c r="BJ133" s="62">
        <f t="shared" ref="BJ133:BJ196" si="146">$BJ$3</f>
        <v>269.20989374735825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15.097029410712816</v>
      </c>
      <c r="BQ133" s="23">
        <f>EXP(-LN(2)/25)*BQ132+(1-EXP(-LN(2)/25))/(LN(2)/25)*Calculateur!BL133*Calculateur!BN133*VLOOKUP('Données projet'!$B$11,Paramètres!$A$1:$I$89,3,0)*0.475*44/12</f>
        <v>0.20894234749623511</v>
      </c>
      <c r="BR133" s="23">
        <f>EXP(-LN(2)/2)*BR132+(1-EXP(-LN(2)/2))/(LN(2)/2)*BL133*BO133*VLOOKUP('Données projet'!$B$11,Paramètres!$A$1:$I$89,3,0)*0.475*44/12</f>
        <v>9.7834508378106438E-13</v>
      </c>
      <c r="BS133" s="24">
        <f t="shared" si="117"/>
        <v>15.305971758210029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147.72913422715322</v>
      </c>
      <c r="T134" s="62">
        <f t="shared" si="142"/>
        <v>361.07991692964799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>
        <f>AI134*VLOOKUP('Données projet'!$B$10,Paramètres!$A$1:$I$89,3,0)*VLOOKUP('Données projet'!$B$10,Paramètres!$A$1:$I$89,5,0)</f>
        <v>0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151.58413719376074</v>
      </c>
      <c r="AO134" s="62">
        <f t="shared" si="144"/>
        <v>310.105543138185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13.368440115601665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1.6704838187351223E-13</v>
      </c>
      <c r="AX134" s="23">
        <f t="shared" si="114"/>
        <v>13.368440115601832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5.6843418860808015E-14</v>
      </c>
      <c r="BE134" s="14">
        <f>BD134*VLOOKUP('Données projet'!$B$11,Paramètres!$A$1:$I$89,3,0)*VLOOKUP('Données projet'!$B$11,Paramètres!$A$1:$I$89,5,0)</f>
        <v>3.3992364478763198E-14</v>
      </c>
      <c r="BF134" s="14">
        <f t="shared" si="145"/>
        <v>5.790027782444094E-13</v>
      </c>
      <c r="BG134" s="22">
        <f t="shared" si="115"/>
        <v>1.0676332069095257E-12</v>
      </c>
      <c r="BH134" s="62">
        <f t="shared" si="116"/>
        <v>293.33333333333439</v>
      </c>
      <c r="BI134" s="62">
        <f ca="1">AVERAGE(OFFSET($BH$3,0,0,'Données projet'!$E$11+1,1))-AVERAGE(OFFSET($H$3,0,0,'Données projet'!$E$11+1,1))</f>
        <v>157.98488572680344</v>
      </c>
      <c r="BJ134" s="62">
        <f t="shared" si="146"/>
        <v>269.20989374735825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14.800985872247436</v>
      </c>
      <c r="BQ134" s="23">
        <f>EXP(-LN(2)/25)*BQ133+(1-EXP(-LN(2)/25))/(LN(2)/25)*Calculateur!BL134*Calculateur!BN134*VLOOKUP('Données projet'!$B$11,Paramètres!$A$1:$I$89,3,0)*0.475*44/12</f>
        <v>0.20322880801615004</v>
      </c>
      <c r="BR134" s="23">
        <f>EXP(-LN(2)/2)*BR133+(1-EXP(-LN(2)/2))/(LN(2)/2)*BL134*BO134*VLOOKUP('Données projet'!$B$11,Paramètres!$A$1:$I$89,3,0)*0.475*44/12</f>
        <v>6.917944430821116E-13</v>
      </c>
      <c r="BS134" s="24">
        <f t="shared" si="117"/>
        <v>15.004214680264276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147.72913422715322</v>
      </c>
      <c r="T135" s="62">
        <f t="shared" si="142"/>
        <v>361.07991692964799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>
        <f>AI135*VLOOKUP('Données projet'!$B$10,Paramètres!$A$1:$I$89,3,0)*VLOOKUP('Données projet'!$B$10,Paramètres!$A$1:$I$89,5,0)</f>
        <v>0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151.58413719376074</v>
      </c>
      <c r="AO135" s="62">
        <f t="shared" si="144"/>
        <v>310.105543138185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13.106293158878051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1.1812104360900044E-13</v>
      </c>
      <c r="AX135" s="23">
        <f t="shared" si="114"/>
        <v>13.106293158878168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5.6843418860808015E-14</v>
      </c>
      <c r="BE135" s="14">
        <f>BD135*VLOOKUP('Données projet'!$B$11,Paramètres!$A$1:$I$89,3,0)*VLOOKUP('Données projet'!$B$11,Paramètres!$A$1:$I$89,5,0)</f>
        <v>3.3992364478763198E-14</v>
      </c>
      <c r="BF135" s="14">
        <f t="shared" si="145"/>
        <v>5.790027782444094E-13</v>
      </c>
      <c r="BG135" s="22">
        <f t="shared" si="115"/>
        <v>1.0676332069095257E-12</v>
      </c>
      <c r="BH135" s="62">
        <f t="shared" si="116"/>
        <v>293.33333333333439</v>
      </c>
      <c r="BI135" s="62">
        <f ca="1">AVERAGE(OFFSET($BH$3,0,0,'Données projet'!$E$11+1,1))-AVERAGE(OFFSET($H$3,0,0,'Données projet'!$E$11+1,1))</f>
        <v>157.98488572680344</v>
      </c>
      <c r="BJ135" s="62">
        <f t="shared" si="146"/>
        <v>269.20989374735825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14.510747567002634</v>
      </c>
      <c r="BQ135" s="23">
        <f>EXP(-LN(2)/25)*BQ134+(1-EXP(-LN(2)/25))/(LN(2)/25)*Calculateur!BL135*Calculateur!BN135*VLOOKUP('Données projet'!$B$11,Paramètres!$A$1:$I$89,3,0)*0.475*44/12</f>
        <v>0.19767150557360988</v>
      </c>
      <c r="BR135" s="23">
        <f>EXP(-LN(2)/2)*BR134+(1-EXP(-LN(2)/2))/(LN(2)/2)*BL135*BO135*VLOOKUP('Données projet'!$B$11,Paramètres!$A$1:$I$89,3,0)*0.475*44/12</f>
        <v>4.8917254189053219E-13</v>
      </c>
      <c r="BS135" s="24">
        <f t="shared" si="117"/>
        <v>14.708419072576731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147.72913422715322</v>
      </c>
      <c r="T136" s="62">
        <f t="shared" si="142"/>
        <v>361.07991692964799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>
        <f>AI136*VLOOKUP('Données projet'!$B$10,Paramètres!$A$1:$I$89,3,0)*VLOOKUP('Données projet'!$B$10,Paramètres!$A$1:$I$89,5,0)</f>
        <v>0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151.58413719376074</v>
      </c>
      <c r="AO136" s="62">
        <f t="shared" si="144"/>
        <v>310.105543138185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12.849286744081933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8.3524190936756116E-14</v>
      </c>
      <c r="AX136" s="23">
        <f t="shared" si="114"/>
        <v>12.849286744082017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5.6843418860808015E-14</v>
      </c>
      <c r="BE136" s="14">
        <f>BD136*VLOOKUP('Données projet'!$B$11,Paramètres!$A$1:$I$89,3,0)*VLOOKUP('Données projet'!$B$11,Paramètres!$A$1:$I$89,5,0)</f>
        <v>3.3992364478763198E-14</v>
      </c>
      <c r="BF136" s="14">
        <f t="shared" si="145"/>
        <v>5.790027782444094E-13</v>
      </c>
      <c r="BG136" s="22">
        <f t="shared" si="115"/>
        <v>1.0676332069095257E-12</v>
      </c>
      <c r="BH136" s="62">
        <f t="shared" si="116"/>
        <v>293.33333333333439</v>
      </c>
      <c r="BI136" s="62">
        <f ca="1">AVERAGE(OFFSET($BH$3,0,0,'Données projet'!$E$11+1,1))-AVERAGE(OFFSET($H$3,0,0,'Données projet'!$E$11+1,1))</f>
        <v>157.98488572680344</v>
      </c>
      <c r="BJ136" s="62">
        <f t="shared" si="146"/>
        <v>269.20989374735825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14.226200657895795</v>
      </c>
      <c r="BQ136" s="23">
        <f>EXP(-LN(2)/25)*BQ135+(1-EXP(-LN(2)/25))/(LN(2)/25)*Calculateur!BL136*Calculateur!BN136*VLOOKUP('Données projet'!$B$11,Paramètres!$A$1:$I$89,3,0)*0.475*44/12</f>
        <v>0.19226616785860681</v>
      </c>
      <c r="BR136" s="23">
        <f>EXP(-LN(2)/2)*BR135+(1-EXP(-LN(2)/2))/(LN(2)/2)*BL136*BO136*VLOOKUP('Données projet'!$B$11,Paramètres!$A$1:$I$89,3,0)*0.475*44/12</f>
        <v>3.458972215410558E-13</v>
      </c>
      <c r="BS136" s="24">
        <f t="shared" si="117"/>
        <v>14.418466825754749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147.72913422715322</v>
      </c>
      <c r="T137" s="62">
        <f t="shared" si="142"/>
        <v>361.07991692964799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>
        <f>AI137*VLOOKUP('Données projet'!$B$10,Paramètres!$A$1:$I$89,3,0)*VLOOKUP('Données projet'!$B$10,Paramètres!$A$1:$I$89,5,0)</f>
        <v>0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151.58413719376074</v>
      </c>
      <c r="AO137" s="62">
        <f t="shared" si="144"/>
        <v>310.105543138185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12.597320068321531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5.9060521804500221E-14</v>
      </c>
      <c r="AX137" s="23">
        <f t="shared" si="114"/>
        <v>12.59732006832159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5.6843418860808015E-14</v>
      </c>
      <c r="BE137" s="14">
        <f>BD137*VLOOKUP('Données projet'!$B$11,Paramètres!$A$1:$I$89,3,0)*VLOOKUP('Données projet'!$B$11,Paramètres!$A$1:$I$89,5,0)</f>
        <v>3.3992364478763198E-14</v>
      </c>
      <c r="BF137" s="14">
        <f t="shared" si="145"/>
        <v>5.790027782444094E-13</v>
      </c>
      <c r="BG137" s="22">
        <f t="shared" si="115"/>
        <v>1.0676332069095257E-12</v>
      </c>
      <c r="BH137" s="62">
        <f t="shared" si="116"/>
        <v>293.33333333333439</v>
      </c>
      <c r="BI137" s="62">
        <f ca="1">AVERAGE(OFFSET($BH$3,0,0,'Données projet'!$E$11+1,1))-AVERAGE(OFFSET($H$3,0,0,'Données projet'!$E$11+1,1))</f>
        <v>157.98488572680344</v>
      </c>
      <c r="BJ137" s="62">
        <f t="shared" si="146"/>
        <v>269.20989374735825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13.947233540120065</v>
      </c>
      <c r="BQ137" s="23">
        <f>EXP(-LN(2)/25)*BQ136+(1-EXP(-LN(2)/25))/(LN(2)/25)*Calculateur!BL137*Calculateur!BN137*VLOOKUP('Données projet'!$B$11,Paramètres!$A$1:$I$89,3,0)*0.475*44/12</f>
        <v>0.18700863938767487</v>
      </c>
      <c r="BR137" s="23">
        <f>EXP(-LN(2)/2)*BR136+(1-EXP(-LN(2)/2))/(LN(2)/2)*BL137*BO137*VLOOKUP('Données projet'!$B$11,Paramètres!$A$1:$I$89,3,0)*0.475*44/12</f>
        <v>2.445862709452661E-13</v>
      </c>
      <c r="BS137" s="24">
        <f t="shared" si="117"/>
        <v>14.134242179507986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147.72913422715322</v>
      </c>
      <c r="T138" s="62">
        <f t="shared" si="142"/>
        <v>361.07991692964799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>
        <f>AI138*VLOOKUP('Données projet'!$B$10,Paramètres!$A$1:$I$89,3,0)*VLOOKUP('Données projet'!$B$10,Paramètres!$A$1:$I$89,5,0)</f>
        <v>0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151.58413719376074</v>
      </c>
      <c r="AO138" s="62">
        <f t="shared" si="144"/>
        <v>310.105543138185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12.350294305388294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4.1762095468378058E-14</v>
      </c>
      <c r="AX138" s="23">
        <f t="shared" si="114"/>
        <v>12.350294305388337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5.6843418860808015E-14</v>
      </c>
      <c r="BE138" s="14">
        <f>BD138*VLOOKUP('Données projet'!$B$11,Paramètres!$A$1:$I$89,3,0)*VLOOKUP('Données projet'!$B$11,Paramètres!$A$1:$I$89,5,0)</f>
        <v>3.3992364478763198E-14</v>
      </c>
      <c r="BF138" s="14">
        <f t="shared" si="145"/>
        <v>5.790027782444094E-13</v>
      </c>
      <c r="BG138" s="22">
        <f t="shared" si="115"/>
        <v>1.0676332069095257E-12</v>
      </c>
      <c r="BH138" s="62">
        <f t="shared" si="116"/>
        <v>293.33333333333439</v>
      </c>
      <c r="BI138" s="62">
        <f ca="1">AVERAGE(OFFSET($BH$3,0,0,'Données projet'!$E$11+1,1))-AVERAGE(OFFSET($H$3,0,0,'Données projet'!$E$11+1,1))</f>
        <v>157.98488572680344</v>
      </c>
      <c r="BJ138" s="62">
        <f t="shared" si="146"/>
        <v>269.20989374735825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13.673736797370776</v>
      </c>
      <c r="BQ138" s="23">
        <f>EXP(-LN(2)/25)*BQ137+(1-EXP(-LN(2)/25))/(LN(2)/25)*Calculateur!BL138*Calculateur!BN138*VLOOKUP('Données projet'!$B$11,Paramètres!$A$1:$I$89,3,0)*0.475*44/12</f>
        <v>0.18189487830926196</v>
      </c>
      <c r="BR138" s="23">
        <f>EXP(-LN(2)/2)*BR137+(1-EXP(-LN(2)/2))/(LN(2)/2)*BL138*BO138*VLOOKUP('Données projet'!$B$11,Paramètres!$A$1:$I$89,3,0)*0.475*44/12</f>
        <v>1.729486107705279E-13</v>
      </c>
      <c r="BS138" s="24">
        <f t="shared" si="117"/>
        <v>13.855631675680209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147.72913422715322</v>
      </c>
      <c r="T139" s="62">
        <f t="shared" si="142"/>
        <v>361.07991692964799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>
        <f>AI139*VLOOKUP('Données projet'!$B$10,Paramètres!$A$1:$I$89,3,0)*VLOOKUP('Données projet'!$B$10,Paramètres!$A$1:$I$89,5,0)</f>
        <v>0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151.58413719376074</v>
      </c>
      <c r="AO139" s="62">
        <f t="shared" si="144"/>
        <v>310.105543138185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12.10811256699534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2.9530260902250111E-14</v>
      </c>
      <c r="AX139" s="23">
        <f t="shared" si="114"/>
        <v>12.10811256699537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5.6843418860808015E-14</v>
      </c>
      <c r="BE139" s="14">
        <f>BD139*VLOOKUP('Données projet'!$B$11,Paramètres!$A$1:$I$89,3,0)*VLOOKUP('Données projet'!$B$11,Paramètres!$A$1:$I$89,5,0)</f>
        <v>3.3992364478763198E-14</v>
      </c>
      <c r="BF139" s="14">
        <f t="shared" si="145"/>
        <v>5.790027782444094E-13</v>
      </c>
      <c r="BG139" s="22">
        <f t="shared" si="115"/>
        <v>1.0676332069095257E-12</v>
      </c>
      <c r="BH139" s="62">
        <f t="shared" si="116"/>
        <v>293.33333333333439</v>
      </c>
      <c r="BI139" s="62">
        <f ca="1">AVERAGE(OFFSET($BH$3,0,0,'Données projet'!$E$11+1,1))-AVERAGE(OFFSET($H$3,0,0,'Données projet'!$E$11+1,1))</f>
        <v>157.98488572680344</v>
      </c>
      <c r="BJ139" s="62">
        <f t="shared" si="146"/>
        <v>269.20989374735825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13.405603158930258</v>
      </c>
      <c r="BQ139" s="23">
        <f>EXP(-LN(2)/25)*BQ138+(1-EXP(-LN(2)/25))/(LN(2)/25)*Calculateur!BL139*Calculateur!BN139*VLOOKUP('Données projet'!$B$11,Paramètres!$A$1:$I$89,3,0)*0.475*44/12</f>
        <v>0.17692095329645927</v>
      </c>
      <c r="BR139" s="23">
        <f>EXP(-LN(2)/2)*BR138+(1-EXP(-LN(2)/2))/(LN(2)/2)*BL139*BO139*VLOOKUP('Données projet'!$B$11,Paramètres!$A$1:$I$89,3,0)*0.475*44/12</f>
        <v>1.2229313547263305E-13</v>
      </c>
      <c r="BS139" s="24">
        <f t="shared" si="117"/>
        <v>13.582524112226841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147.72913422715322</v>
      </c>
      <c r="T140" s="62">
        <f t="shared" si="142"/>
        <v>361.07991692964799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>
        <f>AI140*VLOOKUP('Données projet'!$B$10,Paramètres!$A$1:$I$89,3,0)*VLOOKUP('Données projet'!$B$10,Paramètres!$A$1:$I$89,5,0)</f>
        <v>0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151.58413719376074</v>
      </c>
      <c r="AO140" s="62">
        <f t="shared" si="144"/>
        <v>310.105543138185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11.870679864775997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2.0881047734189029E-14</v>
      </c>
      <c r="AX140" s="23">
        <f t="shared" si="114"/>
        <v>11.870679864776019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5.6843418860808015E-14</v>
      </c>
      <c r="BE140" s="14">
        <f>BD140*VLOOKUP('Données projet'!$B$11,Paramètres!$A$1:$I$89,3,0)*VLOOKUP('Données projet'!$B$11,Paramètres!$A$1:$I$89,5,0)</f>
        <v>3.3992364478763198E-14</v>
      </c>
      <c r="BF140" s="14">
        <f t="shared" si="145"/>
        <v>5.790027782444094E-13</v>
      </c>
      <c r="BG140" s="22">
        <f t="shared" si="115"/>
        <v>1.0676332069095257E-12</v>
      </c>
      <c r="BH140" s="62">
        <f t="shared" si="116"/>
        <v>293.33333333333439</v>
      </c>
      <c r="BI140" s="62">
        <f ca="1">AVERAGE(OFFSET($BH$3,0,0,'Données projet'!$E$11+1,1))-AVERAGE(OFFSET($H$3,0,0,'Données projet'!$E$11+1,1))</f>
        <v>157.98488572680344</v>
      </c>
      <c r="BJ140" s="62">
        <f t="shared" si="146"/>
        <v>269.20989374735825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13.142727457594189</v>
      </c>
      <c r="BQ140" s="23">
        <f>EXP(-LN(2)/25)*BQ139+(1-EXP(-LN(2)/25))/(LN(2)/25)*Calculateur!BL140*Calculateur!BN140*VLOOKUP('Données projet'!$B$11,Paramètres!$A$1:$I$89,3,0)*0.475*44/12</f>
        <v>0.172083040524699</v>
      </c>
      <c r="BR140" s="23">
        <f>EXP(-LN(2)/2)*BR139+(1-EXP(-LN(2)/2))/(LN(2)/2)*BL140*BO140*VLOOKUP('Données projet'!$B$11,Paramètres!$A$1:$I$89,3,0)*0.475*44/12</f>
        <v>8.647430538526395E-14</v>
      </c>
      <c r="BS140" s="24">
        <f t="shared" si="117"/>
        <v>13.314810498118975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147.72913422715322</v>
      </c>
      <c r="T141" s="62">
        <f t="shared" si="142"/>
        <v>361.07991692964799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>
        <f>AI141*VLOOKUP('Données projet'!$B$10,Paramètres!$A$1:$I$89,3,0)*VLOOKUP('Données projet'!$B$10,Paramètres!$A$1:$I$89,5,0)</f>
        <v>0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151.58413719376074</v>
      </c>
      <c r="AO141" s="62">
        <f t="shared" si="144"/>
        <v>310.105543138185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11.637903073027527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1.4765130451125055E-14</v>
      </c>
      <c r="AX141" s="23">
        <f t="shared" si="114"/>
        <v>11.637903073027541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5.6843418860808015E-14</v>
      </c>
      <c r="BE141" s="14">
        <f>BD141*VLOOKUP('Données projet'!$B$11,Paramètres!$A$1:$I$89,3,0)*VLOOKUP('Données projet'!$B$11,Paramètres!$A$1:$I$89,5,0)</f>
        <v>3.3992364478763198E-14</v>
      </c>
      <c r="BF141" s="14">
        <f t="shared" si="145"/>
        <v>5.790027782444094E-13</v>
      </c>
      <c r="BG141" s="22">
        <f t="shared" si="115"/>
        <v>1.0676332069095257E-12</v>
      </c>
      <c r="BH141" s="62">
        <f t="shared" si="116"/>
        <v>293.33333333333439</v>
      </c>
      <c r="BI141" s="62">
        <f ca="1">AVERAGE(OFFSET($BH$3,0,0,'Données projet'!$E$11+1,1))-AVERAGE(OFFSET($H$3,0,0,'Données projet'!$E$11+1,1))</f>
        <v>157.98488572680344</v>
      </c>
      <c r="BJ141" s="62">
        <f t="shared" si="146"/>
        <v>269.20989374735825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12.885006588422975</v>
      </c>
      <c r="BQ141" s="23">
        <f>EXP(-LN(2)/25)*BQ140+(1-EXP(-LN(2)/25))/(LN(2)/25)*Calculateur!BL141*Calculateur!BN141*VLOOKUP('Données projet'!$B$11,Paramètres!$A$1:$I$89,3,0)*0.475*44/12</f>
        <v>0.1673774207320973</v>
      </c>
      <c r="BR141" s="23">
        <f>EXP(-LN(2)/2)*BR140+(1-EXP(-LN(2)/2))/(LN(2)/2)*BL141*BO141*VLOOKUP('Données projet'!$B$11,Paramètres!$A$1:$I$89,3,0)*0.475*44/12</f>
        <v>6.1146567736316524E-14</v>
      </c>
      <c r="BS141" s="24">
        <f t="shared" si="117"/>
        <v>13.052384009155134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147.72913422715322</v>
      </c>
      <c r="T142" s="62">
        <f t="shared" si="142"/>
        <v>361.07991692964799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>
        <f>AI142*VLOOKUP('Données projet'!$B$10,Paramètres!$A$1:$I$89,3,0)*VLOOKUP('Données projet'!$B$10,Paramètres!$A$1:$I$89,5,0)</f>
        <v>0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151.58413719376074</v>
      </c>
      <c r="AO142" s="62">
        <f t="shared" si="144"/>
        <v>310.105543138185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11.40969089218542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1.0440523867094514E-14</v>
      </c>
      <c r="AX142" s="23">
        <f t="shared" si="114"/>
        <v>11.409690892185431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5.6843418860808015E-14</v>
      </c>
      <c r="BE142" s="14">
        <f>BD142*VLOOKUP('Données projet'!$B$11,Paramètres!$A$1:$I$89,3,0)*VLOOKUP('Données projet'!$B$11,Paramètres!$A$1:$I$89,5,0)</f>
        <v>3.3992364478763198E-14</v>
      </c>
      <c r="BF142" s="14">
        <f t="shared" si="145"/>
        <v>5.790027782444094E-13</v>
      </c>
      <c r="BG142" s="22">
        <f t="shared" si="115"/>
        <v>1.0676332069095257E-12</v>
      </c>
      <c r="BH142" s="62">
        <f t="shared" si="116"/>
        <v>293.33333333333439</v>
      </c>
      <c r="BI142" s="62">
        <f ca="1">AVERAGE(OFFSET($BH$3,0,0,'Données projet'!$E$11+1,1))-AVERAGE(OFFSET($H$3,0,0,'Données projet'!$E$11+1,1))</f>
        <v>157.98488572680344</v>
      </c>
      <c r="BJ142" s="62">
        <f t="shared" si="146"/>
        <v>269.20989374735825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12.632339468302</v>
      </c>
      <c r="BQ142" s="23">
        <f>EXP(-LN(2)/25)*BQ141+(1-EXP(-LN(2)/25))/(LN(2)/25)*Calculateur!BL142*Calculateur!BN142*VLOOKUP('Données projet'!$B$11,Paramètres!$A$1:$I$89,3,0)*0.475*44/12</f>
        <v>0.16280047636018208</v>
      </c>
      <c r="BR142" s="23">
        <f>EXP(-LN(2)/2)*BR141+(1-EXP(-LN(2)/2))/(LN(2)/2)*BL142*BO142*VLOOKUP('Données projet'!$B$11,Paramètres!$A$1:$I$89,3,0)*0.475*44/12</f>
        <v>4.3237152692631975E-14</v>
      </c>
      <c r="BS142" s="24">
        <f t="shared" si="117"/>
        <v>12.795139944662225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147.72913422715322</v>
      </c>
      <c r="T143" s="62">
        <f t="shared" si="142"/>
        <v>361.07991692964799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>
        <f>AI143*VLOOKUP('Données projet'!$B$10,Paramètres!$A$1:$I$89,3,0)*VLOOKUP('Données projet'!$B$10,Paramètres!$A$1:$I$89,5,0)</f>
        <v>0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151.58413719376074</v>
      </c>
      <c r="AO143" s="62">
        <f t="shared" si="144"/>
        <v>310.105543138185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11.185953813013942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7.3825652255625277E-15</v>
      </c>
      <c r="AX143" s="23">
        <f t="shared" si="114"/>
        <v>11.185953813013949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5.6843418860808015E-14</v>
      </c>
      <c r="BE143" s="14">
        <f>BD143*VLOOKUP('Données projet'!$B$11,Paramètres!$A$1:$I$89,3,0)*VLOOKUP('Données projet'!$B$11,Paramètres!$A$1:$I$89,5,0)</f>
        <v>3.3992364478763198E-14</v>
      </c>
      <c r="BF143" s="14">
        <f t="shared" si="145"/>
        <v>5.790027782444094E-13</v>
      </c>
      <c r="BG143" s="22">
        <f t="shared" si="115"/>
        <v>1.0676332069095257E-12</v>
      </c>
      <c r="BH143" s="62">
        <f t="shared" si="116"/>
        <v>293.33333333333439</v>
      </c>
      <c r="BI143" s="62">
        <f ca="1">AVERAGE(OFFSET($BH$3,0,0,'Données projet'!$E$11+1,1))-AVERAGE(OFFSET($H$3,0,0,'Données projet'!$E$11+1,1))</f>
        <v>157.98488572680344</v>
      </c>
      <c r="BJ143" s="62">
        <f t="shared" si="146"/>
        <v>269.20989374735825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12.384626996294871</v>
      </c>
      <c r="BQ143" s="23">
        <f>EXP(-LN(2)/25)*BQ142+(1-EXP(-LN(2)/25))/(LN(2)/25)*Calculateur!BL143*Calculateur!BN143*VLOOKUP('Données projet'!$B$11,Paramètres!$A$1:$I$89,3,0)*0.475*44/12</f>
        <v>0.15834868877280794</v>
      </c>
      <c r="BR143" s="23">
        <f>EXP(-LN(2)/2)*BR142+(1-EXP(-LN(2)/2))/(LN(2)/2)*BL143*BO143*VLOOKUP('Données projet'!$B$11,Paramètres!$A$1:$I$89,3,0)*0.475*44/12</f>
        <v>3.0573283868158262E-14</v>
      </c>
      <c r="BS143" s="24">
        <f t="shared" si="117"/>
        <v>12.542975685067709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147.72913422715322</v>
      </c>
      <c r="T144" s="62">
        <f t="shared" si="142"/>
        <v>361.07991692964799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>
        <f>AI144*VLOOKUP('Données projet'!$B$10,Paramètres!$A$1:$I$89,3,0)*VLOOKUP('Données projet'!$B$10,Paramètres!$A$1:$I$89,5,0)</f>
        <v>0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151.58413719376074</v>
      </c>
      <c r="AO144" s="62">
        <f t="shared" si="144"/>
        <v>310.105543138185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10.966604081498874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5.2202619335472572E-15</v>
      </c>
      <c r="AX144" s="23">
        <f t="shared" si="114"/>
        <v>10.966604081498879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5.6843418860808015E-14</v>
      </c>
      <c r="BE144" s="14">
        <f>BD144*VLOOKUP('Données projet'!$B$11,Paramètres!$A$1:$I$89,3,0)*VLOOKUP('Données projet'!$B$11,Paramètres!$A$1:$I$89,5,0)</f>
        <v>3.3992364478763198E-14</v>
      </c>
      <c r="BF144" s="14">
        <f t="shared" si="145"/>
        <v>5.790027782444094E-13</v>
      </c>
      <c r="BG144" s="22">
        <f t="shared" si="115"/>
        <v>1.0676332069095257E-12</v>
      </c>
      <c r="BH144" s="62">
        <f t="shared" si="116"/>
        <v>293.33333333333439</v>
      </c>
      <c r="BI144" s="62">
        <f ca="1">AVERAGE(OFFSET($BH$3,0,0,'Données projet'!$E$11+1,1))-AVERAGE(OFFSET($H$3,0,0,'Données projet'!$E$11+1,1))</f>
        <v>157.98488572680344</v>
      </c>
      <c r="BJ144" s="62">
        <f t="shared" si="146"/>
        <v>269.20989374735825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12.141772014774114</v>
      </c>
      <c r="BQ144" s="23">
        <f>EXP(-LN(2)/25)*BQ143+(1-EXP(-LN(2)/25))/(LN(2)/25)*Calculateur!BL144*Calculateur!BN144*VLOOKUP('Données projet'!$B$11,Paramètres!$A$1:$I$89,3,0)*0.475*44/12</f>
        <v>0.15401863555111989</v>
      </c>
      <c r="BR144" s="23">
        <f>EXP(-LN(2)/2)*BR143+(1-EXP(-LN(2)/2))/(LN(2)/2)*BL144*BO144*VLOOKUP('Données projet'!$B$11,Paramètres!$A$1:$I$89,3,0)*0.475*44/12</f>
        <v>2.1618576346315987E-14</v>
      </c>
      <c r="BS144" s="24">
        <f t="shared" si="117"/>
        <v>12.295790650325255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147.72913422715322</v>
      </c>
      <c r="T145" s="62">
        <f t="shared" si="142"/>
        <v>361.07991692964799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>
        <f>AI145*VLOOKUP('Données projet'!$B$10,Paramètres!$A$1:$I$89,3,0)*VLOOKUP('Données projet'!$B$10,Paramètres!$A$1:$I$89,5,0)</f>
        <v>0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151.58413719376074</v>
      </c>
      <c r="AO145" s="62">
        <f t="shared" si="144"/>
        <v>310.105543138185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10.75155566442869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3.6912826127812638E-15</v>
      </c>
      <c r="AX145" s="23">
        <f t="shared" si="114"/>
        <v>10.751555664428693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5.6843418860808015E-14</v>
      </c>
      <c r="BE145" s="14">
        <f>BD145*VLOOKUP('Données projet'!$B$11,Paramètres!$A$1:$I$89,3,0)*VLOOKUP('Données projet'!$B$11,Paramètres!$A$1:$I$89,5,0)</f>
        <v>3.3992364478763198E-14</v>
      </c>
      <c r="BF145" s="14">
        <f t="shared" si="145"/>
        <v>5.790027782444094E-13</v>
      </c>
      <c r="BG145" s="22">
        <f t="shared" si="115"/>
        <v>1.0676332069095257E-12</v>
      </c>
      <c r="BH145" s="62">
        <f t="shared" si="116"/>
        <v>293.33333333333439</v>
      </c>
      <c r="BI145" s="62">
        <f ca="1">AVERAGE(OFFSET($BH$3,0,0,'Données projet'!$E$11+1,1))-AVERAGE(OFFSET($H$3,0,0,'Données projet'!$E$11+1,1))</f>
        <v>157.98488572680344</v>
      </c>
      <c r="BJ145" s="62">
        <f t="shared" si="146"/>
        <v>269.20989374735825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11.903679271314065</v>
      </c>
      <c r="BQ145" s="23">
        <f>EXP(-LN(2)/25)*BQ144+(1-EXP(-LN(2)/25))/(LN(2)/25)*Calculateur!BL145*Calculateur!BN145*VLOOKUP('Données projet'!$B$11,Paramètres!$A$1:$I$89,3,0)*0.475*44/12</f>
        <v>0.14980698786248647</v>
      </c>
      <c r="BR145" s="23">
        <f>EXP(-LN(2)/2)*BR144+(1-EXP(-LN(2)/2))/(LN(2)/2)*BL145*BO145*VLOOKUP('Données projet'!$B$11,Paramètres!$A$1:$I$89,3,0)*0.475*44/12</f>
        <v>1.5286641934079131E-14</v>
      </c>
      <c r="BS145" s="24">
        <f t="shared" si="117"/>
        <v>12.053486259176568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147.72913422715322</v>
      </c>
      <c r="T146" s="62">
        <f t="shared" si="142"/>
        <v>361.07991692964799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>
        <f>AI146*VLOOKUP('Données projet'!$B$10,Paramètres!$A$1:$I$89,3,0)*VLOOKUP('Données projet'!$B$10,Paramètres!$A$1:$I$89,5,0)</f>
        <v>0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151.58413719376074</v>
      </c>
      <c r="AO146" s="62">
        <f t="shared" si="144"/>
        <v>310.105543138185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10.54072421565067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2.6101309667736286E-15</v>
      </c>
      <c r="AX146" s="23">
        <f t="shared" si="114"/>
        <v>10.540724215650672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5.6843418860808015E-14</v>
      </c>
      <c r="BE146" s="14">
        <f>BD146*VLOOKUP('Données projet'!$B$11,Paramètres!$A$1:$I$89,3,0)*VLOOKUP('Données projet'!$B$11,Paramètres!$A$1:$I$89,5,0)</f>
        <v>3.3992364478763198E-14</v>
      </c>
      <c r="BF146" s="14">
        <f t="shared" si="145"/>
        <v>5.790027782444094E-13</v>
      </c>
      <c r="BG146" s="22">
        <f t="shared" si="115"/>
        <v>1.0676332069095257E-12</v>
      </c>
      <c r="BH146" s="62">
        <f t="shared" si="116"/>
        <v>293.33333333333439</v>
      </c>
      <c r="BI146" s="62">
        <f ca="1">AVERAGE(OFFSET($BH$3,0,0,'Données projet'!$E$11+1,1))-AVERAGE(OFFSET($H$3,0,0,'Données projet'!$E$11+1,1))</f>
        <v>157.98488572680344</v>
      </c>
      <c r="BJ146" s="62">
        <f t="shared" si="146"/>
        <v>269.20989374735825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11.670255381331033</v>
      </c>
      <c r="BQ146" s="23">
        <f>EXP(-LN(2)/25)*BQ145+(1-EXP(-LN(2)/25))/(LN(2)/25)*Calculateur!BL146*Calculateur!BN146*VLOOKUP('Données projet'!$B$11,Paramètres!$A$1:$I$89,3,0)*0.475*44/12</f>
        <v>0.14571050790137968</v>
      </c>
      <c r="BR146" s="23">
        <f>EXP(-LN(2)/2)*BR145+(1-EXP(-LN(2)/2))/(LN(2)/2)*BL146*BO146*VLOOKUP('Données projet'!$B$11,Paramètres!$A$1:$I$89,3,0)*0.475*44/12</f>
        <v>1.0809288173157994E-14</v>
      </c>
      <c r="BS146" s="24">
        <f t="shared" si="117"/>
        <v>11.815965889232423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147.72913422715322</v>
      </c>
      <c r="T147" s="62">
        <f t="shared" si="142"/>
        <v>361.07991692964799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>
        <f>AI147*VLOOKUP('Données projet'!$B$10,Paramètres!$A$1:$I$89,3,0)*VLOOKUP('Données projet'!$B$10,Paramètres!$A$1:$I$89,5,0)</f>
        <v>0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151.58413719376074</v>
      </c>
      <c r="AO147" s="62">
        <f t="shared" si="144"/>
        <v>310.105543138185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10.3340270429887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1.8456413063906319E-15</v>
      </c>
      <c r="AX147" s="23">
        <f t="shared" si="114"/>
        <v>10.334027042988701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5.6843418860808015E-14</v>
      </c>
      <c r="BE147" s="14">
        <f>BD147*VLOOKUP('Données projet'!$B$11,Paramètres!$A$1:$I$89,3,0)*VLOOKUP('Données projet'!$B$11,Paramètres!$A$1:$I$89,5,0)</f>
        <v>3.3992364478763198E-14</v>
      </c>
      <c r="BF147" s="14">
        <f t="shared" si="145"/>
        <v>5.790027782444094E-13</v>
      </c>
      <c r="BG147" s="22">
        <f t="shared" si="115"/>
        <v>1.0676332069095257E-12</v>
      </c>
      <c r="BH147" s="62">
        <f t="shared" si="116"/>
        <v>293.33333333333439</v>
      </c>
      <c r="BI147" s="62">
        <f ca="1">AVERAGE(OFFSET($BH$3,0,0,'Données projet'!$E$11+1,1))-AVERAGE(OFFSET($H$3,0,0,'Données projet'!$E$11+1,1))</f>
        <v>157.98488572680344</v>
      </c>
      <c r="BJ147" s="62">
        <f t="shared" si="146"/>
        <v>269.20989374735825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11.441408791456055</v>
      </c>
      <c r="BQ147" s="23">
        <f>EXP(-LN(2)/25)*BQ146+(1-EXP(-LN(2)/25))/(LN(2)/25)*Calculateur!BL147*Calculateur!BN147*VLOOKUP('Données projet'!$B$11,Paramètres!$A$1:$I$89,3,0)*0.475*44/12</f>
        <v>0.14172604640023387</v>
      </c>
      <c r="BR147" s="23">
        <f>EXP(-LN(2)/2)*BR146+(1-EXP(-LN(2)/2))/(LN(2)/2)*BL147*BO147*VLOOKUP('Données projet'!$B$11,Paramètres!$A$1:$I$89,3,0)*0.475*44/12</f>
        <v>7.6433209670395655E-15</v>
      </c>
      <c r="BS147" s="24">
        <f t="shared" si="117"/>
        <v>11.583134837856296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147.72913422715322</v>
      </c>
      <c r="T148" s="62">
        <f t="shared" si="142"/>
        <v>361.07991692964799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>
        <f>AI148*VLOOKUP('Données projet'!$B$10,Paramètres!$A$1:$I$89,3,0)*VLOOKUP('Données projet'!$B$10,Paramètres!$A$1:$I$89,5,0)</f>
        <v>0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151.58413719376074</v>
      </c>
      <c r="AO148" s="62">
        <f t="shared" si="144"/>
        <v>310.105543138185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10.131383075809804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1.3050654833868143E-15</v>
      </c>
      <c r="AX148" s="23">
        <f t="shared" si="114"/>
        <v>10.131383075809806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5.6843418860808015E-14</v>
      </c>
      <c r="BE148" s="14">
        <f>BD148*VLOOKUP('Données projet'!$B$11,Paramètres!$A$1:$I$89,3,0)*VLOOKUP('Données projet'!$B$11,Paramètres!$A$1:$I$89,5,0)</f>
        <v>3.3992364478763198E-14</v>
      </c>
      <c r="BF148" s="14">
        <f t="shared" si="145"/>
        <v>5.790027782444094E-13</v>
      </c>
      <c r="BG148" s="22">
        <f t="shared" si="115"/>
        <v>1.0676332069095257E-12</v>
      </c>
      <c r="BH148" s="62">
        <f t="shared" si="116"/>
        <v>293.33333333333439</v>
      </c>
      <c r="BI148" s="62">
        <f ca="1">AVERAGE(OFFSET($BH$3,0,0,'Données projet'!$E$11+1,1))-AVERAGE(OFFSET($H$3,0,0,'Données projet'!$E$11+1,1))</f>
        <v>157.98488572680344</v>
      </c>
      <c r="BJ148" s="62">
        <f t="shared" si="146"/>
        <v>269.20989374735825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11.217049743625889</v>
      </c>
      <c r="BQ148" s="23">
        <f>EXP(-LN(2)/25)*BQ147+(1-EXP(-LN(2)/25))/(LN(2)/25)*Calculateur!BL148*Calculateur!BN148*VLOOKUP('Données projet'!$B$11,Paramètres!$A$1:$I$89,3,0)*0.475*44/12</f>
        <v>0.13785054020837062</v>
      </c>
      <c r="BR148" s="23">
        <f>EXP(-LN(2)/2)*BR147+(1-EXP(-LN(2)/2))/(LN(2)/2)*BL148*BO148*VLOOKUP('Données projet'!$B$11,Paramètres!$A$1:$I$89,3,0)*0.475*44/12</f>
        <v>5.4046440865789969E-15</v>
      </c>
      <c r="BS148" s="24">
        <f t="shared" si="117"/>
        <v>11.354900283834265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147.72913422715322</v>
      </c>
      <c r="T149" s="62">
        <f t="shared" si="142"/>
        <v>361.07991692964799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>
        <f>AI149*VLOOKUP('Données projet'!$B$10,Paramètres!$A$1:$I$89,3,0)*VLOOKUP('Données projet'!$B$10,Paramètres!$A$1:$I$89,5,0)</f>
        <v>0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151.58413719376074</v>
      </c>
      <c r="AO149" s="62">
        <f t="shared" si="144"/>
        <v>310.105543138185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9.9327128332266721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9.2282065319531596E-16</v>
      </c>
      <c r="AX149" s="23">
        <f t="shared" si="114"/>
        <v>9.9327128332266739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5.6843418860808015E-14</v>
      </c>
      <c r="BE149" s="14">
        <f>BD149*VLOOKUP('Données projet'!$B$11,Paramètres!$A$1:$I$89,3,0)*VLOOKUP('Données projet'!$B$11,Paramètres!$A$1:$I$89,5,0)</f>
        <v>3.3992364478763198E-14</v>
      </c>
      <c r="BF149" s="14">
        <f t="shared" si="145"/>
        <v>5.790027782444094E-13</v>
      </c>
      <c r="BG149" s="22">
        <f t="shared" si="115"/>
        <v>1.0676332069095257E-12</v>
      </c>
      <c r="BH149" s="62">
        <f t="shared" si="116"/>
        <v>293.33333333333439</v>
      </c>
      <c r="BI149" s="62">
        <f ca="1">AVERAGE(OFFSET($BH$3,0,0,'Données projet'!$E$11+1,1))-AVERAGE(OFFSET($H$3,0,0,'Données projet'!$E$11+1,1))</f>
        <v>157.98488572680344</v>
      </c>
      <c r="BJ149" s="62">
        <f t="shared" si="146"/>
        <v>269.20989374735825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10.997090239878165</v>
      </c>
      <c r="BQ149" s="23">
        <f>EXP(-LN(2)/25)*BQ148+(1-EXP(-LN(2)/25))/(LN(2)/25)*Calculateur!BL149*Calculateur!BN149*VLOOKUP('Données projet'!$B$11,Paramètres!$A$1:$I$89,3,0)*0.475*44/12</f>
        <v>0.13408100993712788</v>
      </c>
      <c r="BR149" s="23">
        <f>EXP(-LN(2)/2)*BR148+(1-EXP(-LN(2)/2))/(LN(2)/2)*BL149*BO149*VLOOKUP('Données projet'!$B$11,Paramètres!$A$1:$I$89,3,0)*0.475*44/12</f>
        <v>3.8216604835197828E-15</v>
      </c>
      <c r="BS149" s="24">
        <f t="shared" si="117"/>
        <v>11.131171249815297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147.72913422715322</v>
      </c>
      <c r="T150" s="62">
        <f t="shared" si="142"/>
        <v>361.07991692964799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>
        <f>AI150*VLOOKUP('Données projet'!$B$10,Paramètres!$A$1:$I$89,3,0)*VLOOKUP('Données projet'!$B$10,Paramètres!$A$1:$I$89,5,0)</f>
        <v>0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151.58413719376074</v>
      </c>
      <c r="AO150" s="62">
        <f t="shared" si="144"/>
        <v>310.105543138185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9.7379383929237129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6.5253274169340715E-16</v>
      </c>
      <c r="AX150" s="23">
        <f t="shared" si="114"/>
        <v>9.7379383929237129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5.6843418860808015E-14</v>
      </c>
      <c r="BE150" s="14">
        <f>BD150*VLOOKUP('Données projet'!$B$11,Paramètres!$A$1:$I$89,3,0)*VLOOKUP('Données projet'!$B$11,Paramètres!$A$1:$I$89,5,0)</f>
        <v>3.3992364478763198E-14</v>
      </c>
      <c r="BF150" s="14">
        <f t="shared" si="145"/>
        <v>5.790027782444094E-13</v>
      </c>
      <c r="BG150" s="22">
        <f t="shared" si="115"/>
        <v>1.0676332069095257E-12</v>
      </c>
      <c r="BH150" s="62">
        <f t="shared" si="116"/>
        <v>293.33333333333439</v>
      </c>
      <c r="BI150" s="62">
        <f ca="1">AVERAGE(OFFSET($BH$3,0,0,'Données projet'!$E$11+1,1))-AVERAGE(OFFSET($H$3,0,0,'Données projet'!$E$11+1,1))</f>
        <v>157.98488572680344</v>
      </c>
      <c r="BJ150" s="62">
        <f t="shared" si="146"/>
        <v>269.20989374735825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10.781444007836884</v>
      </c>
      <c r="BQ150" s="23">
        <f>EXP(-LN(2)/25)*BQ149+(1-EXP(-LN(2)/25))/(LN(2)/25)*Calculateur!BL150*Calculateur!BN150*VLOOKUP('Données projet'!$B$11,Paramètres!$A$1:$I$89,3,0)*0.475*44/12</f>
        <v>0.13041455766938326</v>
      </c>
      <c r="BR150" s="23">
        <f>EXP(-LN(2)/2)*BR149+(1-EXP(-LN(2)/2))/(LN(2)/2)*BL150*BO150*VLOOKUP('Données projet'!$B$11,Paramètres!$A$1:$I$89,3,0)*0.475*44/12</f>
        <v>2.7023220432894984E-15</v>
      </c>
      <c r="BS150" s="24">
        <f t="shared" si="117"/>
        <v>10.91185856550627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147.72913422715322</v>
      </c>
      <c r="T151" s="62">
        <f t="shared" si="142"/>
        <v>361.07991692964799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>
        <f>AI151*VLOOKUP('Données projet'!$B$10,Paramètres!$A$1:$I$89,3,0)*VLOOKUP('Données projet'!$B$10,Paramètres!$A$1:$I$89,5,0)</f>
        <v>0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151.58413719376074</v>
      </c>
      <c r="AO151" s="62">
        <f t="shared" si="144"/>
        <v>310.105543138185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9.5469833605944157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4.6141032659765798E-16</v>
      </c>
      <c r="AX151" s="23">
        <f t="shared" si="114"/>
        <v>9.5469833605944157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5.6843418860808015E-14</v>
      </c>
      <c r="BE151" s="14">
        <f>BD151*VLOOKUP('Données projet'!$B$11,Paramètres!$A$1:$I$89,3,0)*VLOOKUP('Données projet'!$B$11,Paramètres!$A$1:$I$89,5,0)</f>
        <v>3.3992364478763198E-14</v>
      </c>
      <c r="BF151" s="14">
        <f t="shared" si="145"/>
        <v>5.790027782444094E-13</v>
      </c>
      <c r="BG151" s="22">
        <f t="shared" si="115"/>
        <v>1.0676332069095257E-12</v>
      </c>
      <c r="BH151" s="62">
        <f t="shared" si="116"/>
        <v>293.33333333333439</v>
      </c>
      <c r="BI151" s="62">
        <f ca="1">AVERAGE(OFFSET($BH$3,0,0,'Données projet'!$E$11+1,1))-AVERAGE(OFFSET($H$3,0,0,'Données projet'!$E$11+1,1))</f>
        <v>157.98488572680344</v>
      </c>
      <c r="BJ151" s="62">
        <f t="shared" si="146"/>
        <v>269.20989374735825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10.570026466874719</v>
      </c>
      <c r="BQ151" s="23">
        <f>EXP(-LN(2)/25)*BQ150+(1-EXP(-LN(2)/25))/(LN(2)/25)*Calculateur!BL151*Calculateur!BN151*VLOOKUP('Données projet'!$B$11,Paramètres!$A$1:$I$89,3,0)*0.475*44/12</f>
        <v>0.12684836473171046</v>
      </c>
      <c r="BR151" s="23">
        <f>EXP(-LN(2)/2)*BR150+(1-EXP(-LN(2)/2))/(LN(2)/2)*BL151*BO151*VLOOKUP('Données projet'!$B$11,Paramètres!$A$1:$I$89,3,0)*0.475*44/12</f>
        <v>1.9108302417598914E-15</v>
      </c>
      <c r="BS151" s="24">
        <f t="shared" si="117"/>
        <v>10.696874831606431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147.72913422715322</v>
      </c>
      <c r="T152" s="62">
        <f t="shared" si="142"/>
        <v>361.07991692964799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>
        <f>AI152*VLOOKUP('Données projet'!$B$10,Paramètres!$A$1:$I$89,3,0)*VLOOKUP('Données projet'!$B$10,Paramètres!$A$1:$I$89,5,0)</f>
        <v>0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151.58413719376074</v>
      </c>
      <c r="AO152" s="62">
        <f t="shared" si="144"/>
        <v>310.105543138185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9.359772839978028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3.2626637084670358E-16</v>
      </c>
      <c r="AX152" s="23">
        <f t="shared" si="114"/>
        <v>9.359772839978028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5.6843418860808015E-14</v>
      </c>
      <c r="BE152" s="14">
        <f>BD152*VLOOKUP('Données projet'!$B$11,Paramètres!$A$1:$I$89,3,0)*VLOOKUP('Données projet'!$B$11,Paramètres!$A$1:$I$89,5,0)</f>
        <v>3.3992364478763198E-14</v>
      </c>
      <c r="BF152" s="14">
        <f t="shared" si="145"/>
        <v>5.790027782444094E-13</v>
      </c>
      <c r="BG152" s="22">
        <f t="shared" si="115"/>
        <v>1.0676332069095257E-12</v>
      </c>
      <c r="BH152" s="62">
        <f t="shared" si="116"/>
        <v>293.33333333333439</v>
      </c>
      <c r="BI152" s="62">
        <f ca="1">AVERAGE(OFFSET($BH$3,0,0,'Données projet'!$E$11+1,1))-AVERAGE(OFFSET($H$3,0,0,'Données projet'!$E$11+1,1))</f>
        <v>157.98488572680344</v>
      </c>
      <c r="BJ152" s="62">
        <f t="shared" si="146"/>
        <v>269.20989374735825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10.362754694938854</v>
      </c>
      <c r="BQ152" s="23">
        <f>EXP(-LN(2)/25)*BQ151+(1-EXP(-LN(2)/25))/(LN(2)/25)*Calculateur!BL152*Calculateur!BN152*VLOOKUP('Données projet'!$B$11,Paramètres!$A$1:$I$89,3,0)*0.475*44/12</f>
        <v>0.12337968952745626</v>
      </c>
      <c r="BR152" s="23">
        <f>EXP(-LN(2)/2)*BR151+(1-EXP(-LN(2)/2))/(LN(2)/2)*BL152*BO152*VLOOKUP('Données projet'!$B$11,Paramètres!$A$1:$I$89,3,0)*0.475*44/12</f>
        <v>1.3511610216447492E-15</v>
      </c>
      <c r="BS152" s="24">
        <f t="shared" si="117"/>
        <v>10.486134384466311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147.72913422715322</v>
      </c>
      <c r="T153" s="62">
        <f t="shared" si="142"/>
        <v>361.07991692964799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>
        <f>AI153*VLOOKUP('Données projet'!$B$10,Paramètres!$A$1:$I$89,3,0)*VLOOKUP('Données projet'!$B$10,Paramètres!$A$1:$I$89,5,0)</f>
        <v>0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151.58413719376074</v>
      </c>
      <c r="AO153" s="62">
        <f t="shared" si="144"/>
        <v>310.105543138185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9.1762334034837849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2.3070516329882899E-16</v>
      </c>
      <c r="AX153" s="23">
        <f t="shared" si="114"/>
        <v>9.1762334034837849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5.6843418860808015E-14</v>
      </c>
      <c r="BE153" s="14">
        <f>BD153*VLOOKUP('Données projet'!$B$11,Paramètres!$A$1:$I$89,3,0)*VLOOKUP('Données projet'!$B$11,Paramètres!$A$1:$I$89,5,0)</f>
        <v>3.3992364478763198E-14</v>
      </c>
      <c r="BF153" s="14">
        <f t="shared" si="145"/>
        <v>5.790027782444094E-13</v>
      </c>
      <c r="BG153" s="22">
        <f t="shared" si="115"/>
        <v>1.0676332069095257E-12</v>
      </c>
      <c r="BH153" s="62">
        <f t="shared" si="116"/>
        <v>293.33333333333439</v>
      </c>
      <c r="BI153" s="62">
        <f ca="1">AVERAGE(OFFSET($BH$3,0,0,'Données projet'!$E$11+1,1))-AVERAGE(OFFSET($H$3,0,0,'Données projet'!$E$11+1,1))</f>
        <v>157.98488572680344</v>
      </c>
      <c r="BJ153" s="62">
        <f t="shared" si="146"/>
        <v>269.20989374735825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10.159547396027353</v>
      </c>
      <c r="BQ153" s="23">
        <f>EXP(-LN(2)/25)*BQ152+(1-EXP(-LN(2)/25))/(LN(2)/25)*Calculateur!BL153*Calculateur!BN153*VLOOKUP('Données projet'!$B$11,Paramètres!$A$1:$I$89,3,0)*0.475*44/12</f>
        <v>0.12000586542907209</v>
      </c>
      <c r="BR153" s="23">
        <f>EXP(-LN(2)/2)*BR152+(1-EXP(-LN(2)/2))/(LN(2)/2)*BL153*BO153*VLOOKUP('Données projet'!$B$11,Paramètres!$A$1:$I$89,3,0)*0.475*44/12</f>
        <v>9.5541512087994569E-16</v>
      </c>
      <c r="BS153" s="24">
        <f t="shared" si="117"/>
        <v>10.279553261456426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147.72913422715322</v>
      </c>
      <c r="T154" s="62">
        <f t="shared" si="142"/>
        <v>361.07991692964799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>
        <f>AI154*VLOOKUP('Données projet'!$B$10,Paramètres!$A$1:$I$89,3,0)*VLOOKUP('Données projet'!$B$10,Paramètres!$A$1:$I$89,5,0)</f>
        <v>0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151.58413719376074</v>
      </c>
      <c r="AO154" s="62">
        <f t="shared" si="144"/>
        <v>310.105543138185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8.9962930633911906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1.6313318542335179E-16</v>
      </c>
      <c r="AX154" s="23">
        <f t="shared" ref="AX154:AX203" si="166">SUM(AU154:AW154)</f>
        <v>8.9962930633911906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5.6843418860808015E-14</v>
      </c>
      <c r="BE154" s="14">
        <f>BD154*VLOOKUP('Données projet'!$B$11,Paramètres!$A$1:$I$89,3,0)*VLOOKUP('Données projet'!$B$11,Paramètres!$A$1:$I$89,5,0)</f>
        <v>3.3992364478763198E-14</v>
      </c>
      <c r="BF154" s="14">
        <f t="shared" ref="BF154:BF203" si="167">EXP(-1.0587+0.8836*LN(BE154)+0.284)</f>
        <v>5.790027782444094E-13</v>
      </c>
      <c r="BG154" s="22">
        <f t="shared" ref="BG154:BG203" si="168">(BE154+BF154)*0.475*44/12</f>
        <v>1.0676332069095257E-12</v>
      </c>
      <c r="BH154" s="62">
        <f t="shared" si="116"/>
        <v>293.33333333333439</v>
      </c>
      <c r="BI154" s="62">
        <f ca="1">AVERAGE(OFFSET($BH$3,0,0,'Données projet'!$E$11+1,1))-AVERAGE(OFFSET($H$3,0,0,'Données projet'!$E$11+1,1))</f>
        <v>157.98488572680344</v>
      </c>
      <c r="BJ154" s="62">
        <f t="shared" si="146"/>
        <v>269.20989374735825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9.9603248683032941</v>
      </c>
      <c r="BQ154" s="23">
        <f>EXP(-LN(2)/25)*BQ153+(1-EXP(-LN(2)/25))/(LN(2)/25)*Calculateur!BL154*Calculateur!BN154*VLOOKUP('Données projet'!$B$11,Paramètres!$A$1:$I$89,3,0)*0.475*44/12</f>
        <v>0.11672429872807992</v>
      </c>
      <c r="BR154" s="23">
        <f>EXP(-LN(2)/2)*BR153+(1-EXP(-LN(2)/2))/(LN(2)/2)*BL154*BO154*VLOOKUP('Données projet'!$B$11,Paramètres!$A$1:$I$89,3,0)*0.475*44/12</f>
        <v>6.7558051082237461E-16</v>
      </c>
      <c r="BS154" s="24">
        <f t="shared" ref="BS154:BS203" si="169">SUM(BP154:BR154)</f>
        <v>10.077049167031374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147.72913422715322</v>
      </c>
      <c r="T155" s="62">
        <f t="shared" si="142"/>
        <v>361.07991692964799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>
        <f>AI155*VLOOKUP('Données projet'!$B$10,Paramètres!$A$1:$I$89,3,0)*VLOOKUP('Données projet'!$B$10,Paramètres!$A$1:$I$89,5,0)</f>
        <v>0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151.58413719376074</v>
      </c>
      <c r="AO155" s="62">
        <f t="shared" si="144"/>
        <v>310.105543138185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8.8198812436150416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1.153525816494145E-16</v>
      </c>
      <c r="AX155" s="23">
        <f t="shared" si="166"/>
        <v>8.8198812436150416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5.6843418860808015E-14</v>
      </c>
      <c r="BE155" s="14">
        <f>BD155*VLOOKUP('Données projet'!$B$11,Paramètres!$A$1:$I$89,3,0)*VLOOKUP('Données projet'!$B$11,Paramètres!$A$1:$I$89,5,0)</f>
        <v>3.3992364478763198E-14</v>
      </c>
      <c r="BF155" s="14">
        <f t="shared" si="167"/>
        <v>5.790027782444094E-13</v>
      </c>
      <c r="BG155" s="22">
        <f t="shared" si="168"/>
        <v>1.0676332069095257E-12</v>
      </c>
      <c r="BH155" s="62">
        <f t="shared" si="116"/>
        <v>293.33333333333439</v>
      </c>
      <c r="BI155" s="62">
        <f ca="1">AVERAGE(OFFSET($BH$3,0,0,'Données projet'!$E$11+1,1))-AVERAGE(OFFSET($H$3,0,0,'Données projet'!$E$11+1,1))</f>
        <v>157.98488572680344</v>
      </c>
      <c r="BJ155" s="62">
        <f t="shared" si="146"/>
        <v>269.20989374735825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9.7650089728341598</v>
      </c>
      <c r="BQ155" s="23">
        <f>EXP(-LN(2)/25)*BQ154+(1-EXP(-LN(2)/25))/(LN(2)/25)*Calculateur!BL155*Calculateur!BN155*VLOOKUP('Données projet'!$B$11,Paramètres!$A$1:$I$89,3,0)*0.475*44/12</f>
        <v>0.11353246664109648</v>
      </c>
      <c r="BR155" s="23">
        <f>EXP(-LN(2)/2)*BR154+(1-EXP(-LN(2)/2))/(LN(2)/2)*BL155*BO155*VLOOKUP('Données projet'!$B$11,Paramètres!$A$1:$I$89,3,0)*0.475*44/12</f>
        <v>4.7770756043997284E-16</v>
      </c>
      <c r="BS155" s="24">
        <f t="shared" si="169"/>
        <v>9.8785414394752564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147.72913422715322</v>
      </c>
      <c r="T156" s="62">
        <f t="shared" si="142"/>
        <v>361.07991692964799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>
        <f>AI156*VLOOKUP('Données projet'!$B$10,Paramètres!$A$1:$I$89,3,0)*VLOOKUP('Données projet'!$B$10,Paramètres!$A$1:$I$89,5,0)</f>
        <v>0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151.58413719376074</v>
      </c>
      <c r="AO156" s="62">
        <f t="shared" si="144"/>
        <v>310.105543138185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8.6469287520241185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8.1566592711675894E-17</v>
      </c>
      <c r="AX156" s="23">
        <f t="shared" si="166"/>
        <v>8.6469287520241185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5.6843418860808015E-14</v>
      </c>
      <c r="BE156" s="14">
        <f>BD156*VLOOKUP('Données projet'!$B$11,Paramètres!$A$1:$I$89,3,0)*VLOOKUP('Données projet'!$B$11,Paramètres!$A$1:$I$89,5,0)</f>
        <v>3.3992364478763198E-14</v>
      </c>
      <c r="BF156" s="14">
        <f t="shared" si="167"/>
        <v>5.790027782444094E-13</v>
      </c>
      <c r="BG156" s="22">
        <f t="shared" si="168"/>
        <v>1.0676332069095257E-12</v>
      </c>
      <c r="BH156" s="62">
        <f t="shared" si="116"/>
        <v>293.33333333333439</v>
      </c>
      <c r="BI156" s="62">
        <f ca="1">AVERAGE(OFFSET($BH$3,0,0,'Données projet'!$E$11+1,1))-AVERAGE(OFFSET($H$3,0,0,'Données projet'!$E$11+1,1))</f>
        <v>157.98488572680344</v>
      </c>
      <c r="BJ156" s="62">
        <f t="shared" si="146"/>
        <v>269.20989374735825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9.5735231029442431</v>
      </c>
      <c r="BQ156" s="23">
        <f>EXP(-LN(2)/25)*BQ155+(1-EXP(-LN(2)/25))/(LN(2)/25)*Calculateur!BL156*Calculateur!BN156*VLOOKUP('Données projet'!$B$11,Paramètres!$A$1:$I$89,3,0)*0.475*44/12</f>
        <v>0.11042791537038275</v>
      </c>
      <c r="BR156" s="23">
        <f>EXP(-LN(2)/2)*BR155+(1-EXP(-LN(2)/2))/(LN(2)/2)*BL156*BO156*VLOOKUP('Données projet'!$B$11,Paramètres!$A$1:$I$89,3,0)*0.475*44/12</f>
        <v>3.377902554111873E-16</v>
      </c>
      <c r="BS156" s="24">
        <f t="shared" si="169"/>
        <v>9.6839510183146267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147.72913422715322</v>
      </c>
      <c r="T157" s="62">
        <f t="shared" si="142"/>
        <v>361.07991692964799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>
        <f>AI157*VLOOKUP('Données projet'!$B$10,Paramètres!$A$1:$I$89,3,0)*VLOOKUP('Données projet'!$B$10,Paramètres!$A$1:$I$89,5,0)</f>
        <v>0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151.58413719376074</v>
      </c>
      <c r="AO157" s="62">
        <f t="shared" si="144"/>
        <v>310.105543138185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8.4773677533026888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5.7676290824707248E-17</v>
      </c>
      <c r="AX157" s="23">
        <f t="shared" si="166"/>
        <v>8.4773677533026888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5.6843418860808015E-14</v>
      </c>
      <c r="BE157" s="14">
        <f>BD157*VLOOKUP('Données projet'!$B$11,Paramètres!$A$1:$I$89,3,0)*VLOOKUP('Données projet'!$B$11,Paramètres!$A$1:$I$89,5,0)</f>
        <v>3.3992364478763198E-14</v>
      </c>
      <c r="BF157" s="14">
        <f t="shared" si="167"/>
        <v>5.790027782444094E-13</v>
      </c>
      <c r="BG157" s="22">
        <f t="shared" si="168"/>
        <v>1.0676332069095257E-12</v>
      </c>
      <c r="BH157" s="62">
        <f t="shared" si="116"/>
        <v>293.33333333333439</v>
      </c>
      <c r="BI157" s="62">
        <f ca="1">AVERAGE(OFFSET($BH$3,0,0,'Données projet'!$E$11+1,1))-AVERAGE(OFFSET($H$3,0,0,'Données projet'!$E$11+1,1))</f>
        <v>157.98488572680344</v>
      </c>
      <c r="BJ157" s="62">
        <f t="shared" si="146"/>
        <v>269.20989374735825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9.3857921541680192</v>
      </c>
      <c r="BQ157" s="23">
        <f>EXP(-LN(2)/25)*BQ156+(1-EXP(-LN(2)/25))/(LN(2)/25)*Calculateur!BL157*Calculateur!BN157*VLOOKUP('Données projet'!$B$11,Paramètres!$A$1:$I$89,3,0)*0.475*44/12</f>
        <v>0.10740825821742796</v>
      </c>
      <c r="BR157" s="23">
        <f>EXP(-LN(2)/2)*BR156+(1-EXP(-LN(2)/2))/(LN(2)/2)*BL157*BO157*VLOOKUP('Données projet'!$B$11,Paramètres!$A$1:$I$89,3,0)*0.475*44/12</f>
        <v>2.3885378021998642E-16</v>
      </c>
      <c r="BS157" s="24">
        <f t="shared" si="169"/>
        <v>9.4932004123854465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147.72913422715322</v>
      </c>
      <c r="T158" s="62">
        <f t="shared" si="142"/>
        <v>361.07991692964799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>
        <f>AI158*VLOOKUP('Données projet'!$B$10,Paramètres!$A$1:$I$89,3,0)*VLOOKUP('Données projet'!$B$10,Paramètres!$A$1:$I$89,5,0)</f>
        <v>0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151.58413719376074</v>
      </c>
      <c r="AO158" s="62">
        <f t="shared" si="144"/>
        <v>310.105543138185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8.3111317423441893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4.0783296355837947E-17</v>
      </c>
      <c r="AX158" s="23">
        <f t="shared" si="166"/>
        <v>8.3111317423441893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5.6843418860808015E-14</v>
      </c>
      <c r="BE158" s="14">
        <f>BD158*VLOOKUP('Données projet'!$B$11,Paramètres!$A$1:$I$89,3,0)*VLOOKUP('Données projet'!$B$11,Paramètres!$A$1:$I$89,5,0)</f>
        <v>3.3992364478763198E-14</v>
      </c>
      <c r="BF158" s="14">
        <f t="shared" si="167"/>
        <v>5.790027782444094E-13</v>
      </c>
      <c r="BG158" s="22">
        <f t="shared" si="168"/>
        <v>1.0676332069095257E-12</v>
      </c>
      <c r="BH158" s="62">
        <f t="shared" si="116"/>
        <v>293.33333333333439</v>
      </c>
      <c r="BI158" s="62">
        <f ca="1">AVERAGE(OFFSET($BH$3,0,0,'Données projet'!$E$11+1,1))-AVERAGE(OFFSET($H$3,0,0,'Données projet'!$E$11+1,1))</f>
        <v>157.98488572680344</v>
      </c>
      <c r="BJ158" s="62">
        <f t="shared" si="146"/>
        <v>269.20989374735825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9.2017424947927253</v>
      </c>
      <c r="BQ158" s="23">
        <f>EXP(-LN(2)/25)*BQ157+(1-EXP(-LN(2)/25))/(LN(2)/25)*Calculateur!BL158*Calculateur!BN158*VLOOKUP('Données projet'!$B$11,Paramètres!$A$1:$I$89,3,0)*0.475*44/12</f>
        <v>0.10447117374811757</v>
      </c>
      <c r="BR158" s="23">
        <f>EXP(-LN(2)/2)*BR157+(1-EXP(-LN(2)/2))/(LN(2)/2)*BL158*BO158*VLOOKUP('Données projet'!$B$11,Paramètres!$A$1:$I$89,3,0)*0.475*44/12</f>
        <v>1.6889512770559365E-16</v>
      </c>
      <c r="BS158" s="24">
        <f t="shared" si="169"/>
        <v>9.3062136685408436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147.72913422715322</v>
      </c>
      <c r="T159" s="62">
        <f t="shared" si="142"/>
        <v>361.07991692964799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>
        <f>AI159*VLOOKUP('Données projet'!$B$10,Paramètres!$A$1:$I$89,3,0)*VLOOKUP('Données projet'!$B$10,Paramètres!$A$1:$I$89,5,0)</f>
        <v>0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151.58413719376074</v>
      </c>
      <c r="AO159" s="62">
        <f t="shared" si="144"/>
        <v>310.105543138185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8.1481555181666323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2.8838145412353624E-17</v>
      </c>
      <c r="AX159" s="23">
        <f t="shared" si="166"/>
        <v>8.1481555181666323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5.6843418860808015E-14</v>
      </c>
      <c r="BE159" s="14">
        <f>BD159*VLOOKUP('Données projet'!$B$11,Paramètres!$A$1:$I$89,3,0)*VLOOKUP('Données projet'!$B$11,Paramètres!$A$1:$I$89,5,0)</f>
        <v>3.3992364478763198E-14</v>
      </c>
      <c r="BF159" s="14">
        <f t="shared" si="167"/>
        <v>5.790027782444094E-13</v>
      </c>
      <c r="BG159" s="22">
        <f t="shared" si="168"/>
        <v>1.0676332069095257E-12</v>
      </c>
      <c r="BH159" s="62">
        <f t="shared" si="116"/>
        <v>293.33333333333439</v>
      </c>
      <c r="BI159" s="62">
        <f ca="1">AVERAGE(OFFSET($BH$3,0,0,'Données projet'!$E$11+1,1))-AVERAGE(OFFSET($H$3,0,0,'Données projet'!$E$11+1,1))</f>
        <v>157.98488572680344</v>
      </c>
      <c r="BJ159" s="62">
        <f t="shared" si="146"/>
        <v>269.20989374735825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9.0213019369785723</v>
      </c>
      <c r="BQ159" s="23">
        <f>EXP(-LN(2)/25)*BQ158+(1-EXP(-LN(2)/25))/(LN(2)/25)*Calculateur!BL159*Calculateur!BN159*VLOOKUP('Données projet'!$B$11,Paramètres!$A$1:$I$89,3,0)*0.475*44/12</f>
        <v>0.10161440400807503</v>
      </c>
      <c r="BR159" s="23">
        <f>EXP(-LN(2)/2)*BR158+(1-EXP(-LN(2)/2))/(LN(2)/2)*BL159*BO159*VLOOKUP('Données projet'!$B$11,Paramètres!$A$1:$I$89,3,0)*0.475*44/12</f>
        <v>1.1942689010999321E-16</v>
      </c>
      <c r="BS159" s="24">
        <f t="shared" si="169"/>
        <v>9.1229163409866469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147.72913422715322</v>
      </c>
      <c r="T160" s="62">
        <f t="shared" si="142"/>
        <v>361.07991692964799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>
        <f>AI160*VLOOKUP('Données projet'!$B$10,Paramètres!$A$1:$I$89,3,0)*VLOOKUP('Données projet'!$B$10,Paramètres!$A$1:$I$89,5,0)</f>
        <v>0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151.58413719376074</v>
      </c>
      <c r="AO160" s="62">
        <f t="shared" si="144"/>
        <v>310.105543138185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7.9883751583395153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2.0391648177918974E-17</v>
      </c>
      <c r="AX160" s="23">
        <f t="shared" si="166"/>
        <v>7.9883751583395153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5.6843418860808015E-14</v>
      </c>
      <c r="BE160" s="14">
        <f>BD160*VLOOKUP('Données projet'!$B$11,Paramètres!$A$1:$I$89,3,0)*VLOOKUP('Données projet'!$B$11,Paramètres!$A$1:$I$89,5,0)</f>
        <v>3.3992364478763198E-14</v>
      </c>
      <c r="BF160" s="14">
        <f t="shared" si="167"/>
        <v>5.790027782444094E-13</v>
      </c>
      <c r="BG160" s="22">
        <f t="shared" si="168"/>
        <v>1.0676332069095257E-12</v>
      </c>
      <c r="BH160" s="62">
        <f t="shared" si="116"/>
        <v>293.33333333333439</v>
      </c>
      <c r="BI160" s="62">
        <f ca="1">AVERAGE(OFFSET($BH$3,0,0,'Données projet'!$E$11+1,1))-AVERAGE(OFFSET($H$3,0,0,'Données projet'!$E$11+1,1))</f>
        <v>157.98488572680344</v>
      </c>
      <c r="BJ160" s="62">
        <f t="shared" si="146"/>
        <v>269.20989374735825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8.8443997084452821</v>
      </c>
      <c r="BQ160" s="23">
        <f>EXP(-LN(2)/25)*BQ159+(1-EXP(-LN(2)/25))/(LN(2)/25)*Calculateur!BL160*Calculateur!BN160*VLOOKUP('Données projet'!$B$11,Paramètres!$A$1:$I$89,3,0)*0.475*44/12</f>
        <v>9.8835752786804953E-2</v>
      </c>
      <c r="BR160" s="23">
        <f>EXP(-LN(2)/2)*BR159+(1-EXP(-LN(2)/2))/(LN(2)/2)*BL160*BO160*VLOOKUP('Données projet'!$B$11,Paramètres!$A$1:$I$89,3,0)*0.475*44/12</f>
        <v>8.4447563852796826E-17</v>
      </c>
      <c r="BS160" s="24">
        <f t="shared" si="169"/>
        <v>8.9432354612320868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147.72913422715322</v>
      </c>
      <c r="T161" s="62">
        <f t="shared" si="142"/>
        <v>361.07991692964799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>
        <f>AI161*VLOOKUP('Données projet'!$B$10,Paramètres!$A$1:$I$89,3,0)*VLOOKUP('Données projet'!$B$10,Paramètres!$A$1:$I$89,5,0)</f>
        <v>0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151.58413719376074</v>
      </c>
      <c r="AO161" s="62">
        <f t="shared" si="144"/>
        <v>310.105543138185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7.831727993912212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1.4419072706176812E-17</v>
      </c>
      <c r="AX161" s="23">
        <f t="shared" si="166"/>
        <v>7.831727993912212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5.6843418860808015E-14</v>
      </c>
      <c r="BE161" s="14">
        <f>BD161*VLOOKUP('Données projet'!$B$11,Paramètres!$A$1:$I$89,3,0)*VLOOKUP('Données projet'!$B$11,Paramètres!$A$1:$I$89,5,0)</f>
        <v>3.3992364478763198E-14</v>
      </c>
      <c r="BF161" s="14">
        <f t="shared" si="167"/>
        <v>5.790027782444094E-13</v>
      </c>
      <c r="BG161" s="22">
        <f t="shared" si="168"/>
        <v>1.0676332069095257E-12</v>
      </c>
      <c r="BH161" s="62">
        <f t="shared" si="116"/>
        <v>293.33333333333439</v>
      </c>
      <c r="BI161" s="62">
        <f ca="1">AVERAGE(OFFSET($BH$3,0,0,'Données projet'!$E$11+1,1))-AVERAGE(OFFSET($H$3,0,0,'Données projet'!$E$11+1,1))</f>
        <v>157.98488572680344</v>
      </c>
      <c r="BJ161" s="62">
        <f t="shared" si="146"/>
        <v>269.20989374735825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8.6709664247138249</v>
      </c>
      <c r="BQ161" s="23">
        <f>EXP(-LN(2)/25)*BQ160+(1-EXP(-LN(2)/25))/(LN(2)/25)*Calculateur!BL161*Calculateur!BN161*VLOOKUP('Données projet'!$B$11,Paramètres!$A$1:$I$89,3,0)*0.475*44/12</f>
        <v>9.613308392930342E-2</v>
      </c>
      <c r="BR161" s="23">
        <f>EXP(-LN(2)/2)*BR160+(1-EXP(-LN(2)/2))/(LN(2)/2)*BL161*BO161*VLOOKUP('Données projet'!$B$11,Paramètres!$A$1:$I$89,3,0)*0.475*44/12</f>
        <v>5.9713445054996605E-17</v>
      </c>
      <c r="BS161" s="24">
        <f t="shared" si="169"/>
        <v>8.7670995086431276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147.72913422715322</v>
      </c>
      <c r="T162" s="62">
        <f t="shared" si="142"/>
        <v>361.07991692964799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>
        <f>AI162*VLOOKUP('Données projet'!$B$10,Paramètres!$A$1:$I$89,3,0)*VLOOKUP('Données projet'!$B$10,Paramètres!$A$1:$I$89,5,0)</f>
        <v>0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151.58413719376074</v>
      </c>
      <c r="AO162" s="62">
        <f t="shared" si="144"/>
        <v>310.105543138185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7.6781525848339918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1.0195824088959487E-17</v>
      </c>
      <c r="AX162" s="23">
        <f t="shared" si="166"/>
        <v>7.6781525848339918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5.6843418860808015E-14</v>
      </c>
      <c r="BE162" s="14">
        <f>BD162*VLOOKUP('Données projet'!$B$11,Paramètres!$A$1:$I$89,3,0)*VLOOKUP('Données projet'!$B$11,Paramètres!$A$1:$I$89,5,0)</f>
        <v>3.3992364478763198E-14</v>
      </c>
      <c r="BF162" s="14">
        <f t="shared" si="167"/>
        <v>5.790027782444094E-13</v>
      </c>
      <c r="BG162" s="22">
        <f t="shared" si="168"/>
        <v>1.0676332069095257E-12</v>
      </c>
      <c r="BH162" s="62">
        <f t="shared" si="116"/>
        <v>293.33333333333439</v>
      </c>
      <c r="BI162" s="62">
        <f ca="1">AVERAGE(OFFSET($BH$3,0,0,'Données projet'!$E$11+1,1))-AVERAGE(OFFSET($H$3,0,0,'Données projet'!$E$11+1,1))</f>
        <v>157.98488572680344</v>
      </c>
      <c r="BJ162" s="62">
        <f t="shared" si="146"/>
        <v>269.20989374735825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8.5009340618924831</v>
      </c>
      <c r="BQ162" s="23">
        <f>EXP(-LN(2)/25)*BQ161+(1-EXP(-LN(2)/25))/(LN(2)/25)*Calculateur!BL162*Calculateur!BN162*VLOOKUP('Données projet'!$B$11,Paramètres!$A$1:$I$89,3,0)*0.475*44/12</f>
        <v>9.3504319693837448E-2</v>
      </c>
      <c r="BR162" s="23">
        <f>EXP(-LN(2)/2)*BR161+(1-EXP(-LN(2)/2))/(LN(2)/2)*BL162*BO162*VLOOKUP('Données projet'!$B$11,Paramètres!$A$1:$I$89,3,0)*0.475*44/12</f>
        <v>4.2223781926398413E-17</v>
      </c>
      <c r="BS162" s="24">
        <f t="shared" si="169"/>
        <v>8.5944383815863201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147.72913422715322</v>
      </c>
      <c r="T163" s="62">
        <f t="shared" si="142"/>
        <v>361.07991692964799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>
        <f>AI163*VLOOKUP('Données projet'!$B$10,Paramètres!$A$1:$I$89,3,0)*VLOOKUP('Données projet'!$B$10,Paramètres!$A$1:$I$89,5,0)</f>
        <v>0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151.58413719376074</v>
      </c>
      <c r="AO163" s="62">
        <f t="shared" si="144"/>
        <v>310.105543138185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7.5275886958560454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7.2095363530884059E-18</v>
      </c>
      <c r="AX163" s="23">
        <f t="shared" si="166"/>
        <v>7.5275886958560454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5.6843418860808015E-14</v>
      </c>
      <c r="BE163" s="14">
        <f>BD163*VLOOKUP('Données projet'!$B$11,Paramètres!$A$1:$I$89,3,0)*VLOOKUP('Données projet'!$B$11,Paramètres!$A$1:$I$89,5,0)</f>
        <v>3.3992364478763198E-14</v>
      </c>
      <c r="BF163" s="14">
        <f t="shared" si="167"/>
        <v>5.790027782444094E-13</v>
      </c>
      <c r="BG163" s="22">
        <f t="shared" si="168"/>
        <v>1.0676332069095257E-12</v>
      </c>
      <c r="BH163" s="62">
        <f t="shared" si="116"/>
        <v>293.33333333333439</v>
      </c>
      <c r="BI163" s="62">
        <f ca="1">AVERAGE(OFFSET($BH$3,0,0,'Données projet'!$E$11+1,1))-AVERAGE(OFFSET($H$3,0,0,'Données projet'!$E$11+1,1))</f>
        <v>157.98488572680344</v>
      </c>
      <c r="BJ163" s="62">
        <f t="shared" si="146"/>
        <v>269.20989374735825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8.3342359299965665</v>
      </c>
      <c r="BQ163" s="23">
        <f>EXP(-LN(2)/25)*BQ162+(1-EXP(-LN(2)/25))/(LN(2)/25)*Calculateur!BL163*Calculateur!BN163*VLOOKUP('Données projet'!$B$11,Paramètres!$A$1:$I$89,3,0)*0.475*44/12</f>
        <v>9.0947439154630993E-2</v>
      </c>
      <c r="BR163" s="23">
        <f>EXP(-LN(2)/2)*BR162+(1-EXP(-LN(2)/2))/(LN(2)/2)*BL163*BO163*VLOOKUP('Données projet'!$B$11,Paramètres!$A$1:$I$89,3,0)*0.475*44/12</f>
        <v>2.9856722527498303E-17</v>
      </c>
      <c r="BS163" s="24">
        <f t="shared" si="169"/>
        <v>8.4251833691511973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147.72913422715322</v>
      </c>
      <c r="T164" s="62">
        <f t="shared" si="142"/>
        <v>361.07991692964799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>
        <f>AI164*VLOOKUP('Données projet'!$B$10,Paramètres!$A$1:$I$89,3,0)*VLOOKUP('Données projet'!$B$10,Paramètres!$A$1:$I$89,5,0)</f>
        <v>0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151.58413719376074</v>
      </c>
      <c r="AO164" s="62">
        <f t="shared" si="144"/>
        <v>310.105543138185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7.3799772729060518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5.0979120444797434E-18</v>
      </c>
      <c r="AX164" s="23">
        <f t="shared" si="166"/>
        <v>7.3799772729060518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5.6843418860808015E-14</v>
      </c>
      <c r="BE164" s="14">
        <f>BD164*VLOOKUP('Données projet'!$B$11,Paramètres!$A$1:$I$89,3,0)*VLOOKUP('Données projet'!$B$11,Paramètres!$A$1:$I$89,5,0)</f>
        <v>3.3992364478763198E-14</v>
      </c>
      <c r="BF164" s="14">
        <f t="shared" si="167"/>
        <v>5.790027782444094E-13</v>
      </c>
      <c r="BG164" s="22">
        <f t="shared" si="168"/>
        <v>1.0676332069095257E-12</v>
      </c>
      <c r="BH164" s="62">
        <f t="shared" si="116"/>
        <v>293.33333333333439</v>
      </c>
      <c r="BI164" s="62">
        <f ca="1">AVERAGE(OFFSET($BH$3,0,0,'Données projet'!$E$11+1,1))-AVERAGE(OFFSET($H$3,0,0,'Données projet'!$E$11+1,1))</f>
        <v>157.98488572680344</v>
      </c>
      <c r="BJ164" s="62">
        <f t="shared" si="146"/>
        <v>269.20989374735825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8.1708066467913092</v>
      </c>
      <c r="BQ164" s="23">
        <f>EXP(-LN(2)/25)*BQ163+(1-EXP(-LN(2)/25))/(LN(2)/25)*Calculateur!BL164*Calculateur!BN164*VLOOKUP('Données projet'!$B$11,Paramètres!$A$1:$I$89,3,0)*0.475*44/12</f>
        <v>8.8460476648229647E-2</v>
      </c>
      <c r="BR164" s="23">
        <f>EXP(-LN(2)/2)*BR163+(1-EXP(-LN(2)/2))/(LN(2)/2)*BL164*BO164*VLOOKUP('Données projet'!$B$11,Paramètres!$A$1:$I$89,3,0)*0.475*44/12</f>
        <v>2.1111890963199206E-17</v>
      </c>
      <c r="BS164" s="24">
        <f t="shared" si="169"/>
        <v>8.2592671234395389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147.72913422715322</v>
      </c>
      <c r="T165" s="62">
        <f t="shared" si="142"/>
        <v>361.07991692964799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>
        <f>AI165*VLOOKUP('Données projet'!$B$10,Paramètres!$A$1:$I$89,3,0)*VLOOKUP('Données projet'!$B$10,Paramètres!$A$1:$I$89,5,0)</f>
        <v>0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151.58413719376074</v>
      </c>
      <c r="AO165" s="62">
        <f t="shared" si="144"/>
        <v>310.105543138185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7.2352604199260302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3.604768176544203E-18</v>
      </c>
      <c r="AX165" s="23">
        <f t="shared" si="166"/>
        <v>7.2352604199260302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5.6843418860808015E-14</v>
      </c>
      <c r="BE165" s="14">
        <f>BD165*VLOOKUP('Données projet'!$B$11,Paramètres!$A$1:$I$89,3,0)*VLOOKUP('Données projet'!$B$11,Paramètres!$A$1:$I$89,5,0)</f>
        <v>3.3992364478763198E-14</v>
      </c>
      <c r="BF165" s="14">
        <f t="shared" si="167"/>
        <v>5.790027782444094E-13</v>
      </c>
      <c r="BG165" s="22">
        <f t="shared" si="168"/>
        <v>1.0676332069095257E-12</v>
      </c>
      <c r="BH165" s="62">
        <f t="shared" si="116"/>
        <v>293.33333333333439</v>
      </c>
      <c r="BI165" s="62">
        <f ca="1">AVERAGE(OFFSET($BH$3,0,0,'Données projet'!$E$11+1,1))-AVERAGE(OFFSET($H$3,0,0,'Données projet'!$E$11+1,1))</f>
        <v>157.98488572680344</v>
      </c>
      <c r="BJ165" s="62">
        <f t="shared" si="146"/>
        <v>269.20989374735825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8.0105821121476861</v>
      </c>
      <c r="BQ165" s="23">
        <f>EXP(-LN(2)/25)*BQ164+(1-EXP(-LN(2)/25))/(LN(2)/25)*Calculateur!BL165*Calculateur!BN165*VLOOKUP('Données projet'!$B$11,Paramètres!$A$1:$I$89,3,0)*0.475*44/12</f>
        <v>8.6041520262349513E-2</v>
      </c>
      <c r="BR165" s="23">
        <f>EXP(-LN(2)/2)*BR164+(1-EXP(-LN(2)/2))/(LN(2)/2)*BL165*BO165*VLOOKUP('Données projet'!$B$11,Paramètres!$A$1:$I$89,3,0)*0.475*44/12</f>
        <v>1.4928361263749151E-17</v>
      </c>
      <c r="BS165" s="24">
        <f t="shared" si="169"/>
        <v>8.0966236324100365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147.72913422715322</v>
      </c>
      <c r="T166" s="62">
        <f t="shared" si="142"/>
        <v>361.07991692964799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>
        <f>AI166*VLOOKUP('Données projet'!$B$10,Paramètres!$A$1:$I$89,3,0)*VLOOKUP('Données projet'!$B$10,Paramètres!$A$1:$I$89,5,0)</f>
        <v>0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151.58413719376074</v>
      </c>
      <c r="AO166" s="62">
        <f t="shared" si="144"/>
        <v>310.105543138185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7.0933813761643822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2.5489560222398717E-18</v>
      </c>
      <c r="AX166" s="23">
        <f t="shared" si="166"/>
        <v>7.0933813761643822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5.6843418860808015E-14</v>
      </c>
      <c r="BE166" s="14">
        <f>BD166*VLOOKUP('Données projet'!$B$11,Paramètres!$A$1:$I$89,3,0)*VLOOKUP('Données projet'!$B$11,Paramètres!$A$1:$I$89,5,0)</f>
        <v>3.3992364478763198E-14</v>
      </c>
      <c r="BF166" s="14">
        <f t="shared" si="167"/>
        <v>5.790027782444094E-13</v>
      </c>
      <c r="BG166" s="22">
        <f t="shared" si="168"/>
        <v>1.0676332069095257E-12</v>
      </c>
      <c r="BH166" s="62">
        <f t="shared" si="116"/>
        <v>293.33333333333439</v>
      </c>
      <c r="BI166" s="62">
        <f ca="1">AVERAGE(OFFSET($BH$3,0,0,'Données projet'!$E$11+1,1))-AVERAGE(OFFSET($H$3,0,0,'Données projet'!$E$11+1,1))</f>
        <v>157.98488572680344</v>
      </c>
      <c r="BJ166" s="62">
        <f t="shared" si="146"/>
        <v>269.20989374735825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7.8534994829011087</v>
      </c>
      <c r="BQ166" s="23">
        <f>EXP(-LN(2)/25)*BQ165+(1-EXP(-LN(2)/25))/(LN(2)/25)*Calculateur!BL166*Calculateur!BN166*VLOOKUP('Données projet'!$B$11,Paramètres!$A$1:$I$89,3,0)*0.475*44/12</f>
        <v>8.3688710366048663E-2</v>
      </c>
      <c r="BR166" s="23">
        <f>EXP(-LN(2)/2)*BR165+(1-EXP(-LN(2)/2))/(LN(2)/2)*BL166*BO166*VLOOKUP('Données projet'!$B$11,Paramètres!$A$1:$I$89,3,0)*0.475*44/12</f>
        <v>1.0555945481599603E-17</v>
      </c>
      <c r="BS166" s="24">
        <f t="shared" si="169"/>
        <v>7.9371881932671577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147.72913422715322</v>
      </c>
      <c r="T167" s="62">
        <f t="shared" si="142"/>
        <v>361.07991692964799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>
        <f>AI167*VLOOKUP('Données projet'!$B$10,Paramètres!$A$1:$I$89,3,0)*VLOOKUP('Données projet'!$B$10,Paramètres!$A$1:$I$89,5,0)</f>
        <v>0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151.58413719376074</v>
      </c>
      <c r="AO167" s="62">
        <f t="shared" si="144"/>
        <v>310.105543138185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6.954284493913228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1.8023840882721015E-18</v>
      </c>
      <c r="AX167" s="23">
        <f t="shared" si="166"/>
        <v>6.954284493913228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5.6843418860808015E-14</v>
      </c>
      <c r="BE167" s="14">
        <f>BD167*VLOOKUP('Données projet'!$B$11,Paramètres!$A$1:$I$89,3,0)*VLOOKUP('Données projet'!$B$11,Paramètres!$A$1:$I$89,5,0)</f>
        <v>3.3992364478763198E-14</v>
      </c>
      <c r="BF167" s="14">
        <f t="shared" si="167"/>
        <v>5.790027782444094E-13</v>
      </c>
      <c r="BG167" s="22">
        <f t="shared" si="168"/>
        <v>1.0676332069095257E-12</v>
      </c>
      <c r="BH167" s="62">
        <f t="shared" si="116"/>
        <v>293.33333333333439</v>
      </c>
      <c r="BI167" s="62">
        <f ca="1">AVERAGE(OFFSET($BH$3,0,0,'Données projet'!$E$11+1,1))-AVERAGE(OFFSET($H$3,0,0,'Données projet'!$E$11+1,1))</f>
        <v>157.98488572680344</v>
      </c>
      <c r="BJ167" s="62">
        <f t="shared" si="146"/>
        <v>269.20989374735825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7.6994971482031129</v>
      </c>
      <c r="BQ167" s="23">
        <f>EXP(-LN(2)/25)*BQ166+(1-EXP(-LN(2)/25))/(LN(2)/25)*Calculateur!BL167*Calculateur!BN167*VLOOKUP('Données projet'!$B$11,Paramètres!$A$1:$I$89,3,0)*0.475*44/12</f>
        <v>8.1400238180091053E-2</v>
      </c>
      <c r="BR167" s="23">
        <f>EXP(-LN(2)/2)*BR166+(1-EXP(-LN(2)/2))/(LN(2)/2)*BL167*BO167*VLOOKUP('Données projet'!$B$11,Paramètres!$A$1:$I$89,3,0)*0.475*44/12</f>
        <v>7.4641806318745757E-18</v>
      </c>
      <c r="BS167" s="24">
        <f t="shared" si="169"/>
        <v>7.7808973863832041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147.72913422715322</v>
      </c>
      <c r="T168" s="62">
        <f t="shared" si="142"/>
        <v>361.07991692964799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>
        <f>AI168*VLOOKUP('Données projet'!$B$10,Paramètres!$A$1:$I$89,3,0)*VLOOKUP('Données projet'!$B$10,Paramètres!$A$1:$I$89,5,0)</f>
        <v>0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151.58413719376074</v>
      </c>
      <c r="AO168" s="62">
        <f t="shared" si="144"/>
        <v>310.105543138185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6.8179152166822981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1.2744780111199358E-18</v>
      </c>
      <c r="AX168" s="23">
        <f t="shared" si="166"/>
        <v>6.8179152166822981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5.6843418860808015E-14</v>
      </c>
      <c r="BE168" s="14">
        <f>BD168*VLOOKUP('Données projet'!$B$11,Paramètres!$A$1:$I$89,3,0)*VLOOKUP('Données projet'!$B$11,Paramètres!$A$1:$I$89,5,0)</f>
        <v>3.3992364478763198E-14</v>
      </c>
      <c r="BF168" s="14">
        <f t="shared" si="167"/>
        <v>5.790027782444094E-13</v>
      </c>
      <c r="BG168" s="22">
        <f t="shared" si="168"/>
        <v>1.0676332069095257E-12</v>
      </c>
      <c r="BH168" s="62">
        <f t="shared" si="116"/>
        <v>293.33333333333439</v>
      </c>
      <c r="BI168" s="62">
        <f ca="1">AVERAGE(OFFSET($BH$3,0,0,'Données projet'!$E$11+1,1))-AVERAGE(OFFSET($H$3,0,0,'Données projet'!$E$11+1,1))</f>
        <v>157.98488572680344</v>
      </c>
      <c r="BJ168" s="62">
        <f t="shared" si="146"/>
        <v>269.20989374735825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7.5485147053563963</v>
      </c>
      <c r="BQ168" s="23">
        <f>EXP(-LN(2)/25)*BQ167+(1-EXP(-LN(2)/25))/(LN(2)/25)*Calculateur!BL168*Calculateur!BN168*VLOOKUP('Données projet'!$B$11,Paramètres!$A$1:$I$89,3,0)*0.475*44/12</f>
        <v>7.9174344386403986E-2</v>
      </c>
      <c r="BR168" s="23">
        <f>EXP(-LN(2)/2)*BR167+(1-EXP(-LN(2)/2))/(LN(2)/2)*BL168*BO168*VLOOKUP('Données projet'!$B$11,Paramètres!$A$1:$I$89,3,0)*0.475*44/12</f>
        <v>5.2779727407998016E-18</v>
      </c>
      <c r="BS168" s="24">
        <f t="shared" si="169"/>
        <v>7.6276890497428003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147.72913422715322</v>
      </c>
      <c r="T169" s="62">
        <f t="shared" si="142"/>
        <v>361.07991692964799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>
        <f>AI169*VLOOKUP('Données projet'!$B$10,Paramètres!$A$1:$I$89,3,0)*VLOOKUP('Données projet'!$B$10,Paramètres!$A$1:$I$89,5,0)</f>
        <v>0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151.58413719376074</v>
      </c>
      <c r="AO169" s="62">
        <f t="shared" si="144"/>
        <v>310.105543138185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6.6842200578008208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9.0119204413605074E-19</v>
      </c>
      <c r="AX169" s="23">
        <f t="shared" si="166"/>
        <v>6.6842200578008208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5.6843418860808015E-14</v>
      </c>
      <c r="BE169" s="14">
        <f>BD169*VLOOKUP('Données projet'!$B$11,Paramètres!$A$1:$I$89,3,0)*VLOOKUP('Données projet'!$B$11,Paramètres!$A$1:$I$89,5,0)</f>
        <v>3.3992364478763198E-14</v>
      </c>
      <c r="BF169" s="14">
        <f t="shared" si="167"/>
        <v>5.790027782444094E-13</v>
      </c>
      <c r="BG169" s="22">
        <f t="shared" si="168"/>
        <v>1.0676332069095257E-12</v>
      </c>
      <c r="BH169" s="62">
        <f t="shared" si="116"/>
        <v>293.33333333333439</v>
      </c>
      <c r="BI169" s="62">
        <f ca="1">AVERAGE(OFFSET($BH$3,0,0,'Données projet'!$E$11+1,1))-AVERAGE(OFFSET($H$3,0,0,'Données projet'!$E$11+1,1))</f>
        <v>157.98488572680344</v>
      </c>
      <c r="BJ169" s="62">
        <f t="shared" si="146"/>
        <v>269.20989374735825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7.4004929361237064</v>
      </c>
      <c r="BQ169" s="23">
        <f>EXP(-LN(2)/25)*BQ168+(1-EXP(-LN(2)/25))/(LN(2)/25)*Calculateur!BL169*Calculateur!BN169*VLOOKUP('Données projet'!$B$11,Paramètres!$A$1:$I$89,3,0)*0.475*44/12</f>
        <v>7.7009317775559957E-2</v>
      </c>
      <c r="BR169" s="23">
        <f>EXP(-LN(2)/2)*BR168+(1-EXP(-LN(2)/2))/(LN(2)/2)*BL169*BO169*VLOOKUP('Données projet'!$B$11,Paramètres!$A$1:$I$89,3,0)*0.475*44/12</f>
        <v>3.7320903159372878E-18</v>
      </c>
      <c r="BS169" s="24">
        <f t="shared" si="169"/>
        <v>7.4775022538992664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147.72913422715322</v>
      </c>
      <c r="T170" s="62">
        <f t="shared" si="142"/>
        <v>361.07991692964799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>
        <f>AI170*VLOOKUP('Données projet'!$B$10,Paramètres!$A$1:$I$89,3,0)*VLOOKUP('Données projet'!$B$10,Paramètres!$A$1:$I$89,5,0)</f>
        <v>0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151.58413719376074</v>
      </c>
      <c r="AO170" s="62">
        <f t="shared" si="144"/>
        <v>310.105543138185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6.5531465794390149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6.3723900555996792E-19</v>
      </c>
      <c r="AX170" s="23">
        <f t="shared" si="166"/>
        <v>6.5531465794390149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5.6843418860808015E-14</v>
      </c>
      <c r="BE170" s="14">
        <f>BD170*VLOOKUP('Données projet'!$B$11,Paramètres!$A$1:$I$89,3,0)*VLOOKUP('Données projet'!$B$11,Paramètres!$A$1:$I$89,5,0)</f>
        <v>3.3992364478763198E-14</v>
      </c>
      <c r="BF170" s="14">
        <f t="shared" si="167"/>
        <v>5.790027782444094E-13</v>
      </c>
      <c r="BG170" s="22">
        <f t="shared" si="168"/>
        <v>1.0676332069095257E-12</v>
      </c>
      <c r="BH170" s="62">
        <f t="shared" si="116"/>
        <v>293.33333333333439</v>
      </c>
      <c r="BI170" s="62">
        <f ca="1">AVERAGE(OFFSET($BH$3,0,0,'Données projet'!$E$11+1,1))-AVERAGE(OFFSET($H$3,0,0,'Données projet'!$E$11+1,1))</f>
        <v>157.98488572680344</v>
      </c>
      <c r="BJ170" s="62">
        <f t="shared" si="146"/>
        <v>269.20989374735825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7.2553737835013052</v>
      </c>
      <c r="BQ170" s="23">
        <f>EXP(-LN(2)/25)*BQ169+(1-EXP(-LN(2)/25))/(LN(2)/25)*Calculateur!BL170*Calculateur!BN170*VLOOKUP('Données projet'!$B$11,Paramètres!$A$1:$I$89,3,0)*0.475*44/12</f>
        <v>7.4903493931243251E-2</v>
      </c>
      <c r="BR170" s="23">
        <f>EXP(-LN(2)/2)*BR169+(1-EXP(-LN(2)/2))/(LN(2)/2)*BL170*BO170*VLOOKUP('Données projet'!$B$11,Paramètres!$A$1:$I$89,3,0)*0.475*44/12</f>
        <v>2.6389863703999008E-18</v>
      </c>
      <c r="BS170" s="24">
        <f t="shared" si="169"/>
        <v>7.3302772774325486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147.72913422715322</v>
      </c>
      <c r="T171" s="62">
        <f t="shared" si="142"/>
        <v>361.07991692964799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>
        <f>AI171*VLOOKUP('Données projet'!$B$10,Paramètres!$A$1:$I$89,3,0)*VLOOKUP('Données projet'!$B$10,Paramètres!$A$1:$I$89,5,0)</f>
        <v>0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151.58413719376074</v>
      </c>
      <c r="AO171" s="62">
        <f t="shared" si="144"/>
        <v>310.105543138185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6.4246433720409559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4.5059602206802537E-19</v>
      </c>
      <c r="AX171" s="23">
        <f t="shared" si="166"/>
        <v>6.4246433720409559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5.6843418860808015E-14</v>
      </c>
      <c r="BE171" s="14">
        <f>BD171*VLOOKUP('Données projet'!$B$11,Paramètres!$A$1:$I$89,3,0)*VLOOKUP('Données projet'!$B$11,Paramètres!$A$1:$I$89,5,0)</f>
        <v>3.3992364478763198E-14</v>
      </c>
      <c r="BF171" s="14">
        <f t="shared" si="167"/>
        <v>5.790027782444094E-13</v>
      </c>
      <c r="BG171" s="22">
        <f t="shared" si="168"/>
        <v>1.0676332069095257E-12</v>
      </c>
      <c r="BH171" s="62">
        <f t="shared" si="116"/>
        <v>293.33333333333439</v>
      </c>
      <c r="BI171" s="62">
        <f ca="1">AVERAGE(OFFSET($BH$3,0,0,'Données projet'!$E$11+1,1))-AVERAGE(OFFSET($H$3,0,0,'Données projet'!$E$11+1,1))</f>
        <v>157.98488572680344</v>
      </c>
      <c r="BJ171" s="62">
        <f t="shared" si="146"/>
        <v>269.20989374735825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7.113100328947886</v>
      </c>
      <c r="BQ171" s="23">
        <f>EXP(-LN(2)/25)*BQ170+(1-EXP(-LN(2)/25))/(LN(2)/25)*Calculateur!BL171*Calculateur!BN171*VLOOKUP('Données projet'!$B$11,Paramètres!$A$1:$I$89,3,0)*0.475*44/12</f>
        <v>7.2855253950689855E-2</v>
      </c>
      <c r="BR171" s="23">
        <f>EXP(-LN(2)/2)*BR170+(1-EXP(-LN(2)/2))/(LN(2)/2)*BL171*BO171*VLOOKUP('Données projet'!$B$11,Paramètres!$A$1:$I$89,3,0)*0.475*44/12</f>
        <v>1.8660451579686439E-18</v>
      </c>
      <c r="BS171" s="24">
        <f t="shared" si="169"/>
        <v>7.1859555828985755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147.72913422715322</v>
      </c>
      <c r="T172" s="62">
        <f t="shared" si="142"/>
        <v>361.07991692964799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>
        <f>AI172*VLOOKUP('Données projet'!$B$10,Paramètres!$A$1:$I$89,3,0)*VLOOKUP('Données projet'!$B$10,Paramètres!$A$1:$I$89,5,0)</f>
        <v>0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151.58413719376074</v>
      </c>
      <c r="AO172" s="62">
        <f t="shared" si="144"/>
        <v>310.105543138185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6.2986600341607559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3.1861950277998396E-19</v>
      </c>
      <c r="AX172" s="23">
        <f t="shared" si="166"/>
        <v>6.2986600341607559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5.6843418860808015E-14</v>
      </c>
      <c r="BE172" s="14">
        <f>BD172*VLOOKUP('Données projet'!$B$11,Paramètres!$A$1:$I$89,3,0)*VLOOKUP('Données projet'!$B$11,Paramètres!$A$1:$I$89,5,0)</f>
        <v>3.3992364478763198E-14</v>
      </c>
      <c r="BF172" s="14">
        <f t="shared" si="167"/>
        <v>5.790027782444094E-13</v>
      </c>
      <c r="BG172" s="22">
        <f t="shared" si="168"/>
        <v>1.0676332069095257E-12</v>
      </c>
      <c r="BH172" s="62">
        <f t="shared" si="116"/>
        <v>293.33333333333439</v>
      </c>
      <c r="BI172" s="62">
        <f ca="1">AVERAGE(OFFSET($BH$3,0,0,'Données projet'!$E$11+1,1))-AVERAGE(OFFSET($H$3,0,0,'Données projet'!$E$11+1,1))</f>
        <v>157.98488572680344</v>
      </c>
      <c r="BJ172" s="62">
        <f t="shared" si="146"/>
        <v>269.20989374735825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6.9736167700600209</v>
      </c>
      <c r="BQ172" s="23">
        <f>EXP(-LN(2)/25)*BQ171+(1-EXP(-LN(2)/25))/(LN(2)/25)*Calculateur!BL172*Calculateur!BN172*VLOOKUP('Données projet'!$B$11,Paramètres!$A$1:$I$89,3,0)*0.475*44/12</f>
        <v>7.0863023200116948E-2</v>
      </c>
      <c r="BR172" s="23">
        <f>EXP(-LN(2)/2)*BR171+(1-EXP(-LN(2)/2))/(LN(2)/2)*BL172*BO172*VLOOKUP('Données projet'!$B$11,Paramètres!$A$1:$I$89,3,0)*0.475*44/12</f>
        <v>1.3194931851999504E-18</v>
      </c>
      <c r="BS172" s="24">
        <f t="shared" si="169"/>
        <v>7.0444797932601375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147.72913422715322</v>
      </c>
      <c r="T173" s="62">
        <f t="shared" si="142"/>
        <v>361.07991692964799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>
        <f>AI173*VLOOKUP('Données projet'!$B$10,Paramètres!$A$1:$I$89,3,0)*VLOOKUP('Données projet'!$B$10,Paramètres!$A$1:$I$89,5,0)</f>
        <v>0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151.58413719376074</v>
      </c>
      <c r="AO173" s="62">
        <f t="shared" si="144"/>
        <v>310.105543138185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6.1751471526941382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2.2529801103401269E-19</v>
      </c>
      <c r="AX173" s="23">
        <f t="shared" si="166"/>
        <v>6.1751471526941382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5.6843418860808015E-14</v>
      </c>
      <c r="BE173" s="14">
        <f>BD173*VLOOKUP('Données projet'!$B$11,Paramètres!$A$1:$I$89,3,0)*VLOOKUP('Données projet'!$B$11,Paramètres!$A$1:$I$89,5,0)</f>
        <v>3.3992364478763198E-14</v>
      </c>
      <c r="BF173" s="14">
        <f t="shared" si="167"/>
        <v>5.790027782444094E-13</v>
      </c>
      <c r="BG173" s="22">
        <f t="shared" si="168"/>
        <v>1.0676332069095257E-12</v>
      </c>
      <c r="BH173" s="62">
        <f t="shared" si="116"/>
        <v>293.33333333333439</v>
      </c>
      <c r="BI173" s="62">
        <f ca="1">AVERAGE(OFFSET($BH$3,0,0,'Données projet'!$E$11+1,1))-AVERAGE(OFFSET($H$3,0,0,'Données projet'!$E$11+1,1))</f>
        <v>157.98488572680344</v>
      </c>
      <c r="BJ173" s="62">
        <f t="shared" si="146"/>
        <v>269.20989374735825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6.8368683986853771</v>
      </c>
      <c r="BQ173" s="23">
        <f>EXP(-LN(2)/25)*BQ172+(1-EXP(-LN(2)/25))/(LN(2)/25)*Calculateur!BL173*Calculateur!BN173*VLOOKUP('Données projet'!$B$11,Paramètres!$A$1:$I$89,3,0)*0.475*44/12</f>
        <v>6.8925270104185324E-2</v>
      </c>
      <c r="BR173" s="23">
        <f>EXP(-LN(2)/2)*BR172+(1-EXP(-LN(2)/2))/(LN(2)/2)*BL173*BO173*VLOOKUP('Données projet'!$B$11,Paramètres!$A$1:$I$89,3,0)*0.475*44/12</f>
        <v>9.3302257898432196E-19</v>
      </c>
      <c r="BS173" s="24">
        <f t="shared" si="169"/>
        <v>6.9057936687895625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147.72913422715322</v>
      </c>
      <c r="T174" s="62">
        <f t="shared" si="142"/>
        <v>361.07991692964799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>
        <f>AI174*VLOOKUP('Données projet'!$B$10,Paramètres!$A$1:$I$89,3,0)*VLOOKUP('Données projet'!$B$10,Paramètres!$A$1:$I$89,5,0)</f>
        <v>0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151.58413719376074</v>
      </c>
      <c r="AO174" s="62">
        <f t="shared" si="144"/>
        <v>310.105543138185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6.054056283497661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1.5930975138999198E-19</v>
      </c>
      <c r="AX174" s="23">
        <f t="shared" si="166"/>
        <v>6.054056283497661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5.6843418860808015E-14</v>
      </c>
      <c r="BE174" s="14">
        <f>BD174*VLOOKUP('Données projet'!$B$11,Paramètres!$A$1:$I$89,3,0)*VLOOKUP('Données projet'!$B$11,Paramètres!$A$1:$I$89,5,0)</f>
        <v>3.3992364478763198E-14</v>
      </c>
      <c r="BF174" s="14">
        <f t="shared" si="167"/>
        <v>5.790027782444094E-13</v>
      </c>
      <c r="BG174" s="22">
        <f t="shared" si="168"/>
        <v>1.0676332069095257E-12</v>
      </c>
      <c r="BH174" s="62">
        <f t="shared" si="116"/>
        <v>293.33333333333439</v>
      </c>
      <c r="BI174" s="62">
        <f ca="1">AVERAGE(OFFSET($BH$3,0,0,'Données projet'!$E$11+1,1))-AVERAGE(OFFSET($H$3,0,0,'Données projet'!$E$11+1,1))</f>
        <v>157.98488572680344</v>
      </c>
      <c r="BJ174" s="62">
        <f t="shared" si="146"/>
        <v>269.20989374735825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6.7028015794651195</v>
      </c>
      <c r="BQ174" s="23">
        <f>EXP(-LN(2)/25)*BQ173+(1-EXP(-LN(2)/25))/(LN(2)/25)*Calculateur!BL174*Calculateur!BN174*VLOOKUP('Données projet'!$B$11,Paramètres!$A$1:$I$89,3,0)*0.475*44/12</f>
        <v>6.7040504968563952E-2</v>
      </c>
      <c r="BR174" s="23">
        <f>EXP(-LN(2)/2)*BR173+(1-EXP(-LN(2)/2))/(LN(2)/2)*BL174*BO174*VLOOKUP('Données projet'!$B$11,Paramètres!$A$1:$I$89,3,0)*0.475*44/12</f>
        <v>6.597465925999752E-19</v>
      </c>
      <c r="BS174" s="24">
        <f t="shared" si="169"/>
        <v>6.7698420844336837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147.72913422715322</v>
      </c>
      <c r="T175" s="62">
        <f t="shared" si="142"/>
        <v>361.07991692964799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>
        <f>AI175*VLOOKUP('Données projet'!$B$10,Paramètres!$A$1:$I$89,3,0)*VLOOKUP('Données projet'!$B$10,Paramètres!$A$1:$I$89,5,0)</f>
        <v>0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151.58413719376074</v>
      </c>
      <c r="AO175" s="62">
        <f t="shared" si="144"/>
        <v>310.105543138185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5.9353399323879898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1.1264900551700634E-19</v>
      </c>
      <c r="AX175" s="23">
        <f t="shared" si="166"/>
        <v>5.9353399323879898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5.6843418860808015E-14</v>
      </c>
      <c r="BE175" s="14">
        <f>BD175*VLOOKUP('Données projet'!$B$11,Paramètres!$A$1:$I$89,3,0)*VLOOKUP('Données projet'!$B$11,Paramètres!$A$1:$I$89,5,0)</f>
        <v>3.3992364478763198E-14</v>
      </c>
      <c r="BF175" s="14">
        <f t="shared" si="167"/>
        <v>5.790027782444094E-13</v>
      </c>
      <c r="BG175" s="22">
        <f t="shared" si="168"/>
        <v>1.0676332069095257E-12</v>
      </c>
      <c r="BH175" s="62">
        <f t="shared" si="116"/>
        <v>293.33333333333439</v>
      </c>
      <c r="BI175" s="62">
        <f ca="1">AVERAGE(OFFSET($BH$3,0,0,'Données projet'!$E$11+1,1))-AVERAGE(OFFSET($H$3,0,0,'Données projet'!$E$11+1,1))</f>
        <v>157.98488572680344</v>
      </c>
      <c r="BJ175" s="62">
        <f t="shared" si="146"/>
        <v>269.20989374735825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6.5713637287970856</v>
      </c>
      <c r="BQ175" s="23">
        <f>EXP(-LN(2)/25)*BQ174+(1-EXP(-LN(2)/25))/(LN(2)/25)*Calculateur!BL175*Calculateur!BN175*VLOOKUP('Données projet'!$B$11,Paramètres!$A$1:$I$89,3,0)*0.475*44/12</f>
        <v>6.5207278834691643E-2</v>
      </c>
      <c r="BR175" s="23">
        <f>EXP(-LN(2)/2)*BR174+(1-EXP(-LN(2)/2))/(LN(2)/2)*BL175*BO175*VLOOKUP('Données projet'!$B$11,Paramètres!$A$1:$I$89,3,0)*0.475*44/12</f>
        <v>4.6651128949216098E-19</v>
      </c>
      <c r="BS175" s="24">
        <f t="shared" si="169"/>
        <v>6.636571007631777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147.72913422715322</v>
      </c>
      <c r="T176" s="62">
        <f t="shared" si="142"/>
        <v>361.07991692964799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>
        <f>AI176*VLOOKUP('Données projet'!$B$10,Paramètres!$A$1:$I$89,3,0)*VLOOKUP('Données projet'!$B$10,Paramètres!$A$1:$I$89,5,0)</f>
        <v>0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151.58413719376074</v>
      </c>
      <c r="AO176" s="62">
        <f t="shared" si="144"/>
        <v>310.105543138185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5.8189515365137554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7.965487569499599E-20</v>
      </c>
      <c r="AX176" s="23">
        <f t="shared" si="166"/>
        <v>5.8189515365137554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5.6843418860808015E-14</v>
      </c>
      <c r="BE176" s="14">
        <f>BD176*VLOOKUP('Données projet'!$B$11,Paramètres!$A$1:$I$89,3,0)*VLOOKUP('Données projet'!$B$11,Paramètres!$A$1:$I$89,5,0)</f>
        <v>3.3992364478763198E-14</v>
      </c>
      <c r="BF176" s="14">
        <f t="shared" si="167"/>
        <v>5.790027782444094E-13</v>
      </c>
      <c r="BG176" s="22">
        <f t="shared" si="168"/>
        <v>1.0676332069095257E-12</v>
      </c>
      <c r="BH176" s="62">
        <f t="shared" si="116"/>
        <v>293.33333333333439</v>
      </c>
      <c r="BI176" s="62">
        <f ca="1">AVERAGE(OFFSET($BH$3,0,0,'Données projet'!$E$11+1,1))-AVERAGE(OFFSET($H$3,0,0,'Données projet'!$E$11+1,1))</f>
        <v>157.98488572680344</v>
      </c>
      <c r="BJ176" s="62">
        <f t="shared" si="146"/>
        <v>269.20989374735825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6.4425032942114786</v>
      </c>
      <c r="BQ176" s="23">
        <f>EXP(-LN(2)/25)*BQ175+(1-EXP(-LN(2)/25))/(LN(2)/25)*Calculateur!BL176*Calculateur!BN176*VLOOKUP('Données projet'!$B$11,Paramètres!$A$1:$I$89,3,0)*0.475*44/12</f>
        <v>6.3424182365855244E-2</v>
      </c>
      <c r="BR176" s="23">
        <f>EXP(-LN(2)/2)*BR175+(1-EXP(-LN(2)/2))/(LN(2)/2)*BL176*BO176*VLOOKUP('Données projet'!$B$11,Paramètres!$A$1:$I$89,3,0)*0.475*44/12</f>
        <v>3.298732962999876E-19</v>
      </c>
      <c r="BS176" s="24">
        <f t="shared" si="169"/>
        <v>6.5059274765773338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147.72913422715322</v>
      </c>
      <c r="T177" s="62">
        <f t="shared" si="142"/>
        <v>361.07991692964799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>
        <f>AI177*VLOOKUP('Données projet'!$B$10,Paramètres!$A$1:$I$89,3,0)*VLOOKUP('Données projet'!$B$10,Paramètres!$A$1:$I$89,5,0)</f>
        <v>0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151.58413719376074</v>
      </c>
      <c r="AO177" s="62">
        <f t="shared" si="144"/>
        <v>310.105543138185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5.7048454460927029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5.6324502758503171E-20</v>
      </c>
      <c r="AX177" s="23">
        <f t="shared" si="166"/>
        <v>5.7048454460927029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5.6843418860808015E-14</v>
      </c>
      <c r="BE177" s="14">
        <f>BD177*VLOOKUP('Données projet'!$B$11,Paramètres!$A$1:$I$89,3,0)*VLOOKUP('Données projet'!$B$11,Paramètres!$A$1:$I$89,5,0)</f>
        <v>3.3992364478763198E-14</v>
      </c>
      <c r="BF177" s="14">
        <f t="shared" si="167"/>
        <v>5.790027782444094E-13</v>
      </c>
      <c r="BG177" s="22">
        <f t="shared" si="168"/>
        <v>1.0676332069095257E-12</v>
      </c>
      <c r="BH177" s="62">
        <f t="shared" si="116"/>
        <v>293.33333333333439</v>
      </c>
      <c r="BI177" s="62">
        <f ca="1">AVERAGE(OFFSET($BH$3,0,0,'Données projet'!$E$11+1,1))-AVERAGE(OFFSET($H$3,0,0,'Données projet'!$E$11+1,1))</f>
        <v>157.98488572680344</v>
      </c>
      <c r="BJ177" s="62">
        <f t="shared" si="146"/>
        <v>269.20989374735825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6.316169734150991</v>
      </c>
      <c r="BQ177" s="23">
        <f>EXP(-LN(2)/25)*BQ176+(1-EXP(-LN(2)/25))/(LN(2)/25)*Calculateur!BL177*Calculateur!BN177*VLOOKUP('Données projet'!$B$11,Paramètres!$A$1:$I$89,3,0)*0.475*44/12</f>
        <v>6.1689844763728137E-2</v>
      </c>
      <c r="BR177" s="23">
        <f>EXP(-LN(2)/2)*BR176+(1-EXP(-LN(2)/2))/(LN(2)/2)*BL177*BO177*VLOOKUP('Données projet'!$B$11,Paramètres!$A$1:$I$89,3,0)*0.475*44/12</f>
        <v>2.3325564474608049E-19</v>
      </c>
      <c r="BS177" s="24">
        <f t="shared" si="169"/>
        <v>6.3778595789147188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147.72913422715322</v>
      </c>
      <c r="T178" s="62">
        <f t="shared" si="142"/>
        <v>361.07991692964799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>
        <f>AI178*VLOOKUP('Données projet'!$B$10,Paramètres!$A$1:$I$89,3,0)*VLOOKUP('Données projet'!$B$10,Paramètres!$A$1:$I$89,5,0)</f>
        <v>0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151.58413719376074</v>
      </c>
      <c r="AO178" s="62">
        <f t="shared" si="144"/>
        <v>310.105543138185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5.5929769065069639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3.9827437847497995E-20</v>
      </c>
      <c r="AX178" s="23">
        <f t="shared" si="166"/>
        <v>5.5929769065069639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5.6843418860808015E-14</v>
      </c>
      <c r="BE178" s="14">
        <f>BD178*VLOOKUP('Données projet'!$B$11,Paramètres!$A$1:$I$89,3,0)*VLOOKUP('Données projet'!$B$11,Paramètres!$A$1:$I$89,5,0)</f>
        <v>3.3992364478763198E-14</v>
      </c>
      <c r="BF178" s="14">
        <f t="shared" si="167"/>
        <v>5.790027782444094E-13</v>
      </c>
      <c r="BG178" s="22">
        <f t="shared" si="168"/>
        <v>1.0676332069095257E-12</v>
      </c>
      <c r="BH178" s="62">
        <f t="shared" si="116"/>
        <v>293.33333333333439</v>
      </c>
      <c r="BI178" s="62">
        <f ca="1">AVERAGE(OFFSET($BH$3,0,0,'Données projet'!$E$11+1,1))-AVERAGE(OFFSET($H$3,0,0,'Données projet'!$E$11+1,1))</f>
        <v>157.98488572680344</v>
      </c>
      <c r="BJ178" s="62">
        <f t="shared" si="146"/>
        <v>269.20989374735825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6.1923134981474268</v>
      </c>
      <c r="BQ178" s="23">
        <f>EXP(-LN(2)/25)*BQ177+(1-EXP(-LN(2)/25))/(LN(2)/25)*Calculateur!BL178*Calculateur!BN178*VLOOKUP('Données projet'!$B$11,Paramètres!$A$1:$I$89,3,0)*0.475*44/12</f>
        <v>6.000293271453605E-2</v>
      </c>
      <c r="BR178" s="23">
        <f>EXP(-LN(2)/2)*BR177+(1-EXP(-LN(2)/2))/(LN(2)/2)*BL178*BO178*VLOOKUP('Données projet'!$B$11,Paramètres!$A$1:$I$89,3,0)*0.475*44/12</f>
        <v>1.649366481499938E-19</v>
      </c>
      <c r="BS178" s="24">
        <f t="shared" si="169"/>
        <v>6.2523164308619625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147.72913422715322</v>
      </c>
      <c r="T179" s="62">
        <f t="shared" si="142"/>
        <v>361.07991692964799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>
        <f>AI179*VLOOKUP('Données projet'!$B$10,Paramètres!$A$1:$I$89,3,0)*VLOOKUP('Données projet'!$B$10,Paramètres!$A$1:$I$89,5,0)</f>
        <v>0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151.58413719376074</v>
      </c>
      <c r="AO179" s="62">
        <f t="shared" si="144"/>
        <v>310.105543138185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5.4833020407494297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2.8162251379251586E-20</v>
      </c>
      <c r="AX179" s="23">
        <f t="shared" si="166"/>
        <v>5.4833020407494297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5.6843418860808015E-14</v>
      </c>
      <c r="BE179" s="14">
        <f>BD179*VLOOKUP('Données projet'!$B$11,Paramètres!$A$1:$I$89,3,0)*VLOOKUP('Données projet'!$B$11,Paramètres!$A$1:$I$89,5,0)</f>
        <v>3.3992364478763198E-14</v>
      </c>
      <c r="BF179" s="14">
        <f t="shared" si="167"/>
        <v>5.790027782444094E-13</v>
      </c>
      <c r="BG179" s="22">
        <f t="shared" si="168"/>
        <v>1.0676332069095257E-12</v>
      </c>
      <c r="BH179" s="62">
        <f t="shared" si="116"/>
        <v>293.33333333333439</v>
      </c>
      <c r="BI179" s="62">
        <f ca="1">AVERAGE(OFFSET($BH$3,0,0,'Données projet'!$E$11+1,1))-AVERAGE(OFFSET($H$3,0,0,'Données projet'!$E$11+1,1))</f>
        <v>157.98488572680344</v>
      </c>
      <c r="BJ179" s="62">
        <f t="shared" si="146"/>
        <v>269.20989374735825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6.0708860073870481</v>
      </c>
      <c r="BQ179" s="23">
        <f>EXP(-LN(2)/25)*BQ178+(1-EXP(-LN(2)/25))/(LN(2)/25)*Calculateur!BL179*Calculateur!BN179*VLOOKUP('Données projet'!$B$11,Paramètres!$A$1:$I$89,3,0)*0.475*44/12</f>
        <v>5.8362149364039967E-2</v>
      </c>
      <c r="BR179" s="23">
        <f>EXP(-LN(2)/2)*BR178+(1-EXP(-LN(2)/2))/(LN(2)/2)*BL179*BO179*VLOOKUP('Données projet'!$B$11,Paramètres!$A$1:$I$89,3,0)*0.475*44/12</f>
        <v>1.1662782237304025E-19</v>
      </c>
      <c r="BS179" s="24">
        <f t="shared" si="169"/>
        <v>6.1292481567510881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147.72913422715322</v>
      </c>
      <c r="T180" s="62">
        <f t="shared" si="142"/>
        <v>361.07991692964799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>
        <f>AI180*VLOOKUP('Données projet'!$B$10,Paramètres!$A$1:$I$89,3,0)*VLOOKUP('Données projet'!$B$10,Paramètres!$A$1:$I$89,5,0)</f>
        <v>0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151.58413719376074</v>
      </c>
      <c r="AO180" s="62">
        <f t="shared" si="144"/>
        <v>310.105543138185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5.3757778322143377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1.9913718923748998E-20</v>
      </c>
      <c r="AX180" s="23">
        <f t="shared" si="166"/>
        <v>5.3757778322143377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5.6843418860808015E-14</v>
      </c>
      <c r="BE180" s="14">
        <f>BD180*VLOOKUP('Données projet'!$B$11,Paramètres!$A$1:$I$89,3,0)*VLOOKUP('Données projet'!$B$11,Paramètres!$A$1:$I$89,5,0)</f>
        <v>3.3992364478763198E-14</v>
      </c>
      <c r="BF180" s="14">
        <f t="shared" si="167"/>
        <v>5.790027782444094E-13</v>
      </c>
      <c r="BG180" s="22">
        <f t="shared" si="168"/>
        <v>1.0676332069095257E-12</v>
      </c>
      <c r="BH180" s="62">
        <f t="shared" si="116"/>
        <v>293.33333333333439</v>
      </c>
      <c r="BI180" s="62">
        <f ca="1">AVERAGE(OFFSET($BH$3,0,0,'Données projet'!$E$11+1,1))-AVERAGE(OFFSET($H$3,0,0,'Données projet'!$E$11+1,1))</f>
        <v>157.98488572680344</v>
      </c>
      <c r="BJ180" s="62">
        <f t="shared" si="146"/>
        <v>269.20989374735825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5.9518396356570245</v>
      </c>
      <c r="BQ180" s="23">
        <f>EXP(-LN(2)/25)*BQ179+(1-EXP(-LN(2)/25))/(LN(2)/25)*Calculateur!BL180*Calculateur!BN180*VLOOKUP('Données projet'!$B$11,Paramètres!$A$1:$I$89,3,0)*0.475*44/12</f>
        <v>5.6766233320548247E-2</v>
      </c>
      <c r="BR180" s="23">
        <f>EXP(-LN(2)/2)*BR179+(1-EXP(-LN(2)/2))/(LN(2)/2)*BL180*BO180*VLOOKUP('Données projet'!$B$11,Paramètres!$A$1:$I$89,3,0)*0.475*44/12</f>
        <v>8.24683240749969E-20</v>
      </c>
      <c r="BS180" s="24">
        <f t="shared" si="169"/>
        <v>6.0086058689775728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147.72913422715322</v>
      </c>
      <c r="T181" s="62">
        <f t="shared" si="142"/>
        <v>361.07991692964799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>
        <f>AI181*VLOOKUP('Données projet'!$B$10,Paramètres!$A$1:$I$89,3,0)*VLOOKUP('Données projet'!$B$10,Paramètres!$A$1:$I$89,5,0)</f>
        <v>0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151.58413719376074</v>
      </c>
      <c r="AO181" s="62">
        <f t="shared" si="144"/>
        <v>310.105543138185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5.2703621078253278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1.4081125689625793E-20</v>
      </c>
      <c r="AX181" s="23">
        <f t="shared" si="166"/>
        <v>5.2703621078253278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5.6843418860808015E-14</v>
      </c>
      <c r="BE181" s="14">
        <f>BD181*VLOOKUP('Données projet'!$B$11,Paramètres!$A$1:$I$89,3,0)*VLOOKUP('Données projet'!$B$11,Paramètres!$A$1:$I$89,5,0)</f>
        <v>3.3992364478763198E-14</v>
      </c>
      <c r="BF181" s="14">
        <f t="shared" si="167"/>
        <v>5.790027782444094E-13</v>
      </c>
      <c r="BG181" s="22">
        <f t="shared" si="168"/>
        <v>1.0676332069095257E-12</v>
      </c>
      <c r="BH181" s="62">
        <f t="shared" si="116"/>
        <v>293.33333333333439</v>
      </c>
      <c r="BI181" s="62">
        <f ca="1">AVERAGE(OFFSET($BH$3,0,0,'Données projet'!$E$11+1,1))-AVERAGE(OFFSET($H$3,0,0,'Données projet'!$E$11+1,1))</f>
        <v>157.98488572680344</v>
      </c>
      <c r="BJ181" s="62">
        <f t="shared" si="146"/>
        <v>269.20989374735825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5.8351276906655096</v>
      </c>
      <c r="BQ181" s="23">
        <f>EXP(-LN(2)/25)*BQ180+(1-EXP(-LN(2)/25))/(LN(2)/25)*Calculateur!BL181*Calculateur!BN181*VLOOKUP('Données projet'!$B$11,Paramètres!$A$1:$I$89,3,0)*0.475*44/12</f>
        <v>5.5213957685191384E-2</v>
      </c>
      <c r="BR181" s="23">
        <f>EXP(-LN(2)/2)*BR180+(1-EXP(-LN(2)/2))/(LN(2)/2)*BL181*BO181*VLOOKUP('Données projet'!$B$11,Paramètres!$A$1:$I$89,3,0)*0.475*44/12</f>
        <v>5.8313911186520123E-20</v>
      </c>
      <c r="BS181" s="24">
        <f t="shared" si="169"/>
        <v>5.8903416483507014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147.72913422715322</v>
      </c>
      <c r="T182" s="62">
        <f t="shared" si="142"/>
        <v>361.07991692964799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>
        <f>AI182*VLOOKUP('Données projet'!$B$10,Paramètres!$A$1:$I$89,3,0)*VLOOKUP('Données projet'!$B$10,Paramètres!$A$1:$I$89,5,0)</f>
        <v>0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151.58413719376074</v>
      </c>
      <c r="AO182" s="62">
        <f t="shared" si="144"/>
        <v>310.105543138185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5.1670135214943436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9.9568594618744988E-21</v>
      </c>
      <c r="AX182" s="23">
        <f t="shared" si="166"/>
        <v>5.1670135214943436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5.6843418860808015E-14</v>
      </c>
      <c r="BE182" s="14">
        <f>BD182*VLOOKUP('Données projet'!$B$11,Paramètres!$A$1:$I$89,3,0)*VLOOKUP('Données projet'!$B$11,Paramètres!$A$1:$I$89,5,0)</f>
        <v>3.3992364478763198E-14</v>
      </c>
      <c r="BF182" s="14">
        <f t="shared" si="167"/>
        <v>5.790027782444094E-13</v>
      </c>
      <c r="BG182" s="22">
        <f t="shared" si="168"/>
        <v>1.0676332069095257E-12</v>
      </c>
      <c r="BH182" s="62">
        <f t="shared" si="116"/>
        <v>293.33333333333439</v>
      </c>
      <c r="BI182" s="62">
        <f ca="1">AVERAGE(OFFSET($BH$3,0,0,'Données projet'!$E$11+1,1))-AVERAGE(OFFSET($H$3,0,0,'Données projet'!$E$11+1,1))</f>
        <v>157.98488572680344</v>
      </c>
      <c r="BJ182" s="62">
        <f t="shared" si="146"/>
        <v>269.20989374735825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5.7207043957280206</v>
      </c>
      <c r="BQ182" s="23">
        <f>EXP(-LN(2)/25)*BQ181+(1-EXP(-LN(2)/25))/(LN(2)/25)*Calculateur!BL182*Calculateur!BN182*VLOOKUP('Données projet'!$B$11,Paramètres!$A$1:$I$89,3,0)*0.475*44/12</f>
        <v>5.3704129108713985E-2</v>
      </c>
      <c r="BR182" s="23">
        <f>EXP(-LN(2)/2)*BR181+(1-EXP(-LN(2)/2))/(LN(2)/2)*BL182*BO182*VLOOKUP('Données projet'!$B$11,Paramètres!$A$1:$I$89,3,0)*0.475*44/12</f>
        <v>4.123416203749845E-20</v>
      </c>
      <c r="BS182" s="24">
        <f t="shared" si="169"/>
        <v>5.7744085248367343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147.72913422715322</v>
      </c>
      <c r="T183" s="62">
        <f t="shared" si="142"/>
        <v>361.07991692964799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>
        <f>AI183*VLOOKUP('Données projet'!$B$10,Paramètres!$A$1:$I$89,3,0)*VLOOKUP('Données projet'!$B$10,Paramètres!$A$1:$I$89,5,0)</f>
        <v>0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151.58413719376074</v>
      </c>
      <c r="AO183" s="62">
        <f t="shared" si="144"/>
        <v>310.105543138185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5.0656915379048959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7.0405628448128964E-21</v>
      </c>
      <c r="AX183" s="23">
        <f t="shared" si="166"/>
        <v>5.0656915379048959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5.6843418860808015E-14</v>
      </c>
      <c r="BE183" s="14">
        <f>BD183*VLOOKUP('Données projet'!$B$11,Paramètres!$A$1:$I$89,3,0)*VLOOKUP('Données projet'!$B$11,Paramètres!$A$1:$I$89,5,0)</f>
        <v>3.3992364478763198E-14</v>
      </c>
      <c r="BF183" s="14">
        <f t="shared" si="167"/>
        <v>5.790027782444094E-13</v>
      </c>
      <c r="BG183" s="22">
        <f t="shared" si="168"/>
        <v>1.0676332069095257E-12</v>
      </c>
      <c r="BH183" s="62">
        <f t="shared" si="116"/>
        <v>293.33333333333439</v>
      </c>
      <c r="BI183" s="62">
        <f ca="1">AVERAGE(OFFSET($BH$3,0,0,'Données projet'!$E$11+1,1))-AVERAGE(OFFSET($H$3,0,0,'Données projet'!$E$11+1,1))</f>
        <v>157.98488572680344</v>
      </c>
      <c r="BJ183" s="62">
        <f t="shared" si="146"/>
        <v>269.20989374735825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5.6085248718129375</v>
      </c>
      <c r="BQ183" s="23">
        <f>EXP(-LN(2)/25)*BQ182+(1-EXP(-LN(2)/25))/(LN(2)/25)*Calculateur!BL183*Calculateur!BN183*VLOOKUP('Données projet'!$B$11,Paramètres!$A$1:$I$89,3,0)*0.475*44/12</f>
        <v>5.2235586874058791E-2</v>
      </c>
      <c r="BR183" s="23">
        <f>EXP(-LN(2)/2)*BR182+(1-EXP(-LN(2)/2))/(LN(2)/2)*BL183*BO183*VLOOKUP('Données projet'!$B$11,Paramètres!$A$1:$I$89,3,0)*0.475*44/12</f>
        <v>2.9156955593260061E-20</v>
      </c>
      <c r="BS183" s="24">
        <f t="shared" si="169"/>
        <v>5.6607604586869966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147.72913422715322</v>
      </c>
      <c r="T184" s="62">
        <f t="shared" si="142"/>
        <v>361.07991692964799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>
        <f>AI184*VLOOKUP('Données projet'!$B$10,Paramètres!$A$1:$I$89,3,0)*VLOOKUP('Données projet'!$B$10,Paramètres!$A$1:$I$89,5,0)</f>
        <v>0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151.58413719376074</v>
      </c>
      <c r="AO184" s="62">
        <f t="shared" si="144"/>
        <v>310.105543138185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4.9663564166133298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4.9784297309372494E-21</v>
      </c>
      <c r="AX184" s="23">
        <f t="shared" si="166"/>
        <v>4.9663564166133298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5.6843418860808015E-14</v>
      </c>
      <c r="BE184" s="14">
        <f>BD184*VLOOKUP('Données projet'!$B$11,Paramètres!$A$1:$I$89,3,0)*VLOOKUP('Données projet'!$B$11,Paramètres!$A$1:$I$89,5,0)</f>
        <v>3.3992364478763198E-14</v>
      </c>
      <c r="BF184" s="14">
        <f t="shared" si="167"/>
        <v>5.790027782444094E-13</v>
      </c>
      <c r="BG184" s="22">
        <f t="shared" si="168"/>
        <v>1.0676332069095257E-12</v>
      </c>
      <c r="BH184" s="62">
        <f t="shared" si="116"/>
        <v>293.33333333333439</v>
      </c>
      <c r="BI184" s="62">
        <f ca="1">AVERAGE(OFFSET($BH$3,0,0,'Données projet'!$E$11+1,1))-AVERAGE(OFFSET($H$3,0,0,'Données projet'!$E$11+1,1))</f>
        <v>157.98488572680344</v>
      </c>
      <c r="BJ184" s="62">
        <f t="shared" si="146"/>
        <v>269.20989374735825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5.4985451199390756</v>
      </c>
      <c r="BQ184" s="23">
        <f>EXP(-LN(2)/25)*BQ183+(1-EXP(-LN(2)/25))/(LN(2)/25)*Calculateur!BL184*Calculateur!BN184*VLOOKUP('Données projet'!$B$11,Paramètres!$A$1:$I$89,3,0)*0.475*44/12</f>
        <v>5.0807202004037523E-2</v>
      </c>
      <c r="BR184" s="23">
        <f>EXP(-LN(2)/2)*BR183+(1-EXP(-LN(2)/2))/(LN(2)/2)*BL184*BO184*VLOOKUP('Données projet'!$B$11,Paramètres!$A$1:$I$89,3,0)*0.475*44/12</f>
        <v>2.0617081018749225E-20</v>
      </c>
      <c r="BS184" s="24">
        <f t="shared" si="169"/>
        <v>5.5493523219431129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147.72913422715322</v>
      </c>
      <c r="T185" s="62">
        <f t="shared" si="142"/>
        <v>361.07991692964799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>
        <f>AI185*VLOOKUP('Données projet'!$B$10,Paramètres!$A$1:$I$89,3,0)*VLOOKUP('Données projet'!$B$10,Paramètres!$A$1:$I$89,5,0)</f>
        <v>0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151.58413719376074</v>
      </c>
      <c r="AO185" s="62">
        <f t="shared" si="144"/>
        <v>310.105543138185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4.8689691964618502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3.5202814224064482E-21</v>
      </c>
      <c r="AX185" s="23">
        <f t="shared" si="166"/>
        <v>4.8689691964618502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5.6843418860808015E-14</v>
      </c>
      <c r="BE185" s="14">
        <f>BD185*VLOOKUP('Données projet'!$B$11,Paramètres!$A$1:$I$89,3,0)*VLOOKUP('Données projet'!$B$11,Paramètres!$A$1:$I$89,5,0)</f>
        <v>3.3992364478763198E-14</v>
      </c>
      <c r="BF185" s="14">
        <f t="shared" si="167"/>
        <v>5.790027782444094E-13</v>
      </c>
      <c r="BG185" s="22">
        <f t="shared" si="168"/>
        <v>1.0676332069095257E-12</v>
      </c>
      <c r="BH185" s="62">
        <f t="shared" si="116"/>
        <v>293.33333333333439</v>
      </c>
      <c r="BI185" s="62">
        <f ca="1">AVERAGE(OFFSET($BH$3,0,0,'Données projet'!$E$11+1,1))-AVERAGE(OFFSET($H$3,0,0,'Données projet'!$E$11+1,1))</f>
        <v>157.98488572680344</v>
      </c>
      <c r="BJ185" s="62">
        <f t="shared" si="146"/>
        <v>269.20989374735825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5.3907220039184347</v>
      </c>
      <c r="BQ185" s="23">
        <f>EXP(-LN(2)/25)*BQ184+(1-EXP(-LN(2)/25))/(LN(2)/25)*Calculateur!BL185*Calculateur!BN185*VLOOKUP('Données projet'!$B$11,Paramètres!$A$1:$I$89,3,0)*0.475*44/12</f>
        <v>4.9417876393402484E-2</v>
      </c>
      <c r="BR185" s="23">
        <f>EXP(-LN(2)/2)*BR184+(1-EXP(-LN(2)/2))/(LN(2)/2)*BL185*BO185*VLOOKUP('Données projet'!$B$11,Paramètres!$A$1:$I$89,3,0)*0.475*44/12</f>
        <v>1.4578477796630031E-20</v>
      </c>
      <c r="BS185" s="24">
        <f t="shared" si="169"/>
        <v>5.440139880311837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147.72913422715322</v>
      </c>
      <c r="T186" s="62">
        <f t="shared" si="142"/>
        <v>361.07991692964799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>
        <f>AI186*VLOOKUP('Données projet'!$B$10,Paramètres!$A$1:$I$89,3,0)*VLOOKUP('Données projet'!$B$10,Paramètres!$A$1:$I$89,5,0)</f>
        <v>0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151.58413719376074</v>
      </c>
      <c r="AO186" s="62">
        <f t="shared" si="144"/>
        <v>310.105543138185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4.7734916802972016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2.4892148654686247E-21</v>
      </c>
      <c r="AX186" s="23">
        <f t="shared" si="166"/>
        <v>4.7734916802972016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5.6843418860808015E-14</v>
      </c>
      <c r="BE186" s="14">
        <f>BD186*VLOOKUP('Données projet'!$B$11,Paramètres!$A$1:$I$89,3,0)*VLOOKUP('Données projet'!$B$11,Paramètres!$A$1:$I$89,5,0)</f>
        <v>3.3992364478763198E-14</v>
      </c>
      <c r="BF186" s="14">
        <f t="shared" si="167"/>
        <v>5.790027782444094E-13</v>
      </c>
      <c r="BG186" s="22">
        <f t="shared" si="168"/>
        <v>1.0676332069095257E-12</v>
      </c>
      <c r="BH186" s="62">
        <f t="shared" si="116"/>
        <v>293.33333333333439</v>
      </c>
      <c r="BI186" s="62">
        <f ca="1">AVERAGE(OFFSET($BH$3,0,0,'Données projet'!$E$11+1,1))-AVERAGE(OFFSET($H$3,0,0,'Données projet'!$E$11+1,1))</f>
        <v>157.98488572680344</v>
      </c>
      <c r="BJ186" s="62">
        <f t="shared" si="146"/>
        <v>269.20989374735825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5.2850132334373523</v>
      </c>
      <c r="BQ186" s="23">
        <f>EXP(-LN(2)/25)*BQ185+(1-EXP(-LN(2)/25))/(LN(2)/25)*Calculateur!BL186*Calculateur!BN186*VLOOKUP('Données projet'!$B$11,Paramètres!$A$1:$I$89,3,0)*0.475*44/12</f>
        <v>4.8066541964651717E-2</v>
      </c>
      <c r="BR186" s="23">
        <f>EXP(-LN(2)/2)*BR185+(1-EXP(-LN(2)/2))/(LN(2)/2)*BL186*BO186*VLOOKUP('Données projet'!$B$11,Paramètres!$A$1:$I$89,3,0)*0.475*44/12</f>
        <v>1.0308540509374613E-20</v>
      </c>
      <c r="BS186" s="24">
        <f t="shared" si="169"/>
        <v>5.3330797754020036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147.72913422715322</v>
      </c>
      <c r="T187" s="62">
        <f t="shared" si="142"/>
        <v>361.07991692964799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>
        <f>AI187*VLOOKUP('Données projet'!$B$10,Paramètres!$A$1:$I$89,3,0)*VLOOKUP('Données projet'!$B$10,Paramètres!$A$1:$I$89,5,0)</f>
        <v>0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151.58413719376074</v>
      </c>
      <c r="AO187" s="62">
        <f t="shared" si="144"/>
        <v>310.105543138185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4.6798864199890078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1.7601407112032241E-21</v>
      </c>
      <c r="AX187" s="23">
        <f t="shared" si="166"/>
        <v>4.6798864199890078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5.6843418860808015E-14</v>
      </c>
      <c r="BE187" s="14">
        <f>BD187*VLOOKUP('Données projet'!$B$11,Paramètres!$A$1:$I$89,3,0)*VLOOKUP('Données projet'!$B$11,Paramètres!$A$1:$I$89,5,0)</f>
        <v>3.3992364478763198E-14</v>
      </c>
      <c r="BF187" s="14">
        <f t="shared" si="167"/>
        <v>5.790027782444094E-13</v>
      </c>
      <c r="BG187" s="22">
        <f t="shared" si="168"/>
        <v>1.0676332069095257E-12</v>
      </c>
      <c r="BH187" s="62">
        <f t="shared" si="116"/>
        <v>293.33333333333439</v>
      </c>
      <c r="BI187" s="62">
        <f ca="1">AVERAGE(OFFSET($BH$3,0,0,'Données projet'!$E$11+1,1))-AVERAGE(OFFSET($H$3,0,0,'Données projet'!$E$11+1,1))</f>
        <v>157.98488572680344</v>
      </c>
      <c r="BJ187" s="62">
        <f t="shared" si="146"/>
        <v>269.20989374735825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5.1813773474694198</v>
      </c>
      <c r="BQ187" s="23">
        <f>EXP(-LN(2)/25)*BQ186+(1-EXP(-LN(2)/25))/(LN(2)/25)*Calculateur!BL187*Calculateur!BN187*VLOOKUP('Données projet'!$B$11,Paramètres!$A$1:$I$89,3,0)*0.475*44/12</f>
        <v>4.6752159846918731E-2</v>
      </c>
      <c r="BR187" s="23">
        <f>EXP(-LN(2)/2)*BR186+(1-EXP(-LN(2)/2))/(LN(2)/2)*BL187*BO187*VLOOKUP('Données projet'!$B$11,Paramètres!$A$1:$I$89,3,0)*0.475*44/12</f>
        <v>7.2892388983150153E-21</v>
      </c>
      <c r="BS187" s="24">
        <f t="shared" si="169"/>
        <v>5.2281295073163383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147.72913422715322</v>
      </c>
      <c r="T188" s="62">
        <f t="shared" si="142"/>
        <v>361.07991692964799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>
        <f>AI188*VLOOKUP('Données projet'!$B$10,Paramètres!$A$1:$I$89,3,0)*VLOOKUP('Données projet'!$B$10,Paramètres!$A$1:$I$89,5,0)</f>
        <v>0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151.58413719376074</v>
      </c>
      <c r="AO188" s="62">
        <f t="shared" si="144"/>
        <v>310.105543138185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4.5881167017418862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1.2446074327343123E-21</v>
      </c>
      <c r="AX188" s="23">
        <f t="shared" si="166"/>
        <v>4.5881167017418862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5.6843418860808015E-14</v>
      </c>
      <c r="BE188" s="14">
        <f>BD188*VLOOKUP('Données projet'!$B$11,Paramètres!$A$1:$I$89,3,0)*VLOOKUP('Données projet'!$B$11,Paramètres!$A$1:$I$89,5,0)</f>
        <v>3.3992364478763198E-14</v>
      </c>
      <c r="BF188" s="14">
        <f t="shared" si="167"/>
        <v>5.790027782444094E-13</v>
      </c>
      <c r="BG188" s="22">
        <f t="shared" si="168"/>
        <v>1.0676332069095257E-12</v>
      </c>
      <c r="BH188" s="62">
        <f t="shared" si="116"/>
        <v>293.33333333333439</v>
      </c>
      <c r="BI188" s="62">
        <f ca="1">AVERAGE(OFFSET($BH$3,0,0,'Données projet'!$E$11+1,1))-AVERAGE(OFFSET($H$3,0,0,'Données projet'!$E$11+1,1))</f>
        <v>157.98488572680344</v>
      </c>
      <c r="BJ188" s="62">
        <f t="shared" si="146"/>
        <v>269.20989374735825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5.0797736980136703</v>
      </c>
      <c r="BQ188" s="23">
        <f>EXP(-LN(2)/25)*BQ187+(1-EXP(-LN(2)/25))/(LN(2)/25)*Calculateur!BL188*Calculateur!BN188*VLOOKUP('Données projet'!$B$11,Paramètres!$A$1:$I$89,3,0)*0.475*44/12</f>
        <v>4.5473719577315504E-2</v>
      </c>
      <c r="BR188" s="23">
        <f>EXP(-LN(2)/2)*BR187+(1-EXP(-LN(2)/2))/(LN(2)/2)*BL188*BO188*VLOOKUP('Données projet'!$B$11,Paramètres!$A$1:$I$89,3,0)*0.475*44/12</f>
        <v>5.1542702546873063E-21</v>
      </c>
      <c r="BS188" s="24">
        <f t="shared" si="169"/>
        <v>5.1252474175909857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147.72913422715322</v>
      </c>
      <c r="T189" s="62">
        <f t="shared" si="142"/>
        <v>361.07991692964799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>
        <f>AI189*VLOOKUP('Données projet'!$B$10,Paramètres!$A$1:$I$89,3,0)*VLOOKUP('Données projet'!$B$10,Paramètres!$A$1:$I$89,5,0)</f>
        <v>0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151.58413719376074</v>
      </c>
      <c r="AO189" s="62">
        <f t="shared" si="144"/>
        <v>310.105543138185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4.4981465316955891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8.8007035560161205E-22</v>
      </c>
      <c r="AX189" s="23">
        <f t="shared" si="166"/>
        <v>4.4981465316955891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5.6843418860808015E-14</v>
      </c>
      <c r="BE189" s="14">
        <f>BD189*VLOOKUP('Données projet'!$B$11,Paramètres!$A$1:$I$89,3,0)*VLOOKUP('Données projet'!$B$11,Paramètres!$A$1:$I$89,5,0)</f>
        <v>3.3992364478763198E-14</v>
      </c>
      <c r="BF189" s="14">
        <f t="shared" si="167"/>
        <v>5.790027782444094E-13</v>
      </c>
      <c r="BG189" s="22">
        <f t="shared" si="168"/>
        <v>1.0676332069095257E-12</v>
      </c>
      <c r="BH189" s="62">
        <f t="shared" si="116"/>
        <v>293.33333333333439</v>
      </c>
      <c r="BI189" s="62">
        <f ca="1">AVERAGE(OFFSET($BH$3,0,0,'Données projet'!$E$11+1,1))-AVERAGE(OFFSET($H$3,0,0,'Données projet'!$E$11+1,1))</f>
        <v>157.98488572680344</v>
      </c>
      <c r="BJ189" s="62">
        <f t="shared" si="146"/>
        <v>269.20989374735825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4.9801624341516408</v>
      </c>
      <c r="BQ189" s="23">
        <f>EXP(-LN(2)/25)*BQ188+(1-EXP(-LN(2)/25))/(LN(2)/25)*Calculateur!BL189*Calculateur!BN189*VLOOKUP('Données projet'!$B$11,Paramètres!$A$1:$I$89,3,0)*0.475*44/12</f>
        <v>4.423023832411483E-2</v>
      </c>
      <c r="BR189" s="23">
        <f>EXP(-LN(2)/2)*BR188+(1-EXP(-LN(2)/2))/(LN(2)/2)*BL189*BO189*VLOOKUP('Données projet'!$B$11,Paramètres!$A$1:$I$89,3,0)*0.475*44/12</f>
        <v>3.6446194491575077E-21</v>
      </c>
      <c r="BS189" s="24">
        <f t="shared" si="169"/>
        <v>5.0243926724757557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147.72913422715322</v>
      </c>
      <c r="T190" s="62">
        <f t="shared" si="142"/>
        <v>361.07991692964799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>
        <f>AI190*VLOOKUP('Données projet'!$B$10,Paramètres!$A$1:$I$89,3,0)*VLOOKUP('Données projet'!$B$10,Paramètres!$A$1:$I$89,5,0)</f>
        <v>0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151.58413719376074</v>
      </c>
      <c r="AO190" s="62">
        <f t="shared" si="144"/>
        <v>310.105543138185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4.4099406218075154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6.2230371636715617E-22</v>
      </c>
      <c r="AX190" s="23">
        <f t="shared" si="166"/>
        <v>4.4099406218075154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5.6843418860808015E-14</v>
      </c>
      <c r="BE190" s="14">
        <f>BD190*VLOOKUP('Données projet'!$B$11,Paramètres!$A$1:$I$89,3,0)*VLOOKUP('Données projet'!$B$11,Paramètres!$A$1:$I$89,5,0)</f>
        <v>3.3992364478763198E-14</v>
      </c>
      <c r="BF190" s="14">
        <f t="shared" si="167"/>
        <v>5.790027782444094E-13</v>
      </c>
      <c r="BG190" s="22">
        <f t="shared" si="168"/>
        <v>1.0676332069095257E-12</v>
      </c>
      <c r="BH190" s="62">
        <f t="shared" si="116"/>
        <v>293.33333333333439</v>
      </c>
      <c r="BI190" s="62">
        <f ca="1">AVERAGE(OFFSET($BH$3,0,0,'Données projet'!$E$11+1,1))-AVERAGE(OFFSET($H$3,0,0,'Données projet'!$E$11+1,1))</f>
        <v>157.98488572680344</v>
      </c>
      <c r="BJ190" s="62">
        <f t="shared" si="146"/>
        <v>269.20989374735825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4.8825044864170737</v>
      </c>
      <c r="BQ190" s="23">
        <f>EXP(-LN(2)/25)*BQ189+(1-EXP(-LN(2)/25))/(LN(2)/25)*Calculateur!BL190*Calculateur!BN190*VLOOKUP('Données projet'!$B$11,Paramètres!$A$1:$I$89,3,0)*0.475*44/12</f>
        <v>4.3020760131174764E-2</v>
      </c>
      <c r="BR190" s="23">
        <f>EXP(-LN(2)/2)*BR189+(1-EXP(-LN(2)/2))/(LN(2)/2)*BL190*BO190*VLOOKUP('Données projet'!$B$11,Paramètres!$A$1:$I$89,3,0)*0.475*44/12</f>
        <v>2.5771351273436531E-21</v>
      </c>
      <c r="BS190" s="24">
        <f t="shared" si="169"/>
        <v>4.9255252465482489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147.72913422715322</v>
      </c>
      <c r="T191" s="62">
        <f t="shared" si="142"/>
        <v>361.07991692964799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>
        <f>AI191*VLOOKUP('Données projet'!$B$10,Paramètres!$A$1:$I$89,3,0)*VLOOKUP('Données projet'!$B$10,Paramètres!$A$1:$I$89,5,0)</f>
        <v>0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151.58413719376074</v>
      </c>
      <c r="AO191" s="62">
        <f t="shared" si="144"/>
        <v>310.105543138185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4.3234643760120539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4.4003517780080603E-22</v>
      </c>
      <c r="AX191" s="23">
        <f t="shared" si="166"/>
        <v>4.3234643760120539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5.6843418860808015E-14</v>
      </c>
      <c r="BE191" s="14">
        <f>BD191*VLOOKUP('Données projet'!$B$11,Paramètres!$A$1:$I$89,3,0)*VLOOKUP('Données projet'!$B$11,Paramètres!$A$1:$I$89,5,0)</f>
        <v>3.3992364478763198E-14</v>
      </c>
      <c r="BF191" s="14">
        <f t="shared" si="167"/>
        <v>5.790027782444094E-13</v>
      </c>
      <c r="BG191" s="22">
        <f t="shared" si="168"/>
        <v>1.0676332069095257E-12</v>
      </c>
      <c r="BH191" s="62">
        <f t="shared" si="116"/>
        <v>293.33333333333439</v>
      </c>
      <c r="BI191" s="62">
        <f ca="1">AVERAGE(OFFSET($BH$3,0,0,'Données projet'!$E$11+1,1))-AVERAGE(OFFSET($H$3,0,0,'Données projet'!$E$11+1,1))</f>
        <v>157.98488572680344</v>
      </c>
      <c r="BJ191" s="62">
        <f t="shared" si="146"/>
        <v>269.20989374735825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4.7867615514721154</v>
      </c>
      <c r="BQ191" s="23">
        <f>EXP(-LN(2)/25)*BQ190+(1-EXP(-LN(2)/25))/(LN(2)/25)*Calculateur!BL191*Calculateur!BN191*VLOOKUP('Données projet'!$B$11,Paramètres!$A$1:$I$89,3,0)*0.475*44/12</f>
        <v>4.1844355183024338E-2</v>
      </c>
      <c r="BR191" s="23">
        <f>EXP(-LN(2)/2)*BR190+(1-EXP(-LN(2)/2))/(LN(2)/2)*BL191*BO191*VLOOKUP('Données projet'!$B$11,Paramètres!$A$1:$I$89,3,0)*0.475*44/12</f>
        <v>1.8223097245787538E-21</v>
      </c>
      <c r="BS191" s="24">
        <f t="shared" si="169"/>
        <v>4.8286059066551399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147.72913422715322</v>
      </c>
      <c r="T192" s="62">
        <f t="shared" si="142"/>
        <v>361.07991692964799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>
        <f>AI192*VLOOKUP('Données projet'!$B$10,Paramètres!$A$1:$I$89,3,0)*VLOOKUP('Données projet'!$B$10,Paramètres!$A$1:$I$89,5,0)</f>
        <v>0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151.58413719376074</v>
      </c>
      <c r="AO192" s="62">
        <f t="shared" si="144"/>
        <v>310.105543138185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4.2386838766513399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3.1115185818357809E-22</v>
      </c>
      <c r="AX192" s="23">
        <f t="shared" si="166"/>
        <v>4.2386838766513399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5.6843418860808015E-14</v>
      </c>
      <c r="BE192" s="14">
        <f>BD192*VLOOKUP('Données projet'!$B$11,Paramètres!$A$1:$I$89,3,0)*VLOOKUP('Données projet'!$B$11,Paramètres!$A$1:$I$89,5,0)</f>
        <v>3.3992364478763198E-14</v>
      </c>
      <c r="BF192" s="14">
        <f t="shared" si="167"/>
        <v>5.790027782444094E-13</v>
      </c>
      <c r="BG192" s="22">
        <f t="shared" si="168"/>
        <v>1.0676332069095257E-12</v>
      </c>
      <c r="BH192" s="62">
        <f t="shared" si="116"/>
        <v>293.33333333333439</v>
      </c>
      <c r="BI192" s="62">
        <f ca="1">AVERAGE(OFFSET($BH$3,0,0,'Données projet'!$E$11+1,1))-AVERAGE(OFFSET($H$3,0,0,'Données projet'!$E$11+1,1))</f>
        <v>157.98488572680344</v>
      </c>
      <c r="BJ192" s="62">
        <f t="shared" si="146"/>
        <v>269.20989374735825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4.6928960770840034</v>
      </c>
      <c r="BQ192" s="23">
        <f>EXP(-LN(2)/25)*BQ191+(1-EXP(-LN(2)/25))/(LN(2)/25)*Calculateur!BL192*Calculateur!BN192*VLOOKUP('Données projet'!$B$11,Paramètres!$A$1:$I$89,3,0)*0.475*44/12</f>
        <v>4.0700119090045533E-2</v>
      </c>
      <c r="BR192" s="23">
        <f>EXP(-LN(2)/2)*BR191+(1-EXP(-LN(2)/2))/(LN(2)/2)*BL192*BO192*VLOOKUP('Données projet'!$B$11,Paramètres!$A$1:$I$89,3,0)*0.475*44/12</f>
        <v>1.2885675636718266E-21</v>
      </c>
      <c r="BS192" s="24">
        <f t="shared" si="169"/>
        <v>4.7335961961740489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147.72913422715322</v>
      </c>
      <c r="T193" s="62">
        <f t="shared" si="142"/>
        <v>361.07991692964799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>
        <f>AI193*VLOOKUP('Données projet'!$B$10,Paramètres!$A$1:$I$89,3,0)*VLOOKUP('Données projet'!$B$10,Paramètres!$A$1:$I$89,5,0)</f>
        <v>0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151.58413719376074</v>
      </c>
      <c r="AO193" s="62">
        <f t="shared" si="144"/>
        <v>310.105543138185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4.1555658711720902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2.2001758890040301E-22</v>
      </c>
      <c r="AX193" s="23">
        <f t="shared" si="166"/>
        <v>4.1555658711720902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5.6843418860808015E-14</v>
      </c>
      <c r="BE193" s="14">
        <f>BD193*VLOOKUP('Données projet'!$B$11,Paramètres!$A$1:$I$89,3,0)*VLOOKUP('Données projet'!$B$11,Paramètres!$A$1:$I$89,5,0)</f>
        <v>3.3992364478763198E-14</v>
      </c>
      <c r="BF193" s="14">
        <f t="shared" si="167"/>
        <v>5.790027782444094E-13</v>
      </c>
      <c r="BG193" s="22">
        <f t="shared" si="168"/>
        <v>1.0676332069095257E-12</v>
      </c>
      <c r="BH193" s="62">
        <f t="shared" si="116"/>
        <v>293.33333333333439</v>
      </c>
      <c r="BI193" s="62">
        <f ca="1">AVERAGE(OFFSET($BH$3,0,0,'Données projet'!$E$11+1,1))-AVERAGE(OFFSET($H$3,0,0,'Données projet'!$E$11+1,1))</f>
        <v>157.98488572680344</v>
      </c>
      <c r="BJ193" s="62">
        <f t="shared" si="146"/>
        <v>269.20989374735825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4.6008712473963564</v>
      </c>
      <c r="BQ193" s="23">
        <f>EXP(-LN(2)/25)*BQ192+(1-EXP(-LN(2)/25))/(LN(2)/25)*Calculateur!BL193*Calculateur!BN193*VLOOKUP('Données projet'!$B$11,Paramètres!$A$1:$I$89,3,0)*0.475*44/12</f>
        <v>3.9587172193202E-2</v>
      </c>
      <c r="BR193" s="23">
        <f>EXP(-LN(2)/2)*BR192+(1-EXP(-LN(2)/2))/(LN(2)/2)*BL193*BO193*VLOOKUP('Données projet'!$B$11,Paramètres!$A$1:$I$89,3,0)*0.475*44/12</f>
        <v>9.1115486228937691E-22</v>
      </c>
      <c r="BS193" s="24">
        <f t="shared" si="169"/>
        <v>4.6404584195895584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147.72913422715322</v>
      </c>
      <c r="T194" s="62">
        <f t="shared" si="142"/>
        <v>361.07991692964799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>
        <f>AI194*VLOOKUP('Données projet'!$B$10,Paramètres!$A$1:$I$89,3,0)*VLOOKUP('Données projet'!$B$10,Paramètres!$A$1:$I$89,5,0)</f>
        <v>0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151.58413719376074</v>
      </c>
      <c r="AO194" s="62">
        <f t="shared" si="144"/>
        <v>310.105543138185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4.0740777590833117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1.5557592909178904E-22</v>
      </c>
      <c r="AX194" s="23">
        <f t="shared" si="166"/>
        <v>4.0740777590833117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5.6843418860808015E-14</v>
      </c>
      <c r="BE194" s="14">
        <f>BD194*VLOOKUP('Données projet'!$B$11,Paramètres!$A$1:$I$89,3,0)*VLOOKUP('Données projet'!$B$11,Paramètres!$A$1:$I$89,5,0)</f>
        <v>3.3992364478763198E-14</v>
      </c>
      <c r="BF194" s="14">
        <f t="shared" si="167"/>
        <v>5.790027782444094E-13</v>
      </c>
      <c r="BG194" s="22">
        <f t="shared" si="168"/>
        <v>1.0676332069095257E-12</v>
      </c>
      <c r="BH194" s="62">
        <f t="shared" si="116"/>
        <v>293.33333333333439</v>
      </c>
      <c r="BI194" s="62">
        <f ca="1">AVERAGE(OFFSET($BH$3,0,0,'Données projet'!$E$11+1,1))-AVERAGE(OFFSET($H$3,0,0,'Données projet'!$E$11+1,1))</f>
        <v>157.98488572680344</v>
      </c>
      <c r="BJ194" s="62">
        <f t="shared" si="146"/>
        <v>269.20989374735825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4.5106509684892799</v>
      </c>
      <c r="BQ194" s="23">
        <f>EXP(-LN(2)/25)*BQ193+(1-EXP(-LN(2)/25))/(LN(2)/25)*Calculateur!BL194*Calculateur!BN194*VLOOKUP('Données projet'!$B$11,Paramètres!$A$1:$I$89,3,0)*0.475*44/12</f>
        <v>3.8504658887779986E-2</v>
      </c>
      <c r="BR194" s="23">
        <f>EXP(-LN(2)/2)*BR193+(1-EXP(-LN(2)/2))/(LN(2)/2)*BL194*BO194*VLOOKUP('Données projet'!$B$11,Paramètres!$A$1:$I$89,3,0)*0.475*44/12</f>
        <v>6.4428378183591328E-22</v>
      </c>
      <c r="BS194" s="24">
        <f t="shared" si="169"/>
        <v>4.5491556273770595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147.72913422715322</v>
      </c>
      <c r="T195" s="62">
        <f t="shared" si="142"/>
        <v>361.07991692964799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>
        <f>AI195*VLOOKUP('Données projet'!$B$10,Paramètres!$A$1:$I$89,3,0)*VLOOKUP('Données projet'!$B$10,Paramètres!$A$1:$I$89,5,0)</f>
        <v>0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151.58413719376074</v>
      </c>
      <c r="AO195" s="62">
        <f t="shared" si="144"/>
        <v>310.105543138185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3.9941875791697532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1.1000879445020151E-22</v>
      </c>
      <c r="AX195" s="23">
        <f t="shared" si="166"/>
        <v>3.9941875791697532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5.6843418860808015E-14</v>
      </c>
      <c r="BE195" s="14">
        <f>BD195*VLOOKUP('Données projet'!$B$11,Paramètres!$A$1:$I$89,3,0)*VLOOKUP('Données projet'!$B$11,Paramètres!$A$1:$I$89,5,0)</f>
        <v>3.3992364478763198E-14</v>
      </c>
      <c r="BF195" s="14">
        <f t="shared" si="167"/>
        <v>5.790027782444094E-13</v>
      </c>
      <c r="BG195" s="22">
        <f t="shared" si="168"/>
        <v>1.0676332069095257E-12</v>
      </c>
      <c r="BH195" s="62">
        <f t="shared" si="116"/>
        <v>293.33333333333439</v>
      </c>
      <c r="BI195" s="62">
        <f ca="1">AVERAGE(OFFSET($BH$3,0,0,'Données projet'!$E$11+1,1))-AVERAGE(OFFSET($H$3,0,0,'Données projet'!$E$11+1,1))</f>
        <v>157.98488572680344</v>
      </c>
      <c r="BJ195" s="62">
        <f t="shared" si="146"/>
        <v>269.20989374735825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4.4221998542226348</v>
      </c>
      <c r="BQ195" s="23">
        <f>EXP(-LN(2)/25)*BQ194+(1-EXP(-LN(2)/25))/(LN(2)/25)*Calculateur!BL195*Calculateur!BN195*VLOOKUP('Données projet'!$B$11,Paramètres!$A$1:$I$89,3,0)*0.475*44/12</f>
        <v>3.7451746965621632E-2</v>
      </c>
      <c r="BR195" s="23">
        <f>EXP(-LN(2)/2)*BR194+(1-EXP(-LN(2)/2))/(LN(2)/2)*BL195*BO195*VLOOKUP('Données projet'!$B$11,Paramètres!$A$1:$I$89,3,0)*0.475*44/12</f>
        <v>4.5557743114468846E-22</v>
      </c>
      <c r="BS195" s="24">
        <f t="shared" si="169"/>
        <v>4.4596516011882565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147.72913422715322</v>
      </c>
      <c r="T196" s="62">
        <f t="shared" si="142"/>
        <v>361.07991692964799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>
        <f>AI196*VLOOKUP('Données projet'!$B$10,Paramètres!$A$1:$I$89,3,0)*VLOOKUP('Données projet'!$B$10,Paramètres!$A$1:$I$89,5,0)</f>
        <v>0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151.58413719376074</v>
      </c>
      <c r="AO196" s="62">
        <f t="shared" si="144"/>
        <v>310.105543138185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3.9158639969561015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7.7787964545894522E-23</v>
      </c>
      <c r="AX196" s="23">
        <f t="shared" si="166"/>
        <v>3.9158639969561015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5.6843418860808015E-14</v>
      </c>
      <c r="BE196" s="14">
        <f>BD196*VLOOKUP('Données projet'!$B$11,Paramètres!$A$1:$I$89,3,0)*VLOOKUP('Données projet'!$B$11,Paramètres!$A$1:$I$89,5,0)</f>
        <v>3.3992364478763198E-14</v>
      </c>
      <c r="BF196" s="14">
        <f t="shared" si="167"/>
        <v>5.790027782444094E-13</v>
      </c>
      <c r="BG196" s="22">
        <f t="shared" si="168"/>
        <v>1.0676332069095257E-12</v>
      </c>
      <c r="BH196" s="62">
        <f t="shared" ref="BH196:BH203" si="194">BG196+(AY196+AZ196)*44/12</f>
        <v>293.33333333333439</v>
      </c>
      <c r="BI196" s="62">
        <f ca="1">AVERAGE(OFFSET($BH$3,0,0,'Données projet'!$E$11+1,1))-AVERAGE(OFFSET($H$3,0,0,'Données projet'!$E$11+1,1))</f>
        <v>157.98488572680344</v>
      </c>
      <c r="BJ196" s="62">
        <f t="shared" si="146"/>
        <v>269.20989374735825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4.3354832123569063</v>
      </c>
      <c r="BQ196" s="23">
        <f>EXP(-LN(2)/25)*BQ195+(1-EXP(-LN(2)/25))/(LN(2)/25)*Calculateur!BL196*Calculateur!BN196*VLOOKUP('Données projet'!$B$11,Paramètres!$A$1:$I$89,3,0)*0.475*44/12</f>
        <v>3.6427626975344934E-2</v>
      </c>
      <c r="BR196" s="23">
        <f>EXP(-LN(2)/2)*BR195+(1-EXP(-LN(2)/2))/(LN(2)/2)*BL196*BO196*VLOOKUP('Données projet'!$B$11,Paramètres!$A$1:$I$89,3,0)*0.475*44/12</f>
        <v>3.2214189091795664E-22</v>
      </c>
      <c r="BS196" s="24">
        <f t="shared" si="169"/>
        <v>4.3719108393322514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147.72913422715322</v>
      </c>
      <c r="T197" s="62">
        <f t="shared" ref="T197:T203" si="204">$T$3</f>
        <v>361.07991692964799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>
        <f>AI197*VLOOKUP('Données projet'!$B$10,Paramètres!$A$1:$I$89,3,0)*VLOOKUP('Données projet'!$B$10,Paramètres!$A$1:$I$89,5,0)</f>
        <v>0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151.58413719376074</v>
      </c>
      <c r="AO197" s="62">
        <f t="shared" ref="AO197:AO203" si="205">$AO$3</f>
        <v>310.105543138185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3.8390762924169914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5.5004397225100753E-23</v>
      </c>
      <c r="AX197" s="23">
        <f t="shared" si="166"/>
        <v>3.8390762924169914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5.6843418860808015E-14</v>
      </c>
      <c r="BE197" s="14">
        <f>BD197*VLOOKUP('Données projet'!$B$11,Paramètres!$A$1:$I$89,3,0)*VLOOKUP('Données projet'!$B$11,Paramètres!$A$1:$I$89,5,0)</f>
        <v>3.3992364478763198E-14</v>
      </c>
      <c r="BF197" s="14">
        <f t="shared" si="167"/>
        <v>5.790027782444094E-13</v>
      </c>
      <c r="BG197" s="22">
        <f t="shared" si="168"/>
        <v>1.0676332069095257E-12</v>
      </c>
      <c r="BH197" s="62">
        <f t="shared" si="194"/>
        <v>293.33333333333439</v>
      </c>
      <c r="BI197" s="62">
        <f ca="1">AVERAGE(OFFSET($BH$3,0,0,'Données projet'!$E$11+1,1))-AVERAGE(OFFSET($H$3,0,0,'Données projet'!$E$11+1,1))</f>
        <v>157.98488572680344</v>
      </c>
      <c r="BJ197" s="62">
        <f t="shared" ref="BJ197:BJ203" si="206">$BJ$3</f>
        <v>269.20989374735825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4.2504670309462353</v>
      </c>
      <c r="BQ197" s="23">
        <f>EXP(-LN(2)/25)*BQ196+(1-EXP(-LN(2)/25))/(LN(2)/25)*Calculateur!BL197*Calculateur!BN197*VLOOKUP('Données projet'!$B$11,Paramètres!$A$1:$I$89,3,0)*0.475*44/12</f>
        <v>3.5431511600058481E-2</v>
      </c>
      <c r="BR197" s="23">
        <f>EXP(-LN(2)/2)*BR196+(1-EXP(-LN(2)/2))/(LN(2)/2)*BL197*BO197*VLOOKUP('Données projet'!$B$11,Paramètres!$A$1:$I$89,3,0)*0.475*44/12</f>
        <v>2.2778871557234423E-22</v>
      </c>
      <c r="BS197" s="24">
        <f t="shared" si="169"/>
        <v>4.2858985425462937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147.72913422715322</v>
      </c>
      <c r="T198" s="62">
        <f t="shared" si="204"/>
        <v>361.07991692964799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>
        <f>AI198*VLOOKUP('Données projet'!$B$10,Paramètres!$A$1:$I$89,3,0)*VLOOKUP('Données projet'!$B$10,Paramètres!$A$1:$I$89,5,0)</f>
        <v>0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151.58413719376074</v>
      </c>
      <c r="AO198" s="62">
        <f t="shared" si="205"/>
        <v>310.105543138185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3.7637943479280183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3.8893982272947261E-23</v>
      </c>
      <c r="AX198" s="23">
        <f t="shared" si="166"/>
        <v>3.7637943479280183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5.6843418860808015E-14</v>
      </c>
      <c r="BE198" s="14">
        <f>BD198*VLOOKUP('Données projet'!$B$11,Paramètres!$A$1:$I$89,3,0)*VLOOKUP('Données projet'!$B$11,Paramètres!$A$1:$I$89,5,0)</f>
        <v>3.3992364478763198E-14</v>
      </c>
      <c r="BF198" s="14">
        <f t="shared" si="167"/>
        <v>5.790027782444094E-13</v>
      </c>
      <c r="BG198" s="22">
        <f t="shared" si="168"/>
        <v>1.0676332069095257E-12</v>
      </c>
      <c r="BH198" s="62">
        <f t="shared" si="194"/>
        <v>293.33333333333439</v>
      </c>
      <c r="BI198" s="62">
        <f ca="1">AVERAGE(OFFSET($BH$3,0,0,'Données projet'!$E$11+1,1))-AVERAGE(OFFSET($H$3,0,0,'Données projet'!$E$11+1,1))</f>
        <v>157.98488572680344</v>
      </c>
      <c r="BJ198" s="62">
        <f t="shared" si="206"/>
        <v>269.20989374735825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4.1671179649982779</v>
      </c>
      <c r="BQ198" s="23">
        <f>EXP(-LN(2)/25)*BQ197+(1-EXP(-LN(2)/25))/(LN(2)/25)*Calculateur!BL198*Calculateur!BN198*VLOOKUP('Données projet'!$B$11,Paramètres!$A$1:$I$89,3,0)*0.475*44/12</f>
        <v>3.4462635052092669E-2</v>
      </c>
      <c r="BR198" s="23">
        <f>EXP(-LN(2)/2)*BR197+(1-EXP(-LN(2)/2))/(LN(2)/2)*BL198*BO198*VLOOKUP('Données projet'!$B$11,Paramètres!$A$1:$I$89,3,0)*0.475*44/12</f>
        <v>1.6107094545897832E-22</v>
      </c>
      <c r="BS198" s="24">
        <f t="shared" si="169"/>
        <v>4.2015806000503702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147.72913422715322</v>
      </c>
      <c r="T199" s="62">
        <f t="shared" si="204"/>
        <v>361.07991692964799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>
        <f>AI199*VLOOKUP('Données projet'!$B$10,Paramètres!$A$1:$I$89,3,0)*VLOOKUP('Données projet'!$B$10,Paramètres!$A$1:$I$89,5,0)</f>
        <v>0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151.58413719376074</v>
      </c>
      <c r="AO199" s="62">
        <f t="shared" si="205"/>
        <v>310.105543138185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3.6899886364530219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2.7502198612550377E-23</v>
      </c>
      <c r="AX199" s="23">
        <f t="shared" si="166"/>
        <v>3.6899886364530219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5.6843418860808015E-14</v>
      </c>
      <c r="BE199" s="14">
        <f>BD199*VLOOKUP('Données projet'!$B$11,Paramètres!$A$1:$I$89,3,0)*VLOOKUP('Données projet'!$B$11,Paramètres!$A$1:$I$89,5,0)</f>
        <v>3.3992364478763198E-14</v>
      </c>
      <c r="BF199" s="14">
        <f t="shared" si="167"/>
        <v>5.790027782444094E-13</v>
      </c>
      <c r="BG199" s="22">
        <f t="shared" si="168"/>
        <v>1.0676332069095257E-12</v>
      </c>
      <c r="BH199" s="62">
        <f t="shared" si="194"/>
        <v>293.33333333333439</v>
      </c>
      <c r="BI199" s="62">
        <f ca="1">AVERAGE(OFFSET($BH$3,0,0,'Données projet'!$E$11+1,1))-AVERAGE(OFFSET($H$3,0,0,'Données projet'!$E$11+1,1))</f>
        <v>157.98488572680344</v>
      </c>
      <c r="BJ199" s="62">
        <f t="shared" si="206"/>
        <v>269.20989374735825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4.0854033233956493</v>
      </c>
      <c r="BQ199" s="23">
        <f>EXP(-LN(2)/25)*BQ198+(1-EXP(-LN(2)/25))/(LN(2)/25)*Calculateur!BL199*Calculateur!BN199*VLOOKUP('Données projet'!$B$11,Paramètres!$A$1:$I$89,3,0)*0.475*44/12</f>
        <v>3.3520252484281983E-2</v>
      </c>
      <c r="BR199" s="23">
        <f>EXP(-LN(2)/2)*BR198+(1-EXP(-LN(2)/2))/(LN(2)/2)*BL199*BO199*VLOOKUP('Données projet'!$B$11,Paramètres!$A$1:$I$89,3,0)*0.475*44/12</f>
        <v>1.1389435778617211E-22</v>
      </c>
      <c r="BS199" s="24">
        <f t="shared" si="169"/>
        <v>4.118923575879931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147.72913422715322</v>
      </c>
      <c r="T200" s="62">
        <f t="shared" si="204"/>
        <v>361.07991692964799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>
        <f>AI200*VLOOKUP('Données projet'!$B$10,Paramètres!$A$1:$I$89,3,0)*VLOOKUP('Données projet'!$B$10,Paramètres!$A$1:$I$89,5,0)</f>
        <v>0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151.58413719376074</v>
      </c>
      <c r="AO200" s="62">
        <f t="shared" si="205"/>
        <v>310.105543138185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3.6176302099630111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1.944699113647363E-23</v>
      </c>
      <c r="AX200" s="23">
        <f t="shared" si="166"/>
        <v>3.6176302099630111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5.6843418860808015E-14</v>
      </c>
      <c r="BE200" s="14">
        <f>BD200*VLOOKUP('Données projet'!$B$11,Paramètres!$A$1:$I$89,3,0)*VLOOKUP('Données projet'!$B$11,Paramètres!$A$1:$I$89,5,0)</f>
        <v>3.3992364478763198E-14</v>
      </c>
      <c r="BF200" s="14">
        <f t="shared" si="167"/>
        <v>5.790027782444094E-13</v>
      </c>
      <c r="BG200" s="22">
        <f t="shared" si="168"/>
        <v>1.0676332069095257E-12</v>
      </c>
      <c r="BH200" s="62">
        <f t="shared" si="194"/>
        <v>293.33333333333439</v>
      </c>
      <c r="BI200" s="62">
        <f ca="1">AVERAGE(OFFSET($BH$3,0,0,'Données projet'!$E$11+1,1))-AVERAGE(OFFSET($H$3,0,0,'Données projet'!$E$11+1,1))</f>
        <v>157.98488572680344</v>
      </c>
      <c r="BJ200" s="62">
        <f t="shared" si="206"/>
        <v>269.20989374735825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4.0052910560738377</v>
      </c>
      <c r="BQ200" s="23">
        <f>EXP(-LN(2)/25)*BQ199+(1-EXP(-LN(2)/25))/(LN(2)/25)*Calculateur!BL200*Calculateur!BN200*VLOOKUP('Données projet'!$B$11,Paramètres!$A$1:$I$89,3,0)*0.475*44/12</f>
        <v>3.2603639417345828E-2</v>
      </c>
      <c r="BR200" s="23">
        <f>EXP(-LN(2)/2)*BR199+(1-EXP(-LN(2)/2))/(LN(2)/2)*BL200*BO200*VLOOKUP('Données projet'!$B$11,Paramètres!$A$1:$I$89,3,0)*0.475*44/12</f>
        <v>8.053547272948916E-23</v>
      </c>
      <c r="BS200" s="24">
        <f t="shared" si="169"/>
        <v>4.0378946954911834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147.72913422715322</v>
      </c>
      <c r="T201" s="62">
        <f t="shared" si="204"/>
        <v>361.07991692964799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>
        <f>AI201*VLOOKUP('Données projet'!$B$10,Paramètres!$A$1:$I$89,3,0)*VLOOKUP('Données projet'!$B$10,Paramètres!$A$1:$I$89,5,0)</f>
        <v>0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151.58413719376074</v>
      </c>
      <c r="AO201" s="62">
        <f t="shared" si="205"/>
        <v>310.105543138185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3.5466906880821871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1.3751099306275188E-23</v>
      </c>
      <c r="AX201" s="23">
        <f t="shared" si="166"/>
        <v>3.5466906880821871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5.6843418860808015E-14</v>
      </c>
      <c r="BE201" s="14">
        <f>BD201*VLOOKUP('Données projet'!$B$11,Paramètres!$A$1:$I$89,3,0)*VLOOKUP('Données projet'!$B$11,Paramètres!$A$1:$I$89,5,0)</f>
        <v>3.3992364478763198E-14</v>
      </c>
      <c r="BF201" s="14">
        <f t="shared" si="167"/>
        <v>5.790027782444094E-13</v>
      </c>
      <c r="BG201" s="22">
        <f t="shared" si="168"/>
        <v>1.0676332069095257E-12</v>
      </c>
      <c r="BH201" s="62">
        <f t="shared" si="194"/>
        <v>293.33333333333439</v>
      </c>
      <c r="BI201" s="62">
        <f ca="1">AVERAGE(OFFSET($BH$3,0,0,'Données projet'!$E$11+1,1))-AVERAGE(OFFSET($H$3,0,0,'Données projet'!$E$11+1,1))</f>
        <v>157.98488572680344</v>
      </c>
      <c r="BJ201" s="62">
        <f t="shared" si="206"/>
        <v>269.20989374735825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3.926749741450549</v>
      </c>
      <c r="BQ201" s="23">
        <f>EXP(-LN(2)/25)*BQ200+(1-EXP(-LN(2)/25))/(LN(2)/25)*Calculateur!BL201*Calculateur!BN201*VLOOKUP('Données projet'!$B$11,Paramètres!$A$1:$I$89,3,0)*0.475*44/12</f>
        <v>3.1712091182927629E-2</v>
      </c>
      <c r="BR201" s="23">
        <f>EXP(-LN(2)/2)*BR200+(1-EXP(-LN(2)/2))/(LN(2)/2)*BL201*BO201*VLOOKUP('Données projet'!$B$11,Paramètres!$A$1:$I$89,3,0)*0.475*44/12</f>
        <v>5.6947178893086057E-23</v>
      </c>
      <c r="BS201" s="24">
        <f t="shared" si="169"/>
        <v>3.9584618326334766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147.72913422715322</v>
      </c>
      <c r="T202" s="62">
        <f t="shared" si="204"/>
        <v>361.07991692964799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>
        <f>AI202*VLOOKUP('Données projet'!$B$10,Paramètres!$A$1:$I$89,3,0)*VLOOKUP('Données projet'!$B$10,Paramètres!$A$1:$I$89,5,0)</f>
        <v>0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151.58413719376074</v>
      </c>
      <c r="AO202" s="62">
        <f t="shared" si="205"/>
        <v>310.105543138185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3.47714224695661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9.7234955682368152E-24</v>
      </c>
      <c r="AX202" s="23">
        <f t="shared" si="166"/>
        <v>3.47714224695661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5.6843418860808015E-14</v>
      </c>
      <c r="BE202" s="14">
        <f>BD202*VLOOKUP('Données projet'!$B$11,Paramètres!$A$1:$I$89,3,0)*VLOOKUP('Données projet'!$B$11,Paramètres!$A$1:$I$89,5,0)</f>
        <v>3.3992364478763198E-14</v>
      </c>
      <c r="BF202" s="14">
        <f t="shared" si="167"/>
        <v>5.790027782444094E-13</v>
      </c>
      <c r="BG202" s="22">
        <f t="shared" si="168"/>
        <v>1.0676332069095257E-12</v>
      </c>
      <c r="BH202" s="62">
        <f t="shared" si="194"/>
        <v>293.33333333333439</v>
      </c>
      <c r="BI202" s="62">
        <f ca="1">AVERAGE(OFFSET($BH$3,0,0,'Données projet'!$E$11+1,1))-AVERAGE(OFFSET($H$3,0,0,'Données projet'!$E$11+1,1))</f>
        <v>157.98488572680344</v>
      </c>
      <c r="BJ202" s="62">
        <f t="shared" si="206"/>
        <v>269.20989374735825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3.8497485741015516</v>
      </c>
      <c r="BQ202" s="23">
        <f>EXP(-LN(2)/25)*BQ201+(1-EXP(-LN(2)/25))/(LN(2)/25)*Calculateur!BL202*Calculateur!BN202*VLOOKUP('Données projet'!$B$11,Paramètres!$A$1:$I$89,3,0)*0.475*44/12</f>
        <v>3.0844922381864075E-2</v>
      </c>
      <c r="BR202" s="23">
        <f>EXP(-LN(2)/2)*BR201+(1-EXP(-LN(2)/2))/(LN(2)/2)*BL202*BO202*VLOOKUP('Données projet'!$B$11,Paramètres!$A$1:$I$89,3,0)*0.475*44/12</f>
        <v>4.026773636474458E-23</v>
      </c>
      <c r="BS202" s="24">
        <f t="shared" si="169"/>
        <v>3.8805934964834154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147.72913422715322</v>
      </c>
      <c r="T203" s="62">
        <f t="shared" si="204"/>
        <v>361.07991692964799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>
        <f>AI203*VLOOKUP('Données projet'!$B$10,Paramètres!$A$1:$I$89,3,0)*VLOOKUP('Données projet'!$B$10,Paramètres!$A$1:$I$89,5,0)</f>
        <v>0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151.58413719376074</v>
      </c>
      <c r="AO203" s="62">
        <f t="shared" si="205"/>
        <v>310.105543138185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3.408957608341145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6.8755496531375942E-24</v>
      </c>
      <c r="AX203" s="23">
        <f t="shared" si="166"/>
        <v>3.408957608341145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5.6843418860808015E-14</v>
      </c>
      <c r="BE203" s="14">
        <f>BD203*VLOOKUP('Données projet'!$B$11,Paramètres!$A$1:$I$89,3,0)*VLOOKUP('Données projet'!$B$11,Paramètres!$A$1:$I$89,5,0)</f>
        <v>3.3992364478763198E-14</v>
      </c>
      <c r="BF203" s="14">
        <f t="shared" si="167"/>
        <v>5.790027782444094E-13</v>
      </c>
      <c r="BG203" s="22">
        <f t="shared" si="168"/>
        <v>1.0676332069095257E-12</v>
      </c>
      <c r="BH203" s="62">
        <f t="shared" si="194"/>
        <v>293.33333333333439</v>
      </c>
      <c r="BI203" s="62">
        <f ca="1">AVERAGE(OFFSET($BH$3,0,0,'Données projet'!$E$11+1,1))-AVERAGE(OFFSET($H$3,0,0,'Données projet'!$E$11+1,1))</f>
        <v>157.98488572680344</v>
      </c>
      <c r="BJ203" s="62">
        <f t="shared" si="206"/>
        <v>269.20989374735825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3.7742573526781933</v>
      </c>
      <c r="BQ203" s="23">
        <f>EXP(-LN(2)/25)*BQ202+(1-EXP(-LN(2)/25))/(LN(2)/25)*Calculateur!BL203*Calculateur!BN203*VLOOKUP('Données projet'!$B$11,Paramètres!$A$1:$I$89,3,0)*0.475*44/12</f>
        <v>3.0001466357268032E-2</v>
      </c>
      <c r="BR203" s="23">
        <f>EXP(-LN(2)/2)*BR202+(1-EXP(-LN(2)/2))/(LN(2)/2)*BL203*BO203*VLOOKUP('Données projet'!$B$11,Paramètres!$A$1:$I$89,3,0)*0.475*44/12</f>
        <v>2.8473589446543029E-23</v>
      </c>
      <c r="BS203" s="24">
        <f t="shared" si="169"/>
        <v>3.8042588190354611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1.4261938757879591</v>
      </c>
      <c r="BA205" s="88">
        <f>EXP(LN('Données projet'!B88)/'Données projet'!A88)</f>
        <v>1.3939124009120489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L16" sqref="L1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1.2104999999999999</v>
      </c>
      <c r="C6" s="156">
        <f ca="1">IF(OR('Données projet'!B9="",'Données projet'!C9="",'Données projet'!C9=0%),0,Calculateur!S3)</f>
        <v>147.72913422715322</v>
      </c>
      <c r="D6" s="156">
        <f>IF(OR('Données projet'!B9="",'Données projet'!C9="",'Données projet'!C9=0%),0,Calculateur!T3)</f>
        <v>361.07991692964799</v>
      </c>
      <c r="E6" s="156">
        <f ca="1">MIN(C6,D6)</f>
        <v>147.72913422715322</v>
      </c>
      <c r="F6" s="156">
        <f ca="1">E6*B6</f>
        <v>178.82611698196897</v>
      </c>
      <c r="G6" s="156">
        <f ca="1">F6*(100%-'Données projet'!$C$24)*(100%-'Données projet'!$C$25)*(100%-'Données projet'!$C$26)*(100%-'Données projet'!$C$27)</f>
        <v>109.44158359296502</v>
      </c>
      <c r="H6" s="157">
        <f>IF(OR('Données projet'!B9="",'Données projet'!C9="",'Données projet'!C9=0%),0,AVERAGE(Calculateur!$AC$3:$AC$33)*B6)</f>
        <v>18.197540869272441</v>
      </c>
      <c r="I6" s="158">
        <f>H6*(100%-'Données projet'!$C$24)*(100%-'Données projet'!$C$25)*(100%-'Données projet'!$C$26)*(100%-'Données projet'!$C$27)</f>
        <v>11.136895011994735</v>
      </c>
      <c r="J6" s="159">
        <f>IF(OR('Données projet'!B9="",'Données projet'!C9="",'Données projet'!C9=0%),0,SUM(Calculateur!$V$3:$V$33)*VLOOKUP('Données projet'!$B$9,Paramètres!$A$1:$I$89,9,0)*B6)</f>
        <v>315.67418999999995</v>
      </c>
      <c r="K6" s="160">
        <f>J6*(100%-'Données projet'!$C$24)*(100%-'Données projet'!$C$25)*(100%-'Données projet'!$C$26)*(100%-'Données projet'!$C$27)</f>
        <v>193.19260427999998</v>
      </c>
      <c r="L6" s="161">
        <f ca="1">G6+I6+K6</f>
        <v>313.77108288495975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Pin maritime</v>
      </c>
      <c r="B7" s="163">
        <f>'Données projet'!D10</f>
        <v>1.4795</v>
      </c>
      <c r="C7" s="156">
        <f ca="1">IF(OR('Données projet'!B10="",'Données projet'!C10="",'Données projet'!C10=0%),0,Calculateur!AN3)</f>
        <v>151.58413719376074</v>
      </c>
      <c r="D7" s="156">
        <f>IF(OR('Données projet'!B10="",'Données projet'!C10="",'Données projet'!C10=0%),0,Calculateur!AO3)</f>
        <v>310.105543138185</v>
      </c>
      <c r="E7" s="156">
        <f t="shared" ref="E7:E15" ca="1" si="0">MIN(C7,D7)</f>
        <v>151.58413719376074</v>
      </c>
      <c r="F7" s="156">
        <f t="shared" ref="F7:F15" ca="1" si="1">E7*B7</f>
        <v>224.26873097816903</v>
      </c>
      <c r="G7" s="156">
        <f ca="1">F7*(100%-'Données projet'!$C$24)*(100%-'Données projet'!$C$25)*(100%-'Données projet'!$C$26)*(100%-'Données projet'!$C$27)</f>
        <v>137.25246335863946</v>
      </c>
      <c r="H7" s="164">
        <f>IF(OR('Données projet'!B10="",'Données projet'!C10="",'Données projet'!C10=0%),0,AVERAGE(Calculateur!$AX$3:$AX$33)*B7)</f>
        <v>14.327451346458403</v>
      </c>
      <c r="I7" s="158">
        <f>H7*(100%-'Données projet'!$C$24)*(100%-'Données projet'!$C$25)*(100%-'Données projet'!$C$26)*(100%-'Données projet'!$C$27)</f>
        <v>8.7684002240325434</v>
      </c>
      <c r="J7" s="159">
        <f>IF(OR('Données projet'!B10="",'Données projet'!C10="",'Données projet'!C10=0%),0,SUM(Calculateur!$AQ$3:$AQ$33)*VLOOKUP('Données projet'!$B$10,Paramètres!$A$1:$I$89,9,0)*B7)</f>
        <v>104.7486</v>
      </c>
      <c r="K7" s="160">
        <f>J7*(100%-'Données projet'!$C$24)*(100%-'Données projet'!$C$25)*(100%-'Données projet'!$C$26)*(100%-'Données projet'!$C$27)</f>
        <v>64.106143200000005</v>
      </c>
      <c r="L7" s="161">
        <f t="shared" ref="L7:L15" ca="1" si="2">G7+I7+K7</f>
        <v>210.12700678267203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Pin maritime</v>
      </c>
      <c r="B8" s="163">
        <f>'Données projet'!D11</f>
        <v>10.76</v>
      </c>
      <c r="C8" s="156">
        <f ca="1">IF(OR('Données projet'!B11="",'Données projet'!C11="",'Données projet'!C11=0%),0,Calculateur!BI3)</f>
        <v>157.98488572680344</v>
      </c>
      <c r="D8" s="156">
        <f>IF(OR('Données projet'!B11="",'Données projet'!C11="",'Données projet'!C11=0%),0,Calculateur!BJ3)</f>
        <v>269.20989374735825</v>
      </c>
      <c r="E8" s="156">
        <f t="shared" ca="1" si="0"/>
        <v>157.98488572680344</v>
      </c>
      <c r="F8" s="156">
        <f t="shared" ca="1" si="1"/>
        <v>1699.9173704204049</v>
      </c>
      <c r="G8" s="156">
        <f ca="1">F8*(100%-'Données projet'!$C$24)*(100%-'Données projet'!$C$25)*(100%-'Données projet'!$C$26)*(100%-'Données projet'!$C$27)</f>
        <v>1040.349430697288</v>
      </c>
      <c r="H8" s="164">
        <f>IF(OR('Données projet'!B11="",'Données projet'!C11="",'Données projet'!C11=0%),0,AVERAGE(Calculateur!$BS$3:$BS$33)*B8)</f>
        <v>88.092654517677488</v>
      </c>
      <c r="I8" s="158">
        <f>H8*(100%-'Données projet'!$C$24)*(100%-'Données projet'!$C$25)*(100%-'Données projet'!$C$26)*(100%-'Données projet'!$C$27)</f>
        <v>53.912704564818618</v>
      </c>
      <c r="J8" s="159">
        <f>IF(OR('Données projet'!B11="",'Données projet'!C11="",'Données projet'!C11=0%),0,SUM(Calculateur!$BL$3:$BL$33)*VLOOKUP('Données projet'!$B$11,Paramètres!$A$1:$I$89,9,0)*B8)</f>
        <v>691.97559999999999</v>
      </c>
      <c r="K8" s="160">
        <f>J8*(100%-'Données projet'!$C$24)*(100%-'Données projet'!$C$25)*(100%-'Données projet'!$C$26)*(100%-'Données projet'!$C$27)</f>
        <v>423.48906719999997</v>
      </c>
      <c r="L8" s="161">
        <f t="shared" ca="1" si="2"/>
        <v>1517.7512024621064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2103.0122183805429</v>
      </c>
      <c r="G16" s="175">
        <f t="shared" ca="1" si="3"/>
        <v>1287.0434776488923</v>
      </c>
      <c r="H16" s="176">
        <f t="shared" si="3"/>
        <v>120.61764673340834</v>
      </c>
      <c r="I16" s="176">
        <f t="shared" si="3"/>
        <v>73.817999800845897</v>
      </c>
      <c r="J16" s="177">
        <f t="shared" si="3"/>
        <v>1112.3983899999998</v>
      </c>
      <c r="K16" s="177">
        <f t="shared" si="3"/>
        <v>680.78781467999988</v>
      </c>
      <c r="L16" s="178">
        <f t="shared" ca="1" si="3"/>
        <v>2041.6492921297381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Pin maritime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Pin maritime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3" zoomScale="90" zoomScaleNormal="90" workbookViewId="0">
      <selection activeCell="P19" sqref="P19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1.2104999999999999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maritime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1.4795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Pin maritime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10.76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Pin maritime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13</v>
      </c>
      <c r="B54" s="193">
        <f>'Données projet'!D62</f>
        <v>28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18</v>
      </c>
      <c r="B55" s="193">
        <f>'Données projet'!D63</f>
        <v>40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23</v>
      </c>
      <c r="B56" s="193">
        <f>'Données projet'!D64</f>
        <v>52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34</v>
      </c>
      <c r="B58" s="193">
        <f>'Données projet'!D66</f>
        <v>325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Pin maritime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13</v>
      </c>
      <c r="B85" s="193">
        <f>'Données projet'!D88</f>
        <v>15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19</v>
      </c>
      <c r="B86" s="193">
        <f>'Données projet'!D89</f>
        <v>40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25</v>
      </c>
      <c r="B87" s="193">
        <f>'Données projet'!D90</f>
        <v>54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30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38</v>
      </c>
      <c r="B89" s="193">
        <f>'Données projet'!D92</f>
        <v>338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DE TRAVERSAY Albert</cp:lastModifiedBy>
  <dcterms:created xsi:type="dcterms:W3CDTF">2021-02-01T08:22:39Z</dcterms:created>
  <dcterms:modified xsi:type="dcterms:W3CDTF">2024-03-04T14:40:38Z</dcterms:modified>
</cp:coreProperties>
</file>