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6_Cie des Landes\2023 LUE\"/>
    </mc:Choice>
  </mc:AlternateContent>
  <xr:revisionPtr revIDLastSave="0" documentId="8_{9624CDE3-15A4-4943-91BD-EF21412C7E65}" xr6:coauthVersionLast="47" xr6:coauthVersionMax="47" xr10:uidLastSave="{00000000-0000-0000-0000-000000000000}"/>
  <bookViews>
    <workbookView xWindow="-120" yWindow="-120" windowWidth="25440" windowHeight="153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D72" i="1" s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HH156" i="2" l="1"/>
  <c r="AB156" i="2"/>
  <c r="FS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HI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HG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S164" i="2" l="1"/>
  <c r="HH164" i="2"/>
  <c r="HG164" i="2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DG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FR186" i="2"/>
  <c r="HG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H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V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HH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W202" i="2"/>
  <c r="FR202" i="2"/>
  <c r="EX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50" i="2" a="1"/>
  <c r="DN50" i="2" s="1"/>
  <c r="DN129" i="2" a="1"/>
  <c r="DN129" i="2" s="1"/>
  <c r="DN66" i="2" a="1"/>
  <c r="DN66" i="2" s="1"/>
  <c r="DN192" i="2" a="1"/>
  <c r="DN192" i="2" s="1"/>
  <c r="CS116" i="2" a="1"/>
  <c r="CS116" i="2" s="1"/>
  <c r="CS137" i="2" a="1"/>
  <c r="CS137" i="2" s="1"/>
  <c r="DN114" i="2" a="1"/>
  <c r="DN114" i="2" s="1"/>
  <c r="CS77" i="2" a="1"/>
  <c r="CS77" i="2" s="1"/>
  <c r="AH19" i="2" a="1"/>
  <c r="AH19" i="2" s="1"/>
  <c r="AH166" i="2" a="1"/>
  <c r="AH166" i="2" s="1"/>
  <c r="AH199" i="2" a="1"/>
  <c r="AH19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CS56" i="2" a="1"/>
  <c r="CS56" i="2" s="1"/>
  <c r="CS114" i="2" a="1"/>
  <c r="CS114" i="2" s="1"/>
  <c r="DN49" i="2" a="1"/>
  <c r="DN49" i="2" s="1"/>
  <c r="DN162" i="2" a="1"/>
  <c r="DN162" i="2" s="1"/>
  <c r="DN65" i="2" a="1"/>
  <c r="DN65" i="2" s="1"/>
  <c r="DN133" i="2" a="1"/>
  <c r="DN133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AH92" i="2" l="1" a="1"/>
  <c r="AH92" i="2" s="1"/>
  <c r="AH90" i="2" a="1"/>
  <c r="AH90" i="2" s="1"/>
  <c r="AH151" i="2" a="1"/>
  <c r="AH151" i="2" s="1"/>
  <c r="AH62" i="2" a="1"/>
  <c r="AH62" i="2" s="1"/>
  <c r="DN164" i="2" a="1"/>
  <c r="DN164" i="2" s="1"/>
  <c r="EI113" i="2" a="1"/>
  <c r="EI113" i="2" s="1"/>
  <c r="DN103" i="2" a="1"/>
  <c r="DN103" i="2" s="1"/>
  <c r="DN188" i="2" a="1"/>
  <c r="DN188" i="2" s="1"/>
  <c r="DN113" i="2" a="1"/>
  <c r="DN113" i="2" s="1"/>
  <c r="DN137" i="2" a="1"/>
  <c r="DN137" i="2" s="1"/>
  <c r="DN187" i="2" a="1"/>
  <c r="DN187" i="2" s="1"/>
  <c r="DN135" i="2" a="1"/>
  <c r="DN135" i="2" s="1"/>
  <c r="EI87" i="2" a="1"/>
  <c r="EI87" i="2" s="1"/>
  <c r="DN63" i="2" a="1"/>
  <c r="DN63" i="2" s="1"/>
  <c r="DN86" i="2" a="1"/>
  <c r="DN86" i="2" s="1"/>
  <c r="DN25" i="2" a="1"/>
  <c r="DN25" i="2" s="1"/>
  <c r="DN30" i="2" a="1"/>
  <c r="DN30" i="2" s="1"/>
  <c r="DN46" i="2" a="1"/>
  <c r="DN46" i="2" s="1"/>
  <c r="DN110" i="2" a="1"/>
  <c r="DN110" i="2" s="1"/>
  <c r="DN38" i="2" a="1"/>
  <c r="DN38" i="2" s="1"/>
  <c r="DN177" i="2" a="1"/>
  <c r="DN177" i="2" s="1"/>
  <c r="DN184" i="2" a="1"/>
  <c r="DN184" i="2" s="1"/>
  <c r="DN132" i="2" a="1"/>
  <c r="DN132" i="2" s="1"/>
  <c r="DN55" i="2" a="1"/>
  <c r="DN55" i="2" s="1"/>
  <c r="DN31" i="2" a="1"/>
  <c r="DN31" i="2" s="1"/>
  <c r="DN123" i="2" a="1"/>
  <c r="DN123" i="2" s="1"/>
  <c r="DN115" i="2" a="1"/>
  <c r="DN115" i="2" s="1"/>
  <c r="DN152" i="2" a="1"/>
  <c r="DN152" i="2" s="1"/>
  <c r="DN124" i="2" a="1"/>
  <c r="DN124" i="2" s="1"/>
  <c r="HH203" i="2"/>
  <c r="DN70" i="2" a="1"/>
  <c r="DN70" i="2" s="1"/>
  <c r="DN176" i="2" a="1"/>
  <c r="DN176" i="2" s="1"/>
  <c r="DN153" i="2" a="1"/>
  <c r="DN153" i="2" s="1"/>
  <c r="DN29" i="2" a="1"/>
  <c r="DN29" i="2" s="1"/>
  <c r="EI166" i="2" a="1"/>
  <c r="EI166" i="2" s="1"/>
  <c r="DN167" i="2" a="1"/>
  <c r="DN167" i="2" s="1"/>
  <c r="DN45" i="2" a="1"/>
  <c r="DN45" i="2" s="1"/>
  <c r="DN190" i="2" a="1"/>
  <c r="DN190" i="2" s="1"/>
  <c r="DN16" i="2" a="1"/>
  <c r="DN16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HG203" i="2"/>
  <c r="EI128" i="2" a="1"/>
  <c r="EI128" i="2" s="1"/>
  <c r="EI109" i="2" a="1"/>
  <c r="EI109" i="2" s="1"/>
  <c r="EI178" i="2" a="1"/>
  <c r="EI178" i="2" s="1"/>
  <c r="EI198" i="2" a="1"/>
  <c r="EI198" i="2" s="1"/>
  <c r="EI20" i="2" a="1"/>
  <c r="EI20" i="2" s="1"/>
  <c r="EI38" i="2" a="1"/>
  <c r="EI38" i="2" s="1"/>
  <c r="EI145" i="2" a="1"/>
  <c r="EI145" i="2" s="1"/>
  <c r="EI37" i="2" a="1"/>
  <c r="EI37" i="2" s="1"/>
  <c r="EI35" i="2" a="1"/>
  <c r="EI35" i="2" s="1"/>
  <c r="EI34" i="2" a="1"/>
  <c r="EI34" i="2" s="1"/>
  <c r="EI162" i="2" a="1"/>
  <c r="EI162" i="2" s="1"/>
  <c r="EI139" i="2" a="1"/>
  <c r="EI139" i="2" s="1"/>
  <c r="EI165" i="2" a="1"/>
  <c r="EI165" i="2" s="1"/>
  <c r="EI150" i="2" a="1"/>
  <c r="EI150" i="2" s="1"/>
  <c r="EI67" i="2" a="1"/>
  <c r="EI67" i="2" s="1"/>
  <c r="EI71" i="2" a="1"/>
  <c r="EI71" i="2" s="1"/>
  <c r="EI195" i="2" a="1"/>
  <c r="EI195" i="2" s="1"/>
  <c r="EI29" i="2" a="1"/>
  <c r="EI29" i="2" s="1"/>
  <c r="EI170" i="2" a="1"/>
  <c r="EI170" i="2" s="1"/>
  <c r="EI57" i="2" a="1"/>
  <c r="EI57" i="2" s="1"/>
  <c r="EI106" i="2" a="1"/>
  <c r="EI106" i="2" s="1"/>
  <c r="EI16" i="2" a="1"/>
  <c r="EI16" i="2" s="1"/>
  <c r="EI36" i="2" a="1"/>
  <c r="EI36" i="2" s="1"/>
  <c r="EI153" i="2" a="1"/>
  <c r="EI153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1" i="2" l="1"/>
  <c r="BI199" i="2"/>
  <c r="BI147" i="2"/>
  <c r="BI118" i="2"/>
  <c r="BI47" i="2"/>
  <c r="BI97" i="2"/>
  <c r="BI60" i="2"/>
  <c r="BI131" i="2"/>
  <c r="BI27" i="2"/>
  <c r="BI135" i="2"/>
  <c r="BI88" i="2"/>
  <c r="BI35" i="2"/>
  <c r="BI69" i="2"/>
  <c r="BI142" i="2"/>
  <c r="BI98" i="2"/>
  <c r="BI148" i="2"/>
  <c r="BI64" i="2"/>
  <c r="BI187" i="2"/>
  <c r="BI164" i="2"/>
  <c r="BI34" i="2"/>
  <c r="BI116" i="2"/>
  <c r="BI106" i="2"/>
  <c r="BI154" i="2"/>
  <c r="BI112" i="2"/>
  <c r="BI11" i="2"/>
  <c r="BI166" i="2"/>
  <c r="BI65" i="2"/>
  <c r="BI119" i="2"/>
  <c r="BI9" i="2"/>
  <c r="BI103" i="2"/>
  <c r="BI7" i="2"/>
  <c r="BI53" i="2"/>
  <c r="BI39" i="2"/>
  <c r="BI127" i="2"/>
  <c r="BI75" i="2"/>
  <c r="BI52" i="2"/>
  <c r="BI70" i="2"/>
  <c r="BI66" i="2"/>
  <c r="BI168" i="2"/>
  <c r="BI126" i="2"/>
  <c r="BI57" i="2"/>
  <c r="BI26" i="2"/>
  <c r="BI6" i="2"/>
  <c r="BI121" i="2"/>
  <c r="BI189" i="2"/>
  <c r="BI188" i="2"/>
  <c r="BI92" i="2"/>
  <c r="BI56" i="2"/>
  <c r="BI23" i="2"/>
  <c r="BI94" i="2"/>
  <c r="BI169" i="2"/>
  <c r="BI191" i="2"/>
  <c r="BI156" i="2"/>
  <c r="BI172" i="2"/>
  <c r="BI196" i="2"/>
  <c r="BI80" i="2"/>
  <c r="BI197" i="2"/>
  <c r="BI149" i="2"/>
  <c r="BI138" i="2"/>
  <c r="BI145" i="2"/>
  <c r="BI109" i="2"/>
  <c r="BI100" i="2"/>
  <c r="BI72" i="2"/>
  <c r="BI159" i="2"/>
  <c r="BI128" i="2"/>
  <c r="BI130" i="2"/>
  <c r="BI19" i="2"/>
  <c r="BI183" i="2"/>
  <c r="BI95" i="2"/>
  <c r="BI58" i="2"/>
  <c r="BI21" i="2"/>
  <c r="BI3" i="2"/>
  <c r="C8" i="4" s="1"/>
  <c r="E8" i="4" s="1"/>
  <c r="F8" i="4" s="1"/>
  <c r="G8" i="4" s="1"/>
  <c r="L8" i="4" s="1"/>
  <c r="BI16" i="2"/>
  <c r="BI124" i="2"/>
  <c r="BI41" i="2"/>
  <c r="BI28" i="2"/>
  <c r="BI120" i="2"/>
  <c r="BI113" i="2"/>
  <c r="BI96" i="2"/>
  <c r="BI87" i="2"/>
  <c r="BI150" i="2"/>
  <c r="BI117" i="2"/>
  <c r="BI50" i="2"/>
  <c r="BI25" i="2"/>
  <c r="BI79" i="2"/>
  <c r="BI40" i="2"/>
  <c r="BI129" i="2"/>
  <c r="BI33" i="2"/>
  <c r="BI180" i="2"/>
  <c r="BI192" i="2"/>
  <c r="BI139" i="2"/>
  <c r="BI55" i="2"/>
  <c r="BI105" i="2"/>
  <c r="BI193" i="2"/>
  <c r="BI61" i="2"/>
  <c r="BI111" i="2"/>
  <c r="BI146" i="2"/>
  <c r="BI104" i="2"/>
  <c r="BI176" i="2"/>
  <c r="BI136" i="2"/>
  <c r="BI74" i="2"/>
  <c r="BI32" i="2"/>
  <c r="BI12" i="2"/>
  <c r="BI89" i="2"/>
  <c r="BI107" i="2"/>
  <c r="BI54" i="2"/>
  <c r="BI162" i="2"/>
  <c r="BI167" i="2"/>
  <c r="BI101" i="2"/>
  <c r="BI153" i="2"/>
  <c r="BI38" i="2"/>
  <c r="BI59" i="2"/>
  <c r="BI152" i="2"/>
  <c r="BI81" i="2"/>
  <c r="BI134" i="2"/>
  <c r="BI173" i="2"/>
  <c r="BI77" i="2"/>
  <c r="BI185" i="2"/>
  <c r="BI49" i="2"/>
  <c r="BI133" i="2"/>
  <c r="BI195" i="2"/>
  <c r="BI186" i="2"/>
  <c r="BI73" i="2"/>
  <c r="BI13" i="2"/>
  <c r="BI29" i="2"/>
  <c r="BI175" i="2"/>
  <c r="BI82" i="2"/>
  <c r="BI177" i="2"/>
  <c r="BI86" i="2"/>
  <c r="BI132" i="2"/>
  <c r="BI14" i="2"/>
  <c r="BI85" i="2"/>
  <c r="BI76" i="2"/>
  <c r="BI178" i="2"/>
  <c r="BI68" i="2"/>
  <c r="BI78" i="2"/>
  <c r="BI174" i="2"/>
  <c r="BI20" i="2"/>
  <c r="BI43" i="2"/>
  <c r="BI140" i="2"/>
  <c r="BI202" i="2"/>
  <c r="BI15" i="2"/>
  <c r="BI171" i="2"/>
  <c r="BI184" i="2"/>
  <c r="BI157" i="2"/>
  <c r="BI5" i="2"/>
  <c r="BI48" i="2"/>
  <c r="BI137" i="2"/>
  <c r="BI182" i="2"/>
  <c r="BI46" i="2"/>
  <c r="BI36" i="2"/>
  <c r="BI30" i="2"/>
  <c r="BI71" i="2"/>
  <c r="BI8" i="2"/>
  <c r="BI24" i="2"/>
  <c r="BI163" i="2"/>
  <c r="BI194" i="2"/>
  <c r="BI203" i="2"/>
  <c r="BI17" i="2"/>
  <c r="BI190" i="2"/>
  <c r="BI122" i="2"/>
  <c r="BI18" i="2"/>
  <c r="BI99" i="2"/>
  <c r="BI93" i="2"/>
  <c r="BI90" i="2"/>
  <c r="BI165" i="2"/>
  <c r="BI102" i="2"/>
  <c r="BI44" i="2"/>
  <c r="BI144" i="2"/>
  <c r="BI160" i="2"/>
  <c r="BI141" i="2"/>
  <c r="BI125" i="2"/>
  <c r="BI198" i="2"/>
  <c r="BI67" i="2"/>
  <c r="BI114" i="2"/>
  <c r="BI62" i="2"/>
  <c r="BI200" i="2"/>
  <c r="BI84" i="2"/>
  <c r="BI63" i="2"/>
  <c r="BI37" i="2"/>
  <c r="BI115" i="2"/>
  <c r="BI10" i="2"/>
  <c r="BI83" i="2"/>
  <c r="BI31" i="2"/>
  <c r="BI108" i="2"/>
  <c r="BI201" i="2"/>
  <c r="BI51" i="2"/>
  <c r="BI161" i="2"/>
  <c r="BI42" i="2"/>
  <c r="BI158" i="2"/>
  <c r="BI143" i="2"/>
  <c r="BI155" i="2"/>
  <c r="BI45" i="2"/>
  <c r="BI179" i="2"/>
  <c r="BI170" i="2"/>
  <c r="BI22" i="2"/>
  <c r="BI151" i="2"/>
  <c r="BI4" i="2"/>
  <c r="BI110" i="2"/>
  <c r="BI123" i="2"/>
  <c r="BI181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<sst xmlns="http://schemas.openxmlformats.org/spreadsheetml/2006/main" count="1174" uniqueCount="326">
  <si>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</si>
  <si>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</si>
  <si>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</si>
  <si>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</si>
  <si>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</si>
  <si>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</si>
  <si>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</si>
  <si>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</si>
  <si>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</si>
  <si>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</si>
  <si>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</si>
  <si>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</si>
  <si>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</si>
  <si>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</si>
  <si>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</si>
  <si>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</si>
  <si>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</si>
  <si>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</si>
  <si>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</si>
  <si>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</si>
  <si>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</si>
  <si>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</si>
  <si>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</si>
  <si>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</si>
  <si>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</si>
  <si>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</si>
  <si>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</si>
  <si>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</si>
  <si>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</si>
  <si>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</si>
  <si>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</si>
  <si>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</si>
  <si>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</si>
  <si>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</si>
  <si>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</si>
  <si>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</si>
  <si>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</si>
  <si>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</si>
  <si>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</si>
  <si>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</si>
  <si>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</si>
  <si>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</si>
  <si>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</si>
  <si>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</si>
  <si>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</si>
  <si>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</si>
  <si>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</si>
  <si>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</si>
  <si>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</si>
  <si>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</si>
  <si>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</si>
  <si>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</si>
  <si>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</si>
  <si>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</si>
  <si>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</si>
  <si>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</si>
  <si>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</si>
  <si>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</si>
  <si>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</si>
  <si>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</si>
  <si>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</si>
  <si>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</si>
  <si>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</si>
  <si>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</si>
  <si>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</si>
  <si>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</si>
  <si>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</si>
  <si>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</si>
  <si>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</si>
  <si>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</si>
  <si>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</si>
  <si>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</si>
  <si>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</si>
  <si>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</si>
  <si>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</si>
  <si>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</si>
  <si>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</si>
  <si>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</si>
  <si>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</si>
  <si>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</si>
  <si>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</si>
  <si>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</si>
  <si>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</si>
  <si>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</si>
  <si>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</si>
  <si>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</si>
  <si>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</si>
  <si>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</si>
  <si>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</si>
  <si>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</si>
  <si>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</si>
  <si>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</si>
  <si>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</si>
  <si>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</si>
  <si>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</si>
  <si>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</si>
  <si>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</si>
  <si>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</si>
  <si>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</si>
  <si>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</si>
  <si>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</si>
  <si>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</si>
  <si>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</si>
  <si>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</si>
  <si>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</si>
  <si>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</si>
  <si>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</si>
  <si>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</si>
  <si>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</si>
  <si>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</si>
  <si>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</si>
  <si>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</si>
  <si>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</si>
  <si>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</si>
  <si>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</si>
  <si>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</si>
  <si>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</si>
  <si>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</si>
  <si>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</si>
  <si>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</si>
  <si>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</si>
  <si>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</si>
  <si>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</si>
  <si>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</si>
  <si>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</si>
  <si>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</si>
  <si>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</si>
  <si>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</si>
  <si>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</si>
  <si>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</si>
  <si>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</si>
  <si>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</si>
  <si>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</si>
  <si>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</si>
  <si>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</si>
  <si>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</si>
  <si>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</si>
  <si>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</si>
  <si>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</si>
  <si>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</si>
  <si>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</si>
  <si>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</si>
  <si>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</si>
  <si>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</si>
  <si>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</si>
  <si>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</si>
  <si>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</si>
  <si>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</si>
  <si>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</si>
  <si>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</si>
  <si>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</si>
  <si>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</si>
  <si>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</si>
  <si>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</si>
  <si>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</si>
  <si>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</si>
  <si>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</si>
  <si>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</si>
  <si>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</si>
  <si>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</si>
  <si>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</si>
  <si>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</si>
  <si>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</si>
  <si>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</si>
  <si>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</si>
  <si>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</si>
  <si>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</si>
  <si>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</si>
  <si>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</si>
  <si>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</si>
  <si>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</si>
  <si>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</si>
  <si>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</si>
  <si>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</si>
  <si>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</si>
  <si>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</si>
  <si>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</si>
  <si>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</si>
  <si>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</si>
  <si>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</si>
  <si>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</si>
  <si>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</si>
  <si>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</si>
  <si>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</si>
  <si>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</si>
  <si>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</si>
  <si>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</si>
  <si>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</si>
  <si>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</si>
  <si>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</si>
  <si>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</si>
  <si>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</si>
  <si>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</si>
  <si>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</si>
  <si>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</si>
  <si>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</si>
  <si>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</si>
  <si>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</si>
  <si>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</si>
  <si>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</si>
  <si>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</si>
  <si>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</si>
  <si>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</si>
  <si>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</si>
  <si>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</si>
  <si>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</si>
  <si>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</si>
  <si>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</si>
  <si>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</si>
  <si>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</si>
  <si>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</si>
  <si>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</si>
  <si>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</si>
  <si>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</si>
  <si>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</si>
  <si>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</si>
  <si>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</si>
  <si>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</si>
  <si>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</si>
  <si>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</si>
  <si>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</si>
  <si>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</si>
  <si>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</si>
  <si>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</si>
  <si>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</si>
  <si>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</si>
  <si>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</si>
  <si>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</si>
  <si>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</si>
  <si>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</si>
  <si>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</si>
  <si>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</si>
  <si>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</si>
  <si>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</si>
  <si>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</si>
  <si>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</si>
  <si>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</si>
  <si>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</si>
  <si>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</si>
  <si>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</si>
  <si>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</si>
  <si>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</si>
  <si>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</si>
  <si>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</si>
  <si>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</si>
  <si>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</si>
  <si>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</si>
  <si>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</si>
  <si>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</si>
  <si>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</si>
  <si>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</si>
  <si>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</si>
  <si>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</si>
  <si>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</si>
  <si>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</si>
  <si>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</si>
  <si>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</si>
  <si>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</si>
  <si>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</si>
  <si>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</si>
  <si>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</si>
  <si>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</si>
  <si>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</si>
  <si>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</si>
  <si>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</si>
  <si>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</si>
  <si>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</si>
  <si>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</si>
  <si>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</si>
  <si>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</si>
  <si>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</si>
  <si>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</si>
  <si>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</si>
  <si>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</si>
  <si>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</si>
  <si>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</si>
  <si>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</si>
  <si>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</si>
  <si>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</si>
  <si>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</si>
  <si>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</si>
  <si>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</si>
  <si>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</si>
  <si>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</si>
  <si>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</si>
  <si>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</si>
  <si>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</si>
  <si>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</si>
  <si>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</si>
  <si>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</si>
  <si>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</si>
  <si>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</si>
  <si>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</si>
  <si>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</si>
  <si>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</si>
  <si>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</si>
  <si>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</si>
  <si>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</si>
  <si>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</si>
  <si>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</si>
  <si>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</si>
  <si>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</si>
  <si>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</si>
  <si>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</si>
  <si>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</si>
  <si>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</si>
  <si>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</si>
  <si>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</si>
  <si>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</si>
  <si>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</si>
  <si>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</si>
  <si>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</si>
  <si>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</si>
  <si>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</si>
  <si>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</si>
  <si>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</si>
  <si>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</si>
  <si>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</si>
  <si>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</si>
  <si>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</si>
  <si>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</si>
  <si>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</si>
  <si>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</si>
  <si>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</si>
  <si>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Forestry commission - Hamilton and Christies (1974) - Yield class 4/8</t>
  </si>
  <si>
    <t>PM35_Fert2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</si>
</sst>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6" zoomScale="80" zoomScaleNormal="80" workbookViewId="0">
      <selection activeCell="M64" sqref="M6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21.21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</v>
      </c>
      <c r="D9" s="33">
        <f t="shared" ref="D9:D18" si="0">C9*$C$5</f>
        <v>19.089000000000002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15</v>
      </c>
      <c r="C10" s="32">
        <v>0.05</v>
      </c>
      <c r="D10" s="33">
        <f t="shared" si="0"/>
        <v>1.0605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10</v>
      </c>
      <c r="C11" s="32">
        <v>0.05</v>
      </c>
      <c r="D11" s="33">
        <f t="shared" si="0"/>
        <v>1.0605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21.210000000000004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I32" s="23" t="s">
        <v>325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122</v>
      </c>
      <c r="C36" s="60">
        <v>1</v>
      </c>
      <c r="D36" s="60">
        <v>34</v>
      </c>
      <c r="E36" s="51"/>
      <c r="F36" s="51">
        <v>0.5</v>
      </c>
      <c r="G36" s="51">
        <v>0.5</v>
      </c>
      <c r="H36" s="51"/>
      <c r="I36" s="49">
        <f>IFERROR(B36/A36,"")</f>
        <v>8.7142857142857135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205</v>
      </c>
      <c r="C37" s="60">
        <v>2</v>
      </c>
      <c r="D37" s="60">
        <v>57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19.5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388</v>
      </c>
      <c r="C38" s="60">
        <v>3</v>
      </c>
      <c r="D38" s="60">
        <v>388</v>
      </c>
      <c r="E38" s="51"/>
      <c r="F38" s="51"/>
      <c r="G38" s="51"/>
      <c r="H38" s="51"/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tauzin</v>
      </c>
      <c r="D58" s="229" t="s">
        <v>307</v>
      </c>
      <c r="I58" s="23" t="s">
        <v>324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76+8+21</f>
        <v>105</v>
      </c>
      <c r="C63" s="60">
        <v>1</v>
      </c>
      <c r="D63" s="60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116+21+21</f>
        <v>158</v>
      </c>
      <c r="C64" s="60">
        <v>2</v>
      </c>
      <c r="D64" s="60">
        <f>21+21</f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157+21+21</f>
        <v>199</v>
      </c>
      <c r="C65" s="60">
        <v>3</v>
      </c>
      <c r="D65" s="60">
        <f t="shared" ref="D65:D70" si="2">21+21</f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193+21+21</f>
        <v>235</v>
      </c>
      <c r="C66" s="60">
        <v>4</v>
      </c>
      <c r="D66" s="60">
        <f t="shared" si="2"/>
        <v>42</v>
      </c>
      <c r="E66" s="51"/>
      <c r="F66" s="51"/>
      <c r="G66" s="51"/>
      <c r="H66" s="51"/>
      <c r="I66" s="49">
        <f t="shared" ref="I66:I81" si="3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221+21+21</f>
        <v>263</v>
      </c>
      <c r="C67" s="60">
        <v>5</v>
      </c>
      <c r="D67" s="60">
        <f t="shared" si="2"/>
        <v>42</v>
      </c>
      <c r="E67" s="51"/>
      <c r="F67" s="51"/>
      <c r="G67" s="51"/>
      <c r="H67" s="51"/>
      <c r="I67" s="49">
        <f t="shared" si="3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240+21+21</f>
        <v>282</v>
      </c>
      <c r="C68" s="60">
        <v>6</v>
      </c>
      <c r="D68" s="60">
        <f t="shared" si="2"/>
        <v>42</v>
      </c>
      <c r="E68" s="51"/>
      <c r="F68" s="51"/>
      <c r="G68" s="51"/>
      <c r="H68" s="51"/>
      <c r="I68" s="49">
        <f t="shared" si="3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254+21+21</f>
        <v>296</v>
      </c>
      <c r="C69" s="50">
        <v>7</v>
      </c>
      <c r="D69" s="50">
        <f t="shared" si="2"/>
        <v>42</v>
      </c>
      <c r="E69" s="51"/>
      <c r="F69" s="51"/>
      <c r="G69" s="51"/>
      <c r="H69" s="51"/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261+21+21</f>
        <v>303</v>
      </c>
      <c r="C70" s="50">
        <v>8</v>
      </c>
      <c r="D70" s="50">
        <f t="shared" si="2"/>
        <v>42</v>
      </c>
      <c r="E70" s="51"/>
      <c r="F70" s="51"/>
      <c r="G70" s="51"/>
      <c r="H70" s="51"/>
      <c r="I70" s="49">
        <f t="shared" si="3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266+20+19</f>
        <v>305</v>
      </c>
      <c r="C71" s="50">
        <v>9</v>
      </c>
      <c r="D71" s="50">
        <f>20+19</f>
        <v>39</v>
      </c>
      <c r="E71" s="51"/>
      <c r="F71" s="51"/>
      <c r="G71" s="51"/>
      <c r="H71" s="51"/>
      <c r="I71" s="49">
        <f t="shared" si="3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f>268+17+18</f>
        <v>303</v>
      </c>
      <c r="C72" s="50">
        <v>10</v>
      </c>
      <c r="D72" s="50">
        <f>B72</f>
        <v>303</v>
      </c>
      <c r="E72" s="51"/>
      <c r="F72" s="51"/>
      <c r="G72" s="51"/>
      <c r="H72" s="51"/>
      <c r="I72" s="49">
        <f t="shared" si="3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Chêne-liège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tauzin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Chêne-liège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175.9108689482207</v>
      </c>
      <c r="T3" s="59">
        <f>IF('Données projet'!E9&gt;30,$R$33-$H$33,LOOKUP('Données projet'!$E$9,$A$3:$A$203,R3:R203)-LOOKUP('Données projet'!$E$9,$A$3:$A$203,$H$3:$H$203))</f>
        <v>359.8073445551853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311.44572917773388</v>
      </c>
      <c r="AO3" s="59">
        <f>IF('Données projet'!E10&gt;30,$AM$33-$H$33,LOOKUP('Données projet'!$E$10,$A$3:$A$203,AM3:AM203)-LOOKUP('Données projet'!$E$10,$A$3:$A$203,$H$3:$H$203))</f>
        <v>190.00559730122654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0</v>
      </c>
      <c r="BJ3" s="59">
        <f>IF('Données projet'!E11&gt;30,$BH$33-$H$33,LOOKUP('Données projet'!$E$11,$A$3:$A$203,BH3:BH203)-LOOKUP('Données projet'!$E$11,$A$3:$A$203,$H$3:$H$203))</f>
        <v>0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8.7142857142857135</v>
      </c>
      <c r="N4" s="13">
        <f>IF('Données projet'!$A$36&gt;35,N3+M4-V3,IF(A4&lt;'Données projet'!$A$36,$K$205^A4,IF(A4='Données projet'!$A$36,'Données projet'!$B$36,N3+M4-V3)))</f>
        <v>1.4093722046895278</v>
      </c>
      <c r="O4" s="13">
        <f>N4*VLOOKUP('Données projet'!$B$9,Paramètres!$A$1:$I$89,3,0)*VLOOKUP('Données projet'!$B$9,Paramètres!$A$1:$I$89,5,0)</f>
        <v>0.84280457840433776</v>
      </c>
      <c r="P4" s="13">
        <f>EXP(-1.0587+0.8836*LN(O4)+0.284)</f>
        <v>0.39620900461681891</v>
      </c>
      <c r="Q4" s="20">
        <f t="shared" ref="Q4:Q34" si="2">(O4+P4)*0.475*44/12</f>
        <v>2.1579486570951811</v>
      </c>
      <c r="R4" s="59">
        <f t="shared" si="0"/>
        <v>295.49128199042849</v>
      </c>
      <c r="S4" s="59">
        <f ca="1">AVERAGE(OFFSET($R$3,0,0,'Données projet'!$E$9+1,1))-AVERAGE(OFFSET($H$3,0,0,'Données projet'!$E$9+1,1))</f>
        <v>175.9108689482207</v>
      </c>
      <c r="T4" s="59">
        <f>$T$3</f>
        <v>359.8073445551853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1.2035580357412863</v>
      </c>
      <c r="AK4" s="13">
        <f>EXP(-1.0587+0.8836*LN(AJ4)+0.284)</f>
        <v>0.54281612277887337</v>
      </c>
      <c r="AL4" s="20">
        <f t="shared" ref="AL4:AL67" si="4">(AJ4+AK4)*0.475*44/12</f>
        <v>3.0416016594226112</v>
      </c>
      <c r="AM4" s="59">
        <f t="shared" ref="AM4:AM67" si="5">AL4+(AD4+AE4)*44/12</f>
        <v>296.37493499275593</v>
      </c>
      <c r="AN4" s="59">
        <f ca="1">AVERAGE(OFFSET($AM$3,0,0,'Données projet'!$E$10+1,1))-AVERAGE(OFFSET($H$3,0,0,'Données projet'!$E$10+1,1))</f>
        <v>311.44572917773388</v>
      </c>
      <c r="AO4" s="59">
        <f>$AO$3</f>
        <v>190.00559730122654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>
        <f>BD4*VLOOKUP('Données projet'!$B$11,Paramètres!$A$1:$I$89,3,0)*VLOOKUP('Données projet'!$B$11,Paramètres!$A$1:$I$89,5,0)</f>
        <v>0</v>
      </c>
      <c r="BF4" s="13" t="e">
        <f>EXP(-1.0587+0.8836*LN(BE4)+0.284)</f>
        <v>#NUM!</v>
      </c>
      <c r="BG4" s="20" t="e">
        <f t="shared" ref="BG4:BG67" si="7">(BE4+BF4)*0.475*44/12</f>
        <v>#NUM!</v>
      </c>
      <c r="BH4" s="59" t="e">
        <f t="shared" ref="BH4:BH67" si="8">BG4+(AY4+AZ4)*44/12</f>
        <v>#NUM!</v>
      </c>
      <c r="BI4" s="59">
        <f ca="1">AVERAGE(OFFSET($BH$3,0,0,'Données projet'!$E$11+1,1))-AVERAGE(OFFSET($H$3,0,0,'Données projet'!$E$11+1,1))</f>
        <v>0</v>
      </c>
      <c r="BJ4" s="59">
        <f>$BJ$3</f>
        <v>0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8.7142857142857135</v>
      </c>
      <c r="N5" s="13">
        <f>IF('Données projet'!$A$36&gt;35,N4+M5-V4,IF(A5&lt;'Données projet'!$A$36,$K$205^A5,IF(A5='Données projet'!$A$36,'Données projet'!$B$36,N4+M5-V4)))</f>
        <v>1.9863300113514204</v>
      </c>
      <c r="O5" s="13">
        <f>N5*VLOOKUP('Données projet'!$B$9,Paramètres!$A$1:$I$89,3,0)*VLOOKUP('Données projet'!$B$9,Paramètres!$A$1:$I$89,5,0)</f>
        <v>1.1878253467881494</v>
      </c>
      <c r="P5" s="13">
        <f t="shared" ref="P5:P68" si="33">EXP(-1.0587+0.8836*LN(O5)+0.284)</f>
        <v>0.53654166415990812</v>
      </c>
      <c r="Q5" s="20">
        <f t="shared" si="2"/>
        <v>3.0032725440678667</v>
      </c>
      <c r="R5" s="59">
        <f t="shared" si="0"/>
        <v>296.33660587740115</v>
      </c>
      <c r="S5" s="59">
        <f ca="1">AVERAGE(OFFSET($R$3,0,0,'Données projet'!$E$9+1,1))-AVERAGE(OFFSET($H$3,0,0,'Données projet'!$E$9+1,1))</f>
        <v>175.9108689482207</v>
      </c>
      <c r="T5" s="59">
        <f t="shared" ref="T5:T68" si="34">$T$3</f>
        <v>359.8073445551853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1.4508733427458165</v>
      </c>
      <c r="AK5" s="13">
        <f t="shared" ref="AK5:AK68" si="35">EXP(-1.0587+0.8836*LN(AJ5)+0.284)</f>
        <v>0.64027698656724041</v>
      </c>
      <c r="AL5" s="20">
        <f t="shared" si="4"/>
        <v>3.6420868235535733</v>
      </c>
      <c r="AM5" s="59">
        <f t="shared" si="5"/>
        <v>296.97542015688691</v>
      </c>
      <c r="AN5" s="59">
        <f ca="1">AVERAGE(OFFSET($AM$3,0,0,'Données projet'!$E$10+1,1))-AVERAGE(OFFSET($H$3,0,0,'Données projet'!$E$10+1,1))</f>
        <v>311.44572917773388</v>
      </c>
      <c r="AO5" s="59">
        <f t="shared" ref="AO5:AO68" si="36">$AO$3</f>
        <v>190.00559730122654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>
        <f>BD5*VLOOKUP('Données projet'!$B$11,Paramètres!$A$1:$I$89,3,0)*VLOOKUP('Données projet'!$B$11,Paramètres!$A$1:$I$89,5,0)</f>
        <v>0</v>
      </c>
      <c r="BF5" s="13" t="e">
        <f t="shared" ref="BF5:BF68" si="37">EXP(-1.0587+0.8836*LN(BE5)+0.284)</f>
        <v>#NUM!</v>
      </c>
      <c r="BG5" s="20" t="e">
        <f t="shared" si="7"/>
        <v>#NUM!</v>
      </c>
      <c r="BH5" s="59" t="e">
        <f t="shared" si="8"/>
        <v>#NUM!</v>
      </c>
      <c r="BI5" s="59">
        <f ca="1">AVERAGE(OFFSET($BH$3,0,0,'Données projet'!$E$11+1,1))-AVERAGE(OFFSET($H$3,0,0,'Données projet'!$E$11+1,1))</f>
        <v>0</v>
      </c>
      <c r="BJ5" s="59">
        <f t="shared" ref="BJ5:BJ68" si="38">$BJ$3</f>
        <v>0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8.7142857142857135</v>
      </c>
      <c r="N6" s="13">
        <f>IF('Données projet'!$A$36&gt;35,N5+M6-V5,IF(A6&lt;'Données projet'!$A$36,$K$205^A6,IF(A6='Données projet'!$A$36,'Données projet'!$B$36,N5+M6-V5)))</f>
        <v>2.7994783073393261</v>
      </c>
      <c r="O6" s="13">
        <f>N6*VLOOKUP('Données projet'!$B$9,Paramètres!$A$1:$I$89,3,0)*VLOOKUP('Données projet'!$B$9,Paramètres!$A$1:$I$89,5,0)</f>
        <v>1.6740880277889172</v>
      </c>
      <c r="P6" s="13">
        <f t="shared" si="33"/>
        <v>0.72657853311005594</v>
      </c>
      <c r="Q6" s="20">
        <f t="shared" si="2"/>
        <v>4.1811609268990448</v>
      </c>
      <c r="R6" s="59">
        <f t="shared" si="0"/>
        <v>297.51449426023237</v>
      </c>
      <c r="S6" s="59">
        <f ca="1">AVERAGE(OFFSET($R$3,0,0,'Données projet'!$E$9+1,1))-AVERAGE(OFFSET($H$3,0,0,'Données projet'!$E$9+1,1))</f>
        <v>175.9108689482207</v>
      </c>
      <c r="T6" s="59">
        <f t="shared" si="34"/>
        <v>359.8073445551853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1.7490086843995882</v>
      </c>
      <c r="AK6" s="13">
        <f t="shared" si="35"/>
        <v>0.75523663046137834</v>
      </c>
      <c r="AL6" s="20">
        <f t="shared" si="4"/>
        <v>4.3615605900495167</v>
      </c>
      <c r="AM6" s="59">
        <f t="shared" si="5"/>
        <v>297.69489392338284</v>
      </c>
      <c r="AN6" s="59">
        <f ca="1">AVERAGE(OFFSET($AM$3,0,0,'Données projet'!$E$10+1,1))-AVERAGE(OFFSET($H$3,0,0,'Données projet'!$E$10+1,1))</f>
        <v>311.44572917773388</v>
      </c>
      <c r="AO6" s="59">
        <f t="shared" si="36"/>
        <v>190.00559730122654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>
        <f>BD6*VLOOKUP('Données projet'!$B$11,Paramètres!$A$1:$I$89,3,0)*VLOOKUP('Données projet'!$B$11,Paramètres!$A$1:$I$89,5,0)</f>
        <v>0</v>
      </c>
      <c r="BF6" s="13" t="e">
        <f t="shared" si="37"/>
        <v>#NUM!</v>
      </c>
      <c r="BG6" s="20" t="e">
        <f t="shared" si="7"/>
        <v>#NUM!</v>
      </c>
      <c r="BH6" s="59" t="e">
        <f t="shared" si="8"/>
        <v>#NUM!</v>
      </c>
      <c r="BI6" s="59">
        <f ca="1">AVERAGE(OFFSET($BH$3,0,0,'Données projet'!$E$11+1,1))-AVERAGE(OFFSET($H$3,0,0,'Données projet'!$E$11+1,1))</f>
        <v>0</v>
      </c>
      <c r="BJ6" s="59">
        <f t="shared" si="38"/>
        <v>0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8.7142857142857135</v>
      </c>
      <c r="N7" s="13">
        <f>IF('Données projet'!$A$36&gt;35,N6+M7-V6,IF(A7&lt;'Données projet'!$A$36,$K$205^A7,IF(A7='Données projet'!$A$36,'Données projet'!$B$36,N6+M7-V6)))</f>
        <v>3.945506913995334</v>
      </c>
      <c r="O7" s="13">
        <f>N7*VLOOKUP('Données projet'!$B$9,Paramètres!$A$1:$I$89,3,0)*VLOOKUP('Données projet'!$B$9,Paramètres!$A$1:$I$89,5,0)</f>
        <v>2.35941313456921</v>
      </c>
      <c r="P7" s="13">
        <f t="shared" si="33"/>
        <v>0.98392426914869235</v>
      </c>
      <c r="Q7" s="20">
        <f t="shared" si="2"/>
        <v>5.8229793114753461</v>
      </c>
      <c r="R7" s="59">
        <f t="shared" si="0"/>
        <v>299.15631264480868</v>
      </c>
      <c r="S7" s="59">
        <f ca="1">AVERAGE(OFFSET($R$3,0,0,'Données projet'!$E$9+1,1))-AVERAGE(OFFSET($H$3,0,0,'Données projet'!$E$9+1,1))</f>
        <v>175.9108689482207</v>
      </c>
      <c r="T7" s="59">
        <f t="shared" si="34"/>
        <v>359.8073445551853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2.108406907742808</v>
      </c>
      <c r="AK7" s="13">
        <f t="shared" si="35"/>
        <v>0.89083690333567267</v>
      </c>
      <c r="AL7" s="20">
        <f t="shared" si="4"/>
        <v>5.2236829709616872</v>
      </c>
      <c r="AM7" s="59">
        <f t="shared" si="5"/>
        <v>298.55701630429502</v>
      </c>
      <c r="AN7" s="59">
        <f ca="1">AVERAGE(OFFSET($AM$3,0,0,'Données projet'!$E$10+1,1))-AVERAGE(OFFSET($H$3,0,0,'Données projet'!$E$10+1,1))</f>
        <v>311.44572917773388</v>
      </c>
      <c r="AO7" s="59">
        <f t="shared" si="36"/>
        <v>190.00559730122654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>
        <f>BD7*VLOOKUP('Données projet'!$B$11,Paramètres!$A$1:$I$89,3,0)*VLOOKUP('Données projet'!$B$11,Paramètres!$A$1:$I$89,5,0)</f>
        <v>0</v>
      </c>
      <c r="BF7" s="13" t="e">
        <f t="shared" si="37"/>
        <v>#NUM!</v>
      </c>
      <c r="BG7" s="20" t="e">
        <f t="shared" si="7"/>
        <v>#NUM!</v>
      </c>
      <c r="BH7" s="59" t="e">
        <f t="shared" si="8"/>
        <v>#NUM!</v>
      </c>
      <c r="BI7" s="59">
        <f ca="1">AVERAGE(OFFSET($BH$3,0,0,'Données projet'!$E$11+1,1))-AVERAGE(OFFSET($H$3,0,0,'Données projet'!$E$11+1,1))</f>
        <v>0</v>
      </c>
      <c r="BJ7" s="59">
        <f t="shared" si="38"/>
        <v>0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8.7142857142857135</v>
      </c>
      <c r="N8" s="13">
        <f>IF('Données projet'!$A$36&gt;35,N7+M8-V7,IF(A8&lt;'Données projet'!$A$36,$K$205^A8,IF(A8='Données projet'!$A$36,'Données projet'!$B$36,N7+M8-V7)))</f>
        <v>5.5606877779953789</v>
      </c>
      <c r="O8" s="13">
        <f>N8*VLOOKUP('Données projet'!$B$9,Paramètres!$A$1:$I$89,3,0)*VLOOKUP('Données projet'!$B$9,Paramètres!$A$1:$I$89,5,0)</f>
        <v>3.3252912912412369</v>
      </c>
      <c r="P8" s="13">
        <f t="shared" si="33"/>
        <v>1.3324188966551089</v>
      </c>
      <c r="Q8" s="20">
        <f t="shared" si="2"/>
        <v>8.1121785772528003</v>
      </c>
      <c r="R8" s="59">
        <f t="shared" si="0"/>
        <v>301.44551191058611</v>
      </c>
      <c r="S8" s="59">
        <f ca="1">AVERAGE(OFFSET($R$3,0,0,'Données projet'!$E$9+1,1))-AVERAGE(OFFSET($H$3,0,0,'Données projet'!$E$9+1,1))</f>
        <v>175.9108689482207</v>
      </c>
      <c r="T8" s="59">
        <f t="shared" si="34"/>
        <v>359.8073445551853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2.5416567271897965</v>
      </c>
      <c r="AK8" s="13">
        <f t="shared" si="35"/>
        <v>1.0507837627789343</v>
      </c>
      <c r="AL8" s="20">
        <f t="shared" si="4"/>
        <v>6.2568338533622061</v>
      </c>
      <c r="AM8" s="59">
        <f t="shared" si="5"/>
        <v>299.59016718669551</v>
      </c>
      <c r="AN8" s="59">
        <f ca="1">AVERAGE(OFFSET($AM$3,0,0,'Données projet'!$E$10+1,1))-AVERAGE(OFFSET($H$3,0,0,'Données projet'!$E$10+1,1))</f>
        <v>311.44572917773388</v>
      </c>
      <c r="AO8" s="59">
        <f t="shared" si="36"/>
        <v>190.00559730122654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>
        <f>BD8*VLOOKUP('Données projet'!$B$11,Paramètres!$A$1:$I$89,3,0)*VLOOKUP('Données projet'!$B$11,Paramètres!$A$1:$I$89,5,0)</f>
        <v>0</v>
      </c>
      <c r="BF8" s="13" t="e">
        <f t="shared" si="37"/>
        <v>#NUM!</v>
      </c>
      <c r="BG8" s="20" t="e">
        <f t="shared" si="7"/>
        <v>#NUM!</v>
      </c>
      <c r="BH8" s="59" t="e">
        <f t="shared" si="8"/>
        <v>#NUM!</v>
      </c>
      <c r="BI8" s="59">
        <f ca="1">AVERAGE(OFFSET($BH$3,0,0,'Données projet'!$E$11+1,1))-AVERAGE(OFFSET($H$3,0,0,'Données projet'!$E$11+1,1))</f>
        <v>0</v>
      </c>
      <c r="BJ8" s="59">
        <f t="shared" si="38"/>
        <v>0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8.7142857142857135</v>
      </c>
      <c r="N9" s="13">
        <f>IF('Données projet'!$A$36&gt;35,N8+M9-V8,IF(A9&lt;'Données projet'!$A$36,$K$205^A9,IF(A9='Données projet'!$A$36,'Données projet'!$B$36,N8+M9-V8)))</f>
        <v>7.8370787932634594</v>
      </c>
      <c r="O9" s="13">
        <f>N9*VLOOKUP('Données projet'!$B$9,Paramètres!$A$1:$I$89,3,0)*VLOOKUP('Données projet'!$B$9,Paramètres!$A$1:$I$89,5,0)</f>
        <v>4.6865731183715491</v>
      </c>
      <c r="P9" s="13">
        <f t="shared" si="33"/>
        <v>1.8043463016718464</v>
      </c>
      <c r="Q9" s="20">
        <f t="shared" si="2"/>
        <v>11.305017989908913</v>
      </c>
      <c r="R9" s="59">
        <f t="shared" si="0"/>
        <v>304.6383513232422</v>
      </c>
      <c r="S9" s="59">
        <f ca="1">AVERAGE(OFFSET($R$3,0,0,'Données projet'!$E$9+1,1))-AVERAGE(OFFSET($H$3,0,0,'Données projet'!$E$9+1,1))</f>
        <v>175.9108689482207</v>
      </c>
      <c r="T9" s="59">
        <f t="shared" si="34"/>
        <v>359.8073445551853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3.0639336719803465</v>
      </c>
      <c r="AK9" s="13">
        <f t="shared" si="35"/>
        <v>1.239448558973546</v>
      </c>
      <c r="AL9" s="20">
        <f t="shared" si="4"/>
        <v>7.4950573855780291</v>
      </c>
      <c r="AM9" s="59">
        <f t="shared" si="5"/>
        <v>300.82839071891135</v>
      </c>
      <c r="AN9" s="59">
        <f ca="1">AVERAGE(OFFSET($AM$3,0,0,'Données projet'!$E$10+1,1))-AVERAGE(OFFSET($H$3,0,0,'Données projet'!$E$10+1,1))</f>
        <v>311.44572917773388</v>
      </c>
      <c r="AO9" s="59">
        <f t="shared" si="36"/>
        <v>190.00559730122654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>
        <f>BD9*VLOOKUP('Données projet'!$B$11,Paramètres!$A$1:$I$89,3,0)*VLOOKUP('Données projet'!$B$11,Paramètres!$A$1:$I$89,5,0)</f>
        <v>0</v>
      </c>
      <c r="BF9" s="13" t="e">
        <f t="shared" si="37"/>
        <v>#NUM!</v>
      </c>
      <c r="BG9" s="20" t="e">
        <f t="shared" si="7"/>
        <v>#NUM!</v>
      </c>
      <c r="BH9" s="59" t="e">
        <f t="shared" si="8"/>
        <v>#NUM!</v>
      </c>
      <c r="BI9" s="59">
        <f ca="1">AVERAGE(OFFSET($BH$3,0,0,'Données projet'!$E$11+1,1))-AVERAGE(OFFSET($H$3,0,0,'Données projet'!$E$11+1,1))</f>
        <v>0</v>
      </c>
      <c r="BJ9" s="59">
        <f t="shared" si="38"/>
        <v>0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8.7142857142857135</v>
      </c>
      <c r="N10" s="13">
        <f>IF('Données projet'!$A$36&gt;35,N9+M10-V9,IF(A10&lt;'Données projet'!$A$36,$K$205^A10,IF(A10='Données projet'!$A$36,'Données projet'!$B$36,N9+M10-V9)))</f>
        <v>11.045361017187266</v>
      </c>
      <c r="O10" s="13">
        <f>N10*VLOOKUP('Données projet'!$B$9,Paramètres!$A$1:$I$89,3,0)*VLOOKUP('Données projet'!$B$9,Paramètres!$A$1:$I$89,5,0)</f>
        <v>6.6051258882779855</v>
      </c>
      <c r="P10" s="13">
        <f t="shared" si="33"/>
        <v>2.4434249503139451</v>
      </c>
      <c r="Q10" s="20">
        <f t="shared" si="2"/>
        <v>15.759559377214279</v>
      </c>
      <c r="R10" s="59">
        <f t="shared" si="0"/>
        <v>309.09289271054757</v>
      </c>
      <c r="S10" s="59">
        <f ca="1">AVERAGE(OFFSET($R$3,0,0,'Données projet'!$E$9+1,1))-AVERAGE(OFFSET($H$3,0,0,'Données projet'!$E$9+1,1))</f>
        <v>175.9108689482207</v>
      </c>
      <c r="T10" s="59">
        <f t="shared" si="34"/>
        <v>359.8073445551853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3.6935316425182818</v>
      </c>
      <c r="AK10" s="13">
        <f t="shared" si="35"/>
        <v>1.4619875037646497</v>
      </c>
      <c r="AL10" s="20">
        <f t="shared" si="4"/>
        <v>8.9791958464427726</v>
      </c>
      <c r="AM10" s="59">
        <f t="shared" si="5"/>
        <v>302.31252917977611</v>
      </c>
      <c r="AN10" s="59">
        <f ca="1">AVERAGE(OFFSET($AM$3,0,0,'Données projet'!$E$10+1,1))-AVERAGE(OFFSET($H$3,0,0,'Données projet'!$E$10+1,1))</f>
        <v>311.44572917773388</v>
      </c>
      <c r="AO10" s="59">
        <f t="shared" si="36"/>
        <v>190.00559730122654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>
        <f>BD10*VLOOKUP('Données projet'!$B$11,Paramètres!$A$1:$I$89,3,0)*VLOOKUP('Données projet'!$B$11,Paramètres!$A$1:$I$89,5,0)</f>
        <v>0</v>
      </c>
      <c r="BF10" s="13" t="e">
        <f t="shared" si="37"/>
        <v>#NUM!</v>
      </c>
      <c r="BG10" s="20" t="e">
        <f t="shared" si="7"/>
        <v>#NUM!</v>
      </c>
      <c r="BH10" s="59" t="e">
        <f t="shared" si="8"/>
        <v>#NUM!</v>
      </c>
      <c r="BI10" s="59">
        <f ca="1">AVERAGE(OFFSET($BH$3,0,0,'Données projet'!$E$11+1,1))-AVERAGE(OFFSET($H$3,0,0,'Données projet'!$E$11+1,1))</f>
        <v>0</v>
      </c>
      <c r="BJ10" s="59">
        <f t="shared" si="38"/>
        <v>0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8.7142857142857135</v>
      </c>
      <c r="N11" s="13">
        <f>IF('Données projet'!$A$36&gt;35,N10+M11-V10,IF(A11&lt;'Données projet'!$A$36,$K$205^A11,IF(A11='Données projet'!$A$36,'Données projet'!$B$36,N10+M11-V10)))</f>
        <v>15.567024808384984</v>
      </c>
      <c r="O11" s="13">
        <f>N11*VLOOKUP('Données projet'!$B$9,Paramètres!$A$1:$I$89,3,0)*VLOOKUP('Données projet'!$B$9,Paramètres!$A$1:$I$89,5,0)</f>
        <v>9.3090808354142212</v>
      </c>
      <c r="P11" s="13">
        <f t="shared" si="33"/>
        <v>3.3088578851436679</v>
      </c>
      <c r="Q11" s="20">
        <f t="shared" si="2"/>
        <v>21.976243271638324</v>
      </c>
      <c r="R11" s="59">
        <f t="shared" si="0"/>
        <v>315.30957660497165</v>
      </c>
      <c r="S11" s="59">
        <f ca="1">AVERAGE(OFFSET($R$3,0,0,'Données projet'!$E$9+1,1))-AVERAGE(OFFSET($H$3,0,0,'Données projet'!$E$9+1,1))</f>
        <v>175.9108689482207</v>
      </c>
      <c r="T11" s="59">
        <f t="shared" si="34"/>
        <v>359.8073445551853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4.4525036945288354</v>
      </c>
      <c r="AK11" s="13">
        <f t="shared" si="35"/>
        <v>1.7244825900109102</v>
      </c>
      <c r="AL11" s="20">
        <f t="shared" si="4"/>
        <v>10.758251112240055</v>
      </c>
      <c r="AM11" s="59">
        <f t="shared" si="5"/>
        <v>304.09158444557335</v>
      </c>
      <c r="AN11" s="59">
        <f ca="1">AVERAGE(OFFSET($AM$3,0,0,'Données projet'!$E$10+1,1))-AVERAGE(OFFSET($H$3,0,0,'Données projet'!$E$10+1,1))</f>
        <v>311.44572917773388</v>
      </c>
      <c r="AO11" s="59">
        <f t="shared" si="36"/>
        <v>190.00559730122654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>
        <f>BD11*VLOOKUP('Données projet'!$B$11,Paramètres!$A$1:$I$89,3,0)*VLOOKUP('Données projet'!$B$11,Paramètres!$A$1:$I$89,5,0)</f>
        <v>0</v>
      </c>
      <c r="BF11" s="13" t="e">
        <f t="shared" si="37"/>
        <v>#NUM!</v>
      </c>
      <c r="BG11" s="20" t="e">
        <f t="shared" si="7"/>
        <v>#NUM!</v>
      </c>
      <c r="BH11" s="59" t="e">
        <f t="shared" si="8"/>
        <v>#NUM!</v>
      </c>
      <c r="BI11" s="59">
        <f ca="1">AVERAGE(OFFSET($BH$3,0,0,'Données projet'!$E$11+1,1))-AVERAGE(OFFSET($H$3,0,0,'Données projet'!$E$11+1,1))</f>
        <v>0</v>
      </c>
      <c r="BJ11" s="59">
        <f t="shared" si="38"/>
        <v>0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8.7142857142857135</v>
      </c>
      <c r="N12" s="13">
        <f>IF('Données projet'!$A$36&gt;35,N11+M12-V11,IF(A12&lt;'Données projet'!$A$36,$K$205^A12,IF(A12='Données projet'!$A$36,'Données projet'!$B$36,N11+M12-V11)))</f>
        <v>21.93973207465012</v>
      </c>
      <c r="O12" s="13">
        <f>N12*VLOOKUP('Données projet'!$B$9,Paramètres!$A$1:$I$89,3,0)*VLOOKUP('Données projet'!$B$9,Paramètres!$A$1:$I$89,5,0)</f>
        <v>13.119959780640773</v>
      </c>
      <c r="P12" s="13">
        <f t="shared" si="33"/>
        <v>4.4808171835483188</v>
      </c>
      <c r="Q12" s="20">
        <f t="shared" si="2"/>
        <v>30.654686545962665</v>
      </c>
      <c r="R12" s="59">
        <f t="shared" si="0"/>
        <v>323.98801987929596</v>
      </c>
      <c r="S12" s="59">
        <f ca="1">AVERAGE(OFFSET($R$3,0,0,'Données projet'!$E$9+1,1))-AVERAGE(OFFSET($H$3,0,0,'Données projet'!$E$9+1,1))</f>
        <v>175.9108689482207</v>
      </c>
      <c r="T12" s="59">
        <f t="shared" si="34"/>
        <v>359.8073445551853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5.3674344959114038</v>
      </c>
      <c r="AK12" s="13">
        <f t="shared" si="35"/>
        <v>2.0341078125449323</v>
      </c>
      <c r="AL12" s="20">
        <f t="shared" si="4"/>
        <v>12.891019520561452</v>
      </c>
      <c r="AM12" s="59">
        <f t="shared" si="5"/>
        <v>306.22435285389474</v>
      </c>
      <c r="AN12" s="59">
        <f ca="1">AVERAGE(OFFSET($AM$3,0,0,'Données projet'!$E$10+1,1))-AVERAGE(OFFSET($H$3,0,0,'Données projet'!$E$10+1,1))</f>
        <v>311.44572917773388</v>
      </c>
      <c r="AO12" s="59">
        <f t="shared" si="36"/>
        <v>190.00559730122654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>
        <f>BD12*VLOOKUP('Données projet'!$B$11,Paramètres!$A$1:$I$89,3,0)*VLOOKUP('Données projet'!$B$11,Paramètres!$A$1:$I$89,5,0)</f>
        <v>0</v>
      </c>
      <c r="BF12" s="13" t="e">
        <f t="shared" si="37"/>
        <v>#NUM!</v>
      </c>
      <c r="BG12" s="20" t="e">
        <f t="shared" si="7"/>
        <v>#NUM!</v>
      </c>
      <c r="BH12" s="59" t="e">
        <f t="shared" si="8"/>
        <v>#NUM!</v>
      </c>
      <c r="BI12" s="59">
        <f ca="1">AVERAGE(OFFSET($BH$3,0,0,'Données projet'!$E$11+1,1))-AVERAGE(OFFSET($H$3,0,0,'Données projet'!$E$11+1,1))</f>
        <v>0</v>
      </c>
      <c r="BJ12" s="59">
        <f t="shared" si="38"/>
        <v>0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8.7142857142857135</v>
      </c>
      <c r="N13" s="13">
        <f>IF('Données projet'!$A$36&gt;35,N12+M13-V12,IF(A13&lt;'Données projet'!$A$36,$K$205^A13,IF(A13='Données projet'!$A$36,'Données projet'!$B$36,N12+M13-V12)))</f>
        <v>30.921248564347188</v>
      </c>
      <c r="O13" s="13">
        <f>N13*VLOOKUP('Données projet'!$B$9,Paramètres!$A$1:$I$89,3,0)*VLOOKUP('Données projet'!$B$9,Paramètres!$A$1:$I$89,5,0)</f>
        <v>18.490906641479619</v>
      </c>
      <c r="P13" s="13">
        <f t="shared" si="33"/>
        <v>6.0678709480175019</v>
      </c>
      <c r="Q13" s="20">
        <f t="shared" si="2"/>
        <v>42.773204301707487</v>
      </c>
      <c r="R13" s="59">
        <f t="shared" si="0"/>
        <v>336.10653763504081</v>
      </c>
      <c r="S13" s="59">
        <f ca="1">AVERAGE(OFFSET($R$3,0,0,'Données projet'!$E$9+1,1))-AVERAGE(OFFSET($H$3,0,0,'Données projet'!$E$9+1,1))</f>
        <v>175.9108689482207</v>
      </c>
      <c r="T13" s="59">
        <f t="shared" si="34"/>
        <v>359.8073445551853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6.4703715132904138</v>
      </c>
      <c r="AK13" s="13">
        <f t="shared" si="35"/>
        <v>2.3993252335647837</v>
      </c>
      <c r="AL13" s="20">
        <f t="shared" si="4"/>
        <v>15.448055167439469</v>
      </c>
      <c r="AM13" s="59">
        <f t="shared" si="5"/>
        <v>308.78138850077278</v>
      </c>
      <c r="AN13" s="59">
        <f ca="1">AVERAGE(OFFSET($AM$3,0,0,'Données projet'!$E$10+1,1))-AVERAGE(OFFSET($H$3,0,0,'Données projet'!$E$10+1,1))</f>
        <v>311.44572917773388</v>
      </c>
      <c r="AO13" s="59">
        <f t="shared" si="36"/>
        <v>190.00559730122654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>
        <f>BD13*VLOOKUP('Données projet'!$B$11,Paramètres!$A$1:$I$89,3,0)*VLOOKUP('Données projet'!$B$11,Paramètres!$A$1:$I$89,5,0)</f>
        <v>0</v>
      </c>
      <c r="BF13" s="13" t="e">
        <f t="shared" si="37"/>
        <v>#NUM!</v>
      </c>
      <c r="BG13" s="20" t="e">
        <f t="shared" si="7"/>
        <v>#NUM!</v>
      </c>
      <c r="BH13" s="59" t="e">
        <f t="shared" si="8"/>
        <v>#NUM!</v>
      </c>
      <c r="BI13" s="59">
        <f ca="1">AVERAGE(OFFSET($BH$3,0,0,'Données projet'!$E$11+1,1))-AVERAGE(OFFSET($H$3,0,0,'Données projet'!$E$11+1,1))</f>
        <v>0</v>
      </c>
      <c r="BJ13" s="59">
        <f t="shared" si="38"/>
        <v>0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8.7142857142857135</v>
      </c>
      <c r="N14" s="13">
        <f>IF('Données projet'!$A$36&gt;35,N13+M14-V13,IF(A14&lt;'Données projet'!$A$36,$K$205^A14,IF(A14='Données projet'!$A$36,'Données projet'!$B$36,N13+M14-V13)))</f>
        <v>43.579548260886895</v>
      </c>
      <c r="O14" s="13">
        <f>N14*VLOOKUP('Données projet'!$B$9,Paramètres!$A$1:$I$89,3,0)*VLOOKUP('Données projet'!$B$9,Paramètres!$A$1:$I$89,5,0)</f>
        <v>26.060569860010364</v>
      </c>
      <c r="P14" s="13">
        <f t="shared" si="33"/>
        <v>8.2170408507133352</v>
      </c>
      <c r="Q14" s="20">
        <f t="shared" si="2"/>
        <v>59.700171987843781</v>
      </c>
      <c r="R14" s="59">
        <f t="shared" si="0"/>
        <v>353.03350532117707</v>
      </c>
      <c r="S14" s="59">
        <f ca="1">AVERAGE(OFFSET($R$3,0,0,'Données projet'!$E$9+1,1))-AVERAGE(OFFSET($H$3,0,0,'Données projet'!$E$9+1,1))</f>
        <v>175.9108689482207</v>
      </c>
      <c r="T14" s="59">
        <f t="shared" si="34"/>
        <v>359.8073445551853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7.7999475451243825</v>
      </c>
      <c r="AK14" s="13">
        <f t="shared" si="35"/>
        <v>2.8301162509268609</v>
      </c>
      <c r="AL14" s="20">
        <f t="shared" si="4"/>
        <v>18.514027778122582</v>
      </c>
      <c r="AM14" s="59">
        <f t="shared" si="5"/>
        <v>311.84736111145588</v>
      </c>
      <c r="AN14" s="59">
        <f ca="1">AVERAGE(OFFSET($AM$3,0,0,'Données projet'!$E$10+1,1))-AVERAGE(OFFSET($H$3,0,0,'Données projet'!$E$10+1,1))</f>
        <v>311.44572917773388</v>
      </c>
      <c r="AO14" s="59">
        <f t="shared" si="36"/>
        <v>190.00559730122654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>
        <f>BD14*VLOOKUP('Données projet'!$B$11,Paramètres!$A$1:$I$89,3,0)*VLOOKUP('Données projet'!$B$11,Paramètres!$A$1:$I$89,5,0)</f>
        <v>0</v>
      </c>
      <c r="BF14" s="13" t="e">
        <f t="shared" si="37"/>
        <v>#NUM!</v>
      </c>
      <c r="BG14" s="20" t="e">
        <f t="shared" si="7"/>
        <v>#NUM!</v>
      </c>
      <c r="BH14" s="59" t="e">
        <f t="shared" si="8"/>
        <v>#NUM!</v>
      </c>
      <c r="BI14" s="59">
        <f ca="1">AVERAGE(OFFSET($BH$3,0,0,'Données projet'!$E$11+1,1))-AVERAGE(OFFSET($H$3,0,0,'Données projet'!$E$11+1,1))</f>
        <v>0</v>
      </c>
      <c r="BJ14" s="59">
        <f t="shared" si="38"/>
        <v>0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8.7142857142857135</v>
      </c>
      <c r="N15" s="13">
        <f>IF('Données projet'!$A$36&gt;35,N14+M15-V14,IF(A15&lt;'Données projet'!$A$36,$K$205^A15,IF(A15='Données projet'!$A$36,'Données projet'!$B$36,N14+M15-V14)))</f>
        <v>61.419804011819842</v>
      </c>
      <c r="O15" s="13">
        <f>N15*VLOOKUP('Données projet'!$B$9,Paramètres!$A$1:$I$89,3,0)*VLOOKUP('Données projet'!$B$9,Paramètres!$A$1:$I$89,5,0)</f>
        <v>36.729042799068267</v>
      </c>
      <c r="P15" s="13">
        <f t="shared" si="33"/>
        <v>11.1274219443233</v>
      </c>
      <c r="Q15" s="20">
        <f t="shared" si="2"/>
        <v>83.350009428073648</v>
      </c>
      <c r="R15" s="59">
        <f t="shared" si="0"/>
        <v>376.68334276140695</v>
      </c>
      <c r="S15" s="59">
        <f ca="1">AVERAGE(OFFSET($R$3,0,0,'Données projet'!$E$9+1,1))-AVERAGE(OFFSET($H$3,0,0,'Données projet'!$E$9+1,1))</f>
        <v>175.9108689482207</v>
      </c>
      <c r="T15" s="59">
        <f t="shared" si="34"/>
        <v>359.8073445551853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9.4027339205678775</v>
      </c>
      <c r="AK15" s="13">
        <f t="shared" si="35"/>
        <v>3.3382543899061803</v>
      </c>
      <c r="AL15" s="20">
        <f t="shared" si="4"/>
        <v>22.190554640742317</v>
      </c>
      <c r="AM15" s="59">
        <f t="shared" si="5"/>
        <v>315.52388797407565</v>
      </c>
      <c r="AN15" s="59">
        <f ca="1">AVERAGE(OFFSET($AM$3,0,0,'Données projet'!$E$10+1,1))-AVERAGE(OFFSET($H$3,0,0,'Données projet'!$E$10+1,1))</f>
        <v>311.44572917773388</v>
      </c>
      <c r="AO15" s="59">
        <f t="shared" si="36"/>
        <v>190.00559730122654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>
        <f>BD15*VLOOKUP('Données projet'!$B$11,Paramètres!$A$1:$I$89,3,0)*VLOOKUP('Données projet'!$B$11,Paramètres!$A$1:$I$89,5,0)</f>
        <v>0</v>
      </c>
      <c r="BF15" s="13" t="e">
        <f t="shared" si="37"/>
        <v>#NUM!</v>
      </c>
      <c r="BG15" s="20" t="e">
        <f t="shared" si="7"/>
        <v>#NUM!</v>
      </c>
      <c r="BH15" s="59" t="e">
        <f t="shared" si="8"/>
        <v>#NUM!</v>
      </c>
      <c r="BI15" s="59">
        <f ca="1">AVERAGE(OFFSET($BH$3,0,0,'Données projet'!$E$11+1,1))-AVERAGE(OFFSET($H$3,0,0,'Données projet'!$E$11+1,1))</f>
        <v>0</v>
      </c>
      <c r="BJ15" s="59">
        <f t="shared" si="38"/>
        <v>0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8.7142857142857135</v>
      </c>
      <c r="N16" s="13">
        <f>IF('Données projet'!$A$36&gt;35,N15+M16-V15,IF(A16&lt;'Données projet'!$A$36,$K$205^A16,IF(A16='Données projet'!$A$36,'Données projet'!$B$36,N15+M16-V15)))</f>
        <v>86.563364591737241</v>
      </c>
      <c r="O16" s="13">
        <f>N16*VLOOKUP('Données projet'!$B$9,Paramètres!$A$1:$I$89,3,0)*VLOOKUP('Données projet'!$B$9,Paramètres!$A$1:$I$89,5,0)</f>
        <v>51.764892025858877</v>
      </c>
      <c r="P16" s="13">
        <f t="shared" si="33"/>
        <v>15.068626452825617</v>
      </c>
      <c r="Q16" s="20">
        <f t="shared" si="2"/>
        <v>116.40171135037549</v>
      </c>
      <c r="R16" s="59">
        <f t="shared" si="0"/>
        <v>409.73504468370879</v>
      </c>
      <c r="S16" s="59">
        <f ca="1">AVERAGE(OFFSET($R$3,0,0,'Données projet'!$E$9+1,1))-AVERAGE(OFFSET($H$3,0,0,'Données projet'!$E$9+1,1))</f>
        <v>175.9108689482207</v>
      </c>
      <c r="T16" s="59">
        <f t="shared" si="34"/>
        <v>359.8073445551853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11.334871762857208</v>
      </c>
      <c r="AK16" s="13">
        <f t="shared" si="35"/>
        <v>3.9376270738271817</v>
      </c>
      <c r="AL16" s="20">
        <f t="shared" si="4"/>
        <v>26.599602140558645</v>
      </c>
      <c r="AM16" s="59">
        <f t="shared" si="5"/>
        <v>319.93293547389197</v>
      </c>
      <c r="AN16" s="59">
        <f ca="1">AVERAGE(OFFSET($AM$3,0,0,'Données projet'!$E$10+1,1))-AVERAGE(OFFSET($H$3,0,0,'Données projet'!$E$10+1,1))</f>
        <v>311.44572917773388</v>
      </c>
      <c r="AO16" s="59">
        <f t="shared" si="36"/>
        <v>190.00559730122654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>
        <f>BD16*VLOOKUP('Données projet'!$B$11,Paramètres!$A$1:$I$89,3,0)*VLOOKUP('Données projet'!$B$11,Paramètres!$A$1:$I$89,5,0)</f>
        <v>0</v>
      </c>
      <c r="BF16" s="13" t="e">
        <f t="shared" si="37"/>
        <v>#NUM!</v>
      </c>
      <c r="BG16" s="20" t="e">
        <f t="shared" si="7"/>
        <v>#NUM!</v>
      </c>
      <c r="BH16" s="59" t="e">
        <f t="shared" si="8"/>
        <v>#NUM!</v>
      </c>
      <c r="BI16" s="59">
        <f ca="1">AVERAGE(OFFSET($BH$3,0,0,'Données projet'!$E$11+1,1))-AVERAGE(OFFSET($H$3,0,0,'Données projet'!$E$11+1,1))</f>
        <v>0</v>
      </c>
      <c r="BJ16" s="59">
        <f t="shared" si="38"/>
        <v>0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122</v>
      </c>
      <c r="L17" s="12">
        <f>VLOOKUP(A17,'Données projet'!$A$35:$I$55,9,0)</f>
        <v>8.7142857142857135</v>
      </c>
      <c r="M17" s="12">
        <f t="array" ref="M17">INDEX(L:L,MIN(IF(ISNUMBER(L17:L213),ROW(L17:L213),"")))</f>
        <v>8.7142857142857135</v>
      </c>
      <c r="N17" s="13">
        <f>IF('Données projet'!$A$36&gt;35,N16+M17-V16,IF(A17&lt;'Données projet'!$A$36,$K$205^A17,IF(A17='Données projet'!$A$36,'Données projet'!$B$36,N16+M17-V16)))</f>
        <v>122</v>
      </c>
      <c r="O17" s="13">
        <f>N17*VLOOKUP('Données projet'!$B$9,Paramètres!$A$1:$I$89,3,0)*VLOOKUP('Données projet'!$B$9,Paramètres!$A$1:$I$89,5,0)</f>
        <v>72.956000000000003</v>
      </c>
      <c r="P17" s="13">
        <f t="shared" si="33"/>
        <v>20.405760140212273</v>
      </c>
      <c r="Q17" s="20">
        <f t="shared" si="2"/>
        <v>162.60506557753638</v>
      </c>
      <c r="R17" s="59">
        <f t="shared" si="0"/>
        <v>455.93839891086969</v>
      </c>
      <c r="S17" s="59">
        <f ca="1">AVERAGE(OFFSET($R$3,0,0,'Données projet'!$E$9+1,1))-AVERAGE(OFFSET($H$3,0,0,'Données projet'!$E$9+1,1))</f>
        <v>175.9108689482207</v>
      </c>
      <c r="T17" s="59">
        <f t="shared" si="34"/>
        <v>359.8073445551853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6.0447398882791736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17.555013424933225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13.664038455813092</v>
      </c>
      <c r="AK17" s="13">
        <f t="shared" si="35"/>
        <v>4.6446151675614402</v>
      </c>
      <c r="AL17" s="20">
        <f t="shared" si="4"/>
        <v>31.887571727377306</v>
      </c>
      <c r="AM17" s="59">
        <f t="shared" si="5"/>
        <v>325.22090506071061</v>
      </c>
      <c r="AN17" s="59">
        <f ca="1">AVERAGE(OFFSET($AM$3,0,0,'Données projet'!$E$10+1,1))-AVERAGE(OFFSET($H$3,0,0,'Données projet'!$E$10+1,1))</f>
        <v>311.44572917773388</v>
      </c>
      <c r="AO17" s="59">
        <f t="shared" si="36"/>
        <v>190.00559730122654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>
        <f>BD17*VLOOKUP('Données projet'!$B$11,Paramètres!$A$1:$I$89,3,0)*VLOOKUP('Données projet'!$B$11,Paramètres!$A$1:$I$89,5,0)</f>
        <v>0</v>
      </c>
      <c r="BF17" s="13" t="e">
        <f t="shared" si="37"/>
        <v>#NUM!</v>
      </c>
      <c r="BG17" s="20" t="e">
        <f t="shared" si="7"/>
        <v>#NUM!</v>
      </c>
      <c r="BH17" s="59" t="e">
        <f t="shared" si="8"/>
        <v>#NUM!</v>
      </c>
      <c r="BI17" s="59">
        <f ca="1">AVERAGE(OFFSET($BH$3,0,0,'Données projet'!$E$11+1,1))-AVERAGE(OFFSET($H$3,0,0,'Données projet'!$E$11+1,1))</f>
        <v>0</v>
      </c>
      <c r="BJ17" s="59">
        <f t="shared" si="38"/>
        <v>0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19.5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64.285000000000011</v>
      </c>
      <c r="P18" s="13">
        <f t="shared" si="33"/>
        <v>18.247263773944024</v>
      </c>
      <c r="Q18" s="20">
        <f t="shared" si="2"/>
        <v>143.74369273961921</v>
      </c>
      <c r="R18" s="59">
        <f t="shared" si="0"/>
        <v>437.07702607295255</v>
      </c>
      <c r="S18" s="59">
        <f ca="1">AVERAGE(OFFSET($R$3,0,0,'Données projet'!$E$9+1,1))-AVERAGE(OFFSET($H$3,0,0,'Données projet'!$E$9+1,1))</f>
        <v>175.9108689482207</v>
      </c>
      <c r="T18" s="59">
        <f t="shared" si="34"/>
        <v>359.8073445551853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5.8794461581551243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14.01843862923527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16.471818193281052</v>
      </c>
      <c r="AK18" s="13">
        <f t="shared" si="35"/>
        <v>5.4785406668220675</v>
      </c>
      <c r="AL18" s="20">
        <f t="shared" si="4"/>
        <v>38.23020834801293</v>
      </c>
      <c r="AM18" s="59">
        <f t="shared" si="5"/>
        <v>331.56354168134624</v>
      </c>
      <c r="AN18" s="59">
        <f ca="1">AVERAGE(OFFSET($AM$3,0,0,'Données projet'!$E$10+1,1))-AVERAGE(OFFSET($H$3,0,0,'Données projet'!$E$10+1,1))</f>
        <v>311.44572917773388</v>
      </c>
      <c r="AO18" s="59">
        <f t="shared" si="36"/>
        <v>190.00559730122654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>
        <f>BD18*VLOOKUP('Données projet'!$B$11,Paramètres!$A$1:$I$89,3,0)*VLOOKUP('Données projet'!$B$11,Paramètres!$A$1:$I$89,5,0)</f>
        <v>0</v>
      </c>
      <c r="BF18" s="13" t="e">
        <f t="shared" si="37"/>
        <v>#NUM!</v>
      </c>
      <c r="BG18" s="20" t="e">
        <f t="shared" si="7"/>
        <v>#NUM!</v>
      </c>
      <c r="BH18" s="59" t="e">
        <f t="shared" si="8"/>
        <v>#NUM!</v>
      </c>
      <c r="BI18" s="59">
        <f ca="1">AVERAGE(OFFSET($BH$3,0,0,'Données projet'!$E$11+1,1))-AVERAGE(OFFSET($H$3,0,0,'Données projet'!$E$11+1,1))</f>
        <v>0</v>
      </c>
      <c r="BJ18" s="59">
        <f t="shared" si="38"/>
        <v>0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19.5</v>
      </c>
      <c r="N19" s="13">
        <f>IF('Données projet'!$A$36&gt;35,N18+M19-V18,IF(A19&lt;'Données projet'!$A$36,$K$205^A19,IF(A19='Données projet'!$A$36,'Données projet'!$B$36,N18+M19-V18)))</f>
        <v>127</v>
      </c>
      <c r="O19" s="13">
        <f>N19*VLOOKUP('Données projet'!$B$9,Paramètres!$A$1:$I$89,3,0)*VLOOKUP('Données projet'!$B$9,Paramètres!$A$1:$I$89,5,0)</f>
        <v>75.945999999999998</v>
      </c>
      <c r="P19" s="13">
        <f t="shared" si="33"/>
        <v>21.142979995226831</v>
      </c>
      <c r="Q19" s="20">
        <f t="shared" si="2"/>
        <v>169.09664015835338</v>
      </c>
      <c r="R19" s="59">
        <f t="shared" si="0"/>
        <v>462.42997349168672</v>
      </c>
      <c r="S19" s="59">
        <f ca="1">AVERAGE(OFFSET($R$3,0,0,'Données projet'!$E$9+1,1))-AVERAGE(OFFSET($H$3,0,0,'Données projet'!$E$9+1,1))</f>
        <v>175.9108689482207</v>
      </c>
      <c r="T19" s="59">
        <f t="shared" si="34"/>
        <v>359.8073445551853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5.7186723937737369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11.473809162100764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19.856559645225289</v>
      </c>
      <c r="AK19" s="13">
        <f t="shared" si="35"/>
        <v>6.4621947686102121</v>
      </c>
      <c r="AL19" s="20">
        <f t="shared" si="4"/>
        <v>45.838497270763497</v>
      </c>
      <c r="AM19" s="59">
        <f t="shared" si="5"/>
        <v>339.17183060409684</v>
      </c>
      <c r="AN19" s="59">
        <f ca="1">AVERAGE(OFFSET($AM$3,0,0,'Données projet'!$E$10+1,1))-AVERAGE(OFFSET($H$3,0,0,'Données projet'!$E$10+1,1))</f>
        <v>311.44572917773388</v>
      </c>
      <c r="AO19" s="59">
        <f t="shared" si="36"/>
        <v>190.00559730122654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0</v>
      </c>
      <c r="BJ19" s="59">
        <f t="shared" si="38"/>
        <v>0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19.5</v>
      </c>
      <c r="N20" s="13">
        <f>IF('Données projet'!$A$36&gt;35,N19+M20-V19,IF(A20&lt;'Données projet'!$A$36,$K$205^A20,IF(A20='Données projet'!$A$36,'Données projet'!$B$36,N19+M20-V19)))</f>
        <v>146.5</v>
      </c>
      <c r="O20" s="13">
        <f>N20*VLOOKUP('Données projet'!$B$9,Paramètres!$A$1:$I$89,3,0)*VLOOKUP('Données projet'!$B$9,Paramètres!$A$1:$I$89,5,0)</f>
        <v>87.606999999999999</v>
      </c>
      <c r="P20" s="13">
        <f t="shared" si="33"/>
        <v>23.987188954498375</v>
      </c>
      <c r="Q20" s="20">
        <f t="shared" si="2"/>
        <v>194.35987909575132</v>
      </c>
      <c r="R20" s="59">
        <f t="shared" si="0"/>
        <v>487.69321242908461</v>
      </c>
      <c r="S20" s="59">
        <f ca="1">AVERAGE(OFFSET($R$3,0,0,'Données projet'!$E$9+1,1))-AVERAGE(OFFSET($H$3,0,0,'Données projet'!$E$9+1,1))</f>
        <v>175.9108689482207</v>
      </c>
      <c r="T20" s="59">
        <f t="shared" si="34"/>
        <v>359.8073445551853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5.5622949964340833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9.6317912319741552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23.936820836525477</v>
      </c>
      <c r="AK20" s="13">
        <f t="shared" si="35"/>
        <v>7.6224607549873005</v>
      </c>
      <c r="AL20" s="20">
        <f t="shared" si="4"/>
        <v>54.965748771884755</v>
      </c>
      <c r="AM20" s="59">
        <f t="shared" si="5"/>
        <v>348.29908210521808</v>
      </c>
      <c r="AN20" s="59">
        <f ca="1">AVERAGE(OFFSET($AM$3,0,0,'Données projet'!$E$10+1,1))-AVERAGE(OFFSET($H$3,0,0,'Données projet'!$E$10+1,1))</f>
        <v>311.44572917773388</v>
      </c>
      <c r="AO20" s="59">
        <f t="shared" si="36"/>
        <v>190.00559730122654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0</v>
      </c>
      <c r="BJ20" s="59">
        <f t="shared" si="38"/>
        <v>0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19.5</v>
      </c>
      <c r="N21" s="13">
        <f>IF('Données projet'!$A$36&gt;35,N20+M21-V20,IF(A21&lt;'Données projet'!$A$36,$K$205^A21,IF(A21='Données projet'!$A$36,'Données projet'!$B$36,N20+M21-V20)))</f>
        <v>166</v>
      </c>
      <c r="O21" s="13">
        <f>N21*VLOOKUP('Données projet'!$B$9,Paramètres!$A$1:$I$89,3,0)*VLOOKUP('Données projet'!$B$9,Paramètres!$A$1:$I$89,5,0)</f>
        <v>99.268000000000001</v>
      </c>
      <c r="P21" s="13">
        <f t="shared" si="33"/>
        <v>26.78753414535981</v>
      </c>
      <c r="Q21" s="20">
        <f t="shared" si="2"/>
        <v>219.54672196983498</v>
      </c>
      <c r="R21" s="59">
        <f t="shared" si="0"/>
        <v>512.88005530316832</v>
      </c>
      <c r="S21" s="59">
        <f ca="1">AVERAGE(OFFSET($R$3,0,0,'Données projet'!$E$9+1,1))-AVERAGE(OFFSET($H$3,0,0,'Données projet'!$E$9+1,1))</f>
        <v>175.9108689482207</v>
      </c>
      <c r="T21" s="59">
        <f t="shared" si="34"/>
        <v>359.8073445551853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5.4101937472482122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8.2877621314117249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28.855521902944407</v>
      </c>
      <c r="AK21" s="13">
        <f t="shared" si="35"/>
        <v>8.9910487135962995</v>
      </c>
      <c r="AL21" s="20">
        <f t="shared" si="4"/>
        <v>65.916110490475049</v>
      </c>
      <c r="AM21" s="59">
        <f t="shared" si="5"/>
        <v>359.24944382380835</v>
      </c>
      <c r="AN21" s="59">
        <f ca="1">AVERAGE(OFFSET($AM$3,0,0,'Données projet'!$E$10+1,1))-AVERAGE(OFFSET($H$3,0,0,'Données projet'!$E$10+1,1))</f>
        <v>311.44572917773388</v>
      </c>
      <c r="AO21" s="59">
        <f t="shared" si="36"/>
        <v>190.00559730122654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0</v>
      </c>
      <c r="BJ21" s="59">
        <f t="shared" si="38"/>
        <v>0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19.5</v>
      </c>
      <c r="N22" s="13">
        <f>IF('Données projet'!$A$36&gt;35,N21+M22-V21,IF(A22&lt;'Données projet'!$A$36,$K$205^A22,IF(A22='Données projet'!$A$36,'Données projet'!$B$36,N21+M22-V21)))</f>
        <v>185.5</v>
      </c>
      <c r="O22" s="13">
        <f>N22*VLOOKUP('Données projet'!$B$9,Paramètres!$A$1:$I$89,3,0)*VLOOKUP('Données projet'!$B$9,Paramètres!$A$1:$I$89,5,0)</f>
        <v>110.929</v>
      </c>
      <c r="P22" s="13">
        <f t="shared" si="33"/>
        <v>29.549756970192629</v>
      </c>
      <c r="Q22" s="20">
        <f t="shared" si="2"/>
        <v>244.66716838975216</v>
      </c>
      <c r="R22" s="59">
        <f t="shared" si="0"/>
        <v>538.00050172308545</v>
      </c>
      <c r="S22" s="59">
        <f ca="1">AVERAGE(OFFSET($R$3,0,0,'Données projet'!$E$9+1,1))-AVERAGE(OFFSET($H$3,0,0,'Données projet'!$E$9+1,1))</f>
        <v>175.9108689482207</v>
      </c>
      <c r="T22" s="59">
        <f t="shared" si="34"/>
        <v>359.8073445551853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5.2622517147199854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7.2969998324900214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34.784951183691341</v>
      </c>
      <c r="AK22" s="13">
        <f t="shared" si="35"/>
        <v>10.605362174855349</v>
      </c>
      <c r="AL22" s="20">
        <f t="shared" si="4"/>
        <v>79.054795766135484</v>
      </c>
      <c r="AM22" s="59">
        <f t="shared" si="5"/>
        <v>372.38812909946881</v>
      </c>
      <c r="AN22" s="59">
        <f ca="1">AVERAGE(OFFSET($AM$3,0,0,'Données projet'!$E$10+1,1))-AVERAGE(OFFSET($H$3,0,0,'Données projet'!$E$10+1,1))</f>
        <v>311.44572917773388</v>
      </c>
      <c r="AO22" s="59">
        <f t="shared" si="36"/>
        <v>190.00559730122654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0</v>
      </c>
      <c r="BJ22" s="59">
        <f t="shared" si="38"/>
        <v>0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205</v>
      </c>
      <c r="L23" s="12">
        <f>VLOOKUP(A23,'Données projet'!$A$35:$I$55,9,0)</f>
        <v>19.5</v>
      </c>
      <c r="M23" s="12">
        <f t="array" ref="M23">INDEX(L:L,MIN(IF(ISNUMBER(L23:L219),ROW(L23:L219),"")))</f>
        <v>19.5</v>
      </c>
      <c r="N23" s="13">
        <f>IF('Données projet'!$A$36&gt;35,N22+M23-V22,IF(A23&lt;'Données projet'!$A$36,$K$205^A23,IF(A23='Données projet'!$A$36,'Données projet'!$B$36,N22+M23-V22)))</f>
        <v>205</v>
      </c>
      <c r="O23" s="13">
        <f>N23*VLOOKUP('Données projet'!$B$9,Paramètres!$A$1:$I$89,3,0)*VLOOKUP('Données projet'!$B$9,Paramètres!$A$1:$I$89,5,0)</f>
        <v>122.59</v>
      </c>
      <c r="P23" s="13">
        <f t="shared" si="33"/>
        <v>32.278321478706822</v>
      </c>
      <c r="Q23" s="20">
        <f t="shared" si="2"/>
        <v>269.72899324208106</v>
      </c>
      <c r="R23" s="59">
        <f t="shared" si="0"/>
        <v>563.06232657541432</v>
      </c>
      <c r="S23" s="59">
        <f ca="1">AVERAGE(OFFSET($R$3,0,0,'Données projet'!$E$9+1,1))-AVERAGE(OFFSET($H$3,0,0,'Données projet'!$E$9+1,1))</f>
        <v>175.9108689482207</v>
      </c>
      <c r="T23" s="59">
        <f t="shared" si="34"/>
        <v>359.8073445551853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57</v>
      </c>
      <c r="W23" s="16">
        <f>IF(ISNA(VLOOKUP(A23,'Données projet'!$A$35:$I$55,5,0)),0%,VLOOKUP(A23,'Données projet'!$A$35:$I$55,5,0)*VLOOKUP('Données projet'!$B$9,Paramètres!$A$1:$I$89,7,0))</f>
        <v>4.5000000000000005E-2</v>
      </c>
      <c r="X23" s="16">
        <f>IF(ISNA(VLOOKUP(A23,'Données projet'!$A$35:$I$55,6,0)),0%,VLOOKUP(A23,'Données projet'!$A$35:$I$55,6,0)*VLOOKUP('Données projet'!$B$9,Paramètres!$A$1:$I$89,7,0))</f>
        <v>0.20250000000000001</v>
      </c>
      <c r="Y23" s="16">
        <f>IF(ISNA(VLOOKUP(A23,'Données projet'!$A$35:$I$55,7,0)),0%,VLOOKUP(A23,'Données projet'!$A$35:$I$55,7,0))</f>
        <v>0.45</v>
      </c>
      <c r="Z23" s="21">
        <f>EXP(-LN(2)/35)*Z22+(1-EXP(-LN(2)/35))/(LN(2)/35)*V23*W23*VLOOKUP('Données projet'!$B$9,Paramètres!$A$1:$I$89,3,0)*0.475*44/12</f>
        <v>2.0347774212650482</v>
      </c>
      <c r="AA23" s="21">
        <f>EXP(-LN(2)/25)*AA22+(1-EXP(-LN(2)/25))/(LN(2)/25)*Calculateur!V23*Calculateur!X23*VLOOKUP('Données projet'!$B$9,Paramètres!$A$1:$I$89,3,0)*0.475*44/12</f>
        <v>14.238800937460635</v>
      </c>
      <c r="AB23" s="21">
        <f>EXP(-LN(2)/2)*AB22+(1-EXP(-LN(2)/2))/(LN(2)/2)*V23*Y23*VLOOKUP('Données projet'!$B$9,Paramètres!$A$1:$I$89,3,0)*0.475*44/12</f>
        <v>18.80575573415096</v>
      </c>
      <c r="AC23" s="22">
        <f t="shared" si="3"/>
        <v>35.079334092876643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41.9328</v>
      </c>
      <c r="AK23" s="13">
        <f t="shared" si="35"/>
        <v>12.509520351031938</v>
      </c>
      <c r="AL23" s="20">
        <f t="shared" si="4"/>
        <v>94.820374611380615</v>
      </c>
      <c r="AM23" s="59">
        <f t="shared" si="5"/>
        <v>388.15370794471391</v>
      </c>
      <c r="AN23" s="59">
        <f ca="1">AVERAGE(OFFSET($AM$3,0,0,'Données projet'!$E$10+1,1))-AVERAGE(OFFSET($H$3,0,0,'Données projet'!$E$10+1,1))</f>
        <v>311.44572917773388</v>
      </c>
      <c r="AO23" s="59">
        <f t="shared" si="36"/>
        <v>190.00559730122654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0</v>
      </c>
      <c r="BJ23" s="59">
        <f t="shared" si="38"/>
        <v>0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</v>
      </c>
      <c r="N24" s="13">
        <f>IF('Données projet'!$A$36&gt;35,N23+M24-V23,IF(A24&lt;'Données projet'!$A$36,$K$205^A24,IF(A24='Données projet'!$A$36,'Données projet'!$B$36,N23+M24-V23)))</f>
        <v>164</v>
      </c>
      <c r="O24" s="13">
        <f>N24*VLOOKUP('Données projet'!$B$9,Paramètres!$A$1:$I$89,3,0)*VLOOKUP('Données projet'!$B$9,Paramètres!$A$1:$I$89,5,0)</f>
        <v>98.072000000000003</v>
      </c>
      <c r="P24" s="13">
        <f t="shared" si="33"/>
        <v>26.50215899830313</v>
      </c>
      <c r="Q24" s="20">
        <f t="shared" si="2"/>
        <v>216.96666025537795</v>
      </c>
      <c r="R24" s="59">
        <f t="shared" si="0"/>
        <v>510.29999358871123</v>
      </c>
      <c r="S24" s="59">
        <f ca="1">AVERAGE(OFFSET($R$3,0,0,'Données projet'!$E$9+1,1))-AVERAGE(OFFSET($H$3,0,0,'Données projet'!$E$9+1,1))</f>
        <v>175.9108689482207</v>
      </c>
      <c r="T24" s="59">
        <f t="shared" si="34"/>
        <v>359.8073445551853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1.99487667712572</v>
      </c>
      <c r="AA24" s="21">
        <f>EXP(-LN(2)/25)*AA23+(1-EXP(-LN(2)/25))/(LN(2)/25)*Calculateur!V24*Calculateur!X24*VLOOKUP('Données projet'!$B$9,Paramètres!$A$1:$I$89,3,0)*0.475*44/12</f>
        <v>13.849440177039776</v>
      </c>
      <c r="AB24" s="21">
        <f>EXP(-LN(2)/2)*AB23+(1-EXP(-LN(2)/2))/(LN(2)/2)*V24*Y24*VLOOKUP('Données projet'!$B$9,Paramètres!$A$1:$I$89,3,0)*0.475*44/12</f>
        <v>13.297677404955945</v>
      </c>
      <c r="AC24" s="22">
        <f t="shared" si="3"/>
        <v>29.141994259121439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48.222720000000002</v>
      </c>
      <c r="AK24" s="13">
        <f t="shared" si="35"/>
        <v>14.153807013343384</v>
      </c>
      <c r="AL24" s="20">
        <f t="shared" si="4"/>
        <v>108.63911788157306</v>
      </c>
      <c r="AM24" s="59">
        <f t="shared" si="5"/>
        <v>401.97245121490636</v>
      </c>
      <c r="AN24" s="59">
        <f ca="1">AVERAGE(OFFSET($AM$3,0,0,'Données projet'!$E$10+1,1))-AVERAGE(OFFSET($H$3,0,0,'Données projet'!$E$10+1,1))</f>
        <v>311.44572917773388</v>
      </c>
      <c r="AO24" s="59">
        <f t="shared" si="36"/>
        <v>190.00559730122654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0</v>
      </c>
      <c r="BJ24" s="59">
        <f t="shared" si="38"/>
        <v>0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</v>
      </c>
      <c r="N25" s="13">
        <f>IF('Données projet'!$A$36&gt;35,N24+M25-V24,IF(A25&lt;'Données projet'!$A$36,$K$205^A25,IF(A25='Données projet'!$A$36,'Données projet'!$B$36,N24+M25-V24)))</f>
        <v>180</v>
      </c>
      <c r="O25" s="13">
        <f>N25*VLOOKUP('Données projet'!$B$9,Paramètres!$A$1:$I$89,3,0)*VLOOKUP('Données projet'!$B$9,Paramètres!$A$1:$I$89,5,0)</f>
        <v>107.64</v>
      </c>
      <c r="P25" s="13">
        <f t="shared" si="33"/>
        <v>28.774250263353583</v>
      </c>
      <c r="Q25" s="20">
        <f t="shared" si="2"/>
        <v>237.58815254200749</v>
      </c>
      <c r="R25" s="59">
        <f t="shared" si="0"/>
        <v>530.92148587534075</v>
      </c>
      <c r="S25" s="59">
        <f ca="1">AVERAGE(OFFSET($R$3,0,0,'Données projet'!$E$9+1,1))-AVERAGE(OFFSET($H$3,0,0,'Données projet'!$E$9+1,1))</f>
        <v>175.9108689482207</v>
      </c>
      <c r="T25" s="59">
        <f t="shared" si="34"/>
        <v>359.8073445551853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1.9557583622419132</v>
      </c>
      <c r="AA25" s="21">
        <f>EXP(-LN(2)/25)*AA24+(1-EXP(-LN(2)/25))/(LN(2)/25)*Calculateur!V25*Calculateur!X25*VLOOKUP('Données projet'!$B$9,Paramètres!$A$1:$I$89,3,0)*0.475*44/12</f>
        <v>13.470726507088218</v>
      </c>
      <c r="AB25" s="21">
        <f>EXP(-LN(2)/2)*AB24+(1-EXP(-LN(2)/2))/(LN(2)/2)*V25*Y25*VLOOKUP('Données projet'!$B$9,Paramètres!$A$1:$I$89,3,0)*0.475*44/12</f>
        <v>9.40287786707548</v>
      </c>
      <c r="AC25" s="22">
        <f t="shared" si="3"/>
        <v>24.829362736405614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54.512639999999998</v>
      </c>
      <c r="AK25" s="13">
        <f t="shared" si="35"/>
        <v>15.773243364716285</v>
      </c>
      <c r="AL25" s="20">
        <f t="shared" si="4"/>
        <v>122.41458019354752</v>
      </c>
      <c r="AM25" s="59">
        <f t="shared" si="5"/>
        <v>415.74791352688084</v>
      </c>
      <c r="AN25" s="59">
        <f ca="1">AVERAGE(OFFSET($AM$3,0,0,'Données projet'!$E$10+1,1))-AVERAGE(OFFSET($H$3,0,0,'Données projet'!$E$10+1,1))</f>
        <v>311.44572917773388</v>
      </c>
      <c r="AO25" s="59">
        <f t="shared" si="36"/>
        <v>190.00559730122654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0</v>
      </c>
      <c r="BJ25" s="59">
        <f t="shared" si="38"/>
        <v>0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196</v>
      </c>
      <c r="O26" s="13">
        <f>N26*VLOOKUP('Données projet'!$B$9,Paramètres!$A$1:$I$89,3,0)*VLOOKUP('Données projet'!$B$9,Paramètres!$A$1:$I$89,5,0)</f>
        <v>117.20800000000001</v>
      </c>
      <c r="P26" s="13">
        <f t="shared" si="33"/>
        <v>31.02292162692056</v>
      </c>
      <c r="Q26" s="20">
        <f t="shared" si="2"/>
        <v>258.16885516688666</v>
      </c>
      <c r="R26" s="59">
        <f t="shared" si="0"/>
        <v>551.50218850021997</v>
      </c>
      <c r="S26" s="59">
        <f ca="1">AVERAGE(OFFSET($R$3,0,0,'Données projet'!$E$9+1,1))-AVERAGE(OFFSET($H$3,0,0,'Données projet'!$E$9+1,1))</f>
        <v>175.9108689482207</v>
      </c>
      <c r="T26" s="59">
        <f t="shared" si="34"/>
        <v>359.8073445551853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1.9174071336531617</v>
      </c>
      <c r="AA26" s="21">
        <f>EXP(-LN(2)/25)*AA25+(1-EXP(-LN(2)/25))/(LN(2)/25)*Calculateur!V26*Calculateur!X26*VLOOKUP('Données projet'!$B$9,Paramètres!$A$1:$I$89,3,0)*0.475*44/12</f>
        <v>13.102368782357171</v>
      </c>
      <c r="AB26" s="21">
        <f>EXP(-LN(2)/2)*AB25+(1-EXP(-LN(2)/2))/(LN(2)/2)*V26*Y26*VLOOKUP('Données projet'!$B$9,Paramètres!$A$1:$I$89,3,0)*0.475*44/12</f>
        <v>6.6488387024779723</v>
      </c>
      <c r="AC26" s="22">
        <f t="shared" si="3"/>
        <v>21.668614618488306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60.802559999999993</v>
      </c>
      <c r="AK26" s="13">
        <f t="shared" si="35"/>
        <v>17.371024177726472</v>
      </c>
      <c r="AL26" s="20">
        <f t="shared" si="4"/>
        <v>136.15232577620694</v>
      </c>
      <c r="AM26" s="59">
        <f t="shared" si="5"/>
        <v>429.48565910954028</v>
      </c>
      <c r="AN26" s="59">
        <f ca="1">AVERAGE(OFFSET($AM$3,0,0,'Données projet'!$E$10+1,1))-AVERAGE(OFFSET($H$3,0,0,'Données projet'!$E$10+1,1))</f>
        <v>311.44572917773388</v>
      </c>
      <c r="AO26" s="59">
        <f t="shared" si="36"/>
        <v>190.00559730122654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0</v>
      </c>
      <c r="BJ26" s="59">
        <f t="shared" si="38"/>
        <v>0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</v>
      </c>
      <c r="N27" s="13">
        <f>IF('Données projet'!$A$36&gt;35,N26+M27-V26,IF(A27&lt;'Données projet'!$A$36,$K$205^A27,IF(A27='Données projet'!$A$36,'Données projet'!$B$36,N26+M27-V26)))</f>
        <v>212</v>
      </c>
      <c r="O27" s="13">
        <f>N27*VLOOKUP('Données projet'!$B$9,Paramètres!$A$1:$I$89,3,0)*VLOOKUP('Données projet'!$B$9,Paramètres!$A$1:$I$89,5,0)</f>
        <v>126.77600000000002</v>
      </c>
      <c r="P27" s="13">
        <f t="shared" si="33"/>
        <v>33.250302273150254</v>
      </c>
      <c r="Q27" s="20">
        <f t="shared" si="2"/>
        <v>278.7124764590701</v>
      </c>
      <c r="R27" s="59">
        <f t="shared" si="0"/>
        <v>572.04580979240336</v>
      </c>
      <c r="S27" s="59">
        <f ca="1">AVERAGE(OFFSET($R$3,0,0,'Données projet'!$E$9+1,1))-AVERAGE(OFFSET($H$3,0,0,'Données projet'!$E$9+1,1))</f>
        <v>175.9108689482207</v>
      </c>
      <c r="T27" s="59">
        <f t="shared" si="34"/>
        <v>359.8073445551853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1.8798079492650959</v>
      </c>
      <c r="AA27" s="21">
        <f>EXP(-LN(2)/25)*AA26+(1-EXP(-LN(2)/25))/(LN(2)/25)*Calculateur!V27*Calculateur!X27*VLOOKUP('Données projet'!$B$9,Paramètres!$A$1:$I$89,3,0)*0.475*44/12</f>
        <v>12.744083818979986</v>
      </c>
      <c r="AB27" s="21">
        <f>EXP(-LN(2)/2)*AB26+(1-EXP(-LN(2)/2))/(LN(2)/2)*V27*Y27*VLOOKUP('Données projet'!$B$9,Paramètres!$A$1:$I$89,3,0)*0.475*44/12</f>
        <v>4.70143893353774</v>
      </c>
      <c r="AC27" s="22">
        <f t="shared" si="3"/>
        <v>19.325330701782821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67.092479999999995</v>
      </c>
      <c r="AK27" s="13">
        <f t="shared" si="35"/>
        <v>18.949644838115674</v>
      </c>
      <c r="AL27" s="20">
        <f t="shared" si="4"/>
        <v>149.85670075971811</v>
      </c>
      <c r="AM27" s="59">
        <f t="shared" si="5"/>
        <v>443.19003409305139</v>
      </c>
      <c r="AN27" s="59">
        <f ca="1">AVERAGE(OFFSET($AM$3,0,0,'Données projet'!$E$10+1,1))-AVERAGE(OFFSET($H$3,0,0,'Données projet'!$E$10+1,1))</f>
        <v>311.44572917773388</v>
      </c>
      <c r="AO27" s="59">
        <f t="shared" si="36"/>
        <v>190.00559730122654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0</v>
      </c>
      <c r="BJ27" s="59">
        <f t="shared" si="38"/>
        <v>0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228</v>
      </c>
      <c r="O28" s="13">
        <f>N28*VLOOKUP('Données projet'!$B$9,Paramètres!$A$1:$I$89,3,0)*VLOOKUP('Données projet'!$B$9,Paramètres!$A$1:$I$89,5,0)</f>
        <v>136.34400000000002</v>
      </c>
      <c r="P28" s="13">
        <f t="shared" si="33"/>
        <v>35.458181756405082</v>
      </c>
      <c r="Q28" s="20">
        <f t="shared" si="2"/>
        <v>299.2221332257389</v>
      </c>
      <c r="R28" s="59">
        <f t="shared" si="0"/>
        <v>592.55546655907222</v>
      </c>
      <c r="S28" s="59">
        <f ca="1">AVERAGE(OFFSET($R$3,0,0,'Données projet'!$E$9+1,1))-AVERAGE(OFFSET($H$3,0,0,'Données projet'!$E$9+1,1))</f>
        <v>175.9108689482207</v>
      </c>
      <c r="T28" s="59">
        <f t="shared" si="34"/>
        <v>359.8073445551853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1.8429460619496421</v>
      </c>
      <c r="AA28" s="21">
        <f>EXP(-LN(2)/25)*AA27+(1-EXP(-LN(2)/25))/(LN(2)/25)*Calculateur!V28*Calculateur!X28*VLOOKUP('Données projet'!$B$9,Paramètres!$A$1:$I$89,3,0)*0.475*44/12</f>
        <v>12.395596176767738</v>
      </c>
      <c r="AB28" s="21">
        <f>EXP(-LN(2)/2)*AB27+(1-EXP(-LN(2)/2))/(LN(2)/2)*V28*Y28*VLOOKUP('Données projet'!$B$9,Paramètres!$A$1:$I$89,3,0)*0.475*44/12</f>
        <v>3.3244193512389861</v>
      </c>
      <c r="AC28" s="22">
        <f t="shared" si="3"/>
        <v>17.562961589956366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73.38239999999999</v>
      </c>
      <c r="AK28" s="13">
        <f t="shared" si="35"/>
        <v>20.511105942035552</v>
      </c>
      <c r="AL28" s="20">
        <f t="shared" si="4"/>
        <v>163.5311895157119</v>
      </c>
      <c r="AM28" s="59">
        <f t="shared" si="5"/>
        <v>456.86452284904522</v>
      </c>
      <c r="AN28" s="59">
        <f ca="1">AVERAGE(OFFSET($AM$3,0,0,'Données projet'!$E$10+1,1))-AVERAGE(OFFSET($H$3,0,0,'Données projet'!$E$10+1,1))</f>
        <v>311.44572917773388</v>
      </c>
      <c r="AO28" s="59">
        <f t="shared" si="36"/>
        <v>190.00559730122654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0</v>
      </c>
      <c r="BJ28" s="59">
        <f t="shared" si="38"/>
        <v>0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175.9108689482207</v>
      </c>
      <c r="T29" s="59">
        <f t="shared" si="34"/>
        <v>359.8073445551853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1.8068070137609131</v>
      </c>
      <c r="AA29" s="21">
        <f>EXP(-LN(2)/25)*AA28+(1-EXP(-LN(2)/25))/(LN(2)/25)*Calculateur!V29*Calculateur!X29*VLOOKUP('Données projet'!$B$9,Paramètres!$A$1:$I$89,3,0)*0.475*44/12</f>
        <v>12.056637947457951</v>
      </c>
      <c r="AB29" s="21">
        <f>EXP(-LN(2)/2)*AB28+(1-EXP(-LN(2)/2))/(LN(2)/2)*V29*Y29*VLOOKUP('Données projet'!$B$9,Paramètres!$A$1:$I$89,3,0)*0.475*44/12</f>
        <v>2.35071946676887</v>
      </c>
      <c r="AC29" s="22">
        <f t="shared" si="3"/>
        <v>16.214164427987733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79.672319999999985</v>
      </c>
      <c r="AK29" s="13">
        <f t="shared" si="35"/>
        <v>22.057045536520654</v>
      </c>
      <c r="AL29" s="20">
        <f t="shared" si="4"/>
        <v>177.17864497610677</v>
      </c>
      <c r="AM29" s="59">
        <f t="shared" si="5"/>
        <v>470.51197830944011</v>
      </c>
      <c r="AN29" s="59">
        <f ca="1">AVERAGE(OFFSET($AM$3,0,0,'Données projet'!$E$10+1,1))-AVERAGE(OFFSET($H$3,0,0,'Données projet'!$E$10+1,1))</f>
        <v>311.44572917773388</v>
      </c>
      <c r="AO29" s="59">
        <f t="shared" si="36"/>
        <v>190.00559730122654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0</v>
      </c>
      <c r="BJ29" s="59">
        <f t="shared" si="38"/>
        <v>0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260</v>
      </c>
      <c r="O30" s="13">
        <f>N30*VLOOKUP('Données projet'!$B$9,Paramètres!$A$1:$I$89,3,0)*VLOOKUP('Données projet'!$B$9,Paramètres!$A$1:$I$89,5,0)</f>
        <v>155.48000000000002</v>
      </c>
      <c r="P30" s="13">
        <f t="shared" si="33"/>
        <v>39.821322691506509</v>
      </c>
      <c r="Q30" s="20">
        <f t="shared" si="2"/>
        <v>340.14980368770722</v>
      </c>
      <c r="R30" s="59">
        <f t="shared" si="0"/>
        <v>633.48313702104053</v>
      </c>
      <c r="S30" s="59">
        <f ca="1">AVERAGE(OFFSET($R$3,0,0,'Données projet'!$E$9+1,1))-AVERAGE(OFFSET($H$3,0,0,'Données projet'!$E$9+1,1))</f>
        <v>175.9108689482207</v>
      </c>
      <c r="T30" s="59">
        <f t="shared" si="34"/>
        <v>359.8073445551853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1.7713766302645222</v>
      </c>
      <c r="AA30" s="21">
        <f>EXP(-LN(2)/25)*AA29+(1-EXP(-LN(2)/25))/(LN(2)/25)*Calculateur!V30*Calculateur!X30*VLOOKUP('Données projet'!$B$9,Paramètres!$A$1:$I$89,3,0)*0.475*44/12</f>
        <v>11.726948548753679</v>
      </c>
      <c r="AB30" s="21">
        <f>EXP(-LN(2)/2)*AB29+(1-EXP(-LN(2)/2))/(LN(2)/2)*V30*Y30*VLOOKUP('Données projet'!$B$9,Paramètres!$A$1:$I$89,3,0)*0.475*44/12</f>
        <v>1.6622096756194931</v>
      </c>
      <c r="AC30" s="22">
        <f t="shared" si="3"/>
        <v>15.160534854637694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85.96223999999998</v>
      </c>
      <c r="AK30" s="13">
        <f t="shared" si="35"/>
        <v>23.588828321049387</v>
      </c>
      <c r="AL30" s="20">
        <f t="shared" si="4"/>
        <v>190.80144399249431</v>
      </c>
      <c r="AM30" s="59">
        <f t="shared" si="5"/>
        <v>484.1347773258276</v>
      </c>
      <c r="AN30" s="59">
        <f ca="1">AVERAGE(OFFSET($AM$3,0,0,'Données projet'!$E$10+1,1))-AVERAGE(OFFSET($H$3,0,0,'Données projet'!$E$10+1,1))</f>
        <v>311.44572917773388</v>
      </c>
      <c r="AO30" s="59">
        <f t="shared" si="36"/>
        <v>190.00559730122654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0</v>
      </c>
      <c r="BJ30" s="59">
        <f t="shared" si="38"/>
        <v>0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276</v>
      </c>
      <c r="O31" s="13">
        <f>N31*VLOOKUP('Données projet'!$B$9,Paramètres!$A$1:$I$89,3,0)*VLOOKUP('Données projet'!$B$9,Paramètres!$A$1:$I$89,5,0)</f>
        <v>165.048</v>
      </c>
      <c r="P31" s="13">
        <f t="shared" si="33"/>
        <v>41.979039350635581</v>
      </c>
      <c r="Q31" s="20">
        <f t="shared" si="2"/>
        <v>360.57209353569027</v>
      </c>
      <c r="R31" s="59">
        <f t="shared" si="0"/>
        <v>653.90542686902359</v>
      </c>
      <c r="S31" s="59">
        <f ca="1">AVERAGE(OFFSET($R$3,0,0,'Données projet'!$E$9+1,1))-AVERAGE(OFFSET($H$3,0,0,'Données projet'!$E$9+1,1))</f>
        <v>175.9108689482207</v>
      </c>
      <c r="T31" s="59">
        <f t="shared" si="34"/>
        <v>359.8073445551853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1.7366410149780955</v>
      </c>
      <c r="AA31" s="21">
        <f>EXP(-LN(2)/25)*AA30+(1-EXP(-LN(2)/25))/(LN(2)/25)*Calculateur!V31*Calculateur!X31*VLOOKUP('Données projet'!$B$9,Paramètres!$A$1:$I$89,3,0)*0.475*44/12</f>
        <v>11.406274523994588</v>
      </c>
      <c r="AB31" s="21">
        <f>EXP(-LN(2)/2)*AB30+(1-EXP(-LN(2)/2))/(LN(2)/2)*V31*Y31*VLOOKUP('Données projet'!$B$9,Paramètres!$A$1:$I$89,3,0)*0.475*44/12</f>
        <v>1.175359733384435</v>
      </c>
      <c r="AC31" s="22">
        <f t="shared" si="3"/>
        <v>14.318275272357118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92.252159999999989</v>
      </c>
      <c r="AK31" s="13">
        <f t="shared" si="35"/>
        <v>25.107607958259987</v>
      </c>
      <c r="AL31" s="20">
        <f t="shared" si="4"/>
        <v>204.40159586063612</v>
      </c>
      <c r="AM31" s="59">
        <f t="shared" si="5"/>
        <v>497.73492919396944</v>
      </c>
      <c r="AN31" s="59">
        <f ca="1">AVERAGE(OFFSET($AM$3,0,0,'Données projet'!$E$10+1,1))-AVERAGE(OFFSET($H$3,0,0,'Données projet'!$E$10+1,1))</f>
        <v>311.44572917773388</v>
      </c>
      <c r="AO31" s="59">
        <f t="shared" si="36"/>
        <v>190.00559730122654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0</v>
      </c>
      <c r="BJ31" s="59">
        <f t="shared" si="38"/>
        <v>0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292</v>
      </c>
      <c r="O32" s="13">
        <f>N32*VLOOKUP('Données projet'!$B$9,Paramètres!$A$1:$I$89,3,0)*VLOOKUP('Données projet'!$B$9,Paramètres!$A$1:$I$89,5,0)</f>
        <v>174.61599999999999</v>
      </c>
      <c r="P32" s="13">
        <f t="shared" si="33"/>
        <v>44.122236542772548</v>
      </c>
      <c r="Q32" s="20">
        <f t="shared" si="2"/>
        <v>380.96909531199549</v>
      </c>
      <c r="R32" s="59">
        <f t="shared" si="0"/>
        <v>674.30242864532875</v>
      </c>
      <c r="S32" s="59">
        <f ca="1">AVERAGE(OFFSET($R$3,0,0,'Données projet'!$E$9+1,1))-AVERAGE(OFFSET($H$3,0,0,'Données projet'!$E$9+1,1))</f>
        <v>175.9108689482207</v>
      </c>
      <c r="T32" s="59">
        <f t="shared" si="34"/>
        <v>359.8073445551853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1.7025865439208023</v>
      </c>
      <c r="AA32" s="21">
        <f>EXP(-LN(2)/25)*AA31+(1-EXP(-LN(2)/25))/(LN(2)/25)*Calculateur!V32*Calculateur!X32*VLOOKUP('Données projet'!$B$9,Paramètres!$A$1:$I$89,3,0)*0.475*44/12</f>
        <v>11.094369347306047</v>
      </c>
      <c r="AB32" s="21">
        <f>EXP(-LN(2)/2)*AB31+(1-EXP(-LN(2)/2))/(LN(2)/2)*V32*Y32*VLOOKUP('Données projet'!$B$9,Paramètres!$A$1:$I$89,3,0)*0.475*44/12</f>
        <v>0.83110483780974653</v>
      </c>
      <c r="AC32" s="22">
        <f t="shared" si="3"/>
        <v>13.628060729036596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98.542079999999984</v>
      </c>
      <c r="AK32" s="13">
        <f t="shared" si="35"/>
        <v>26.614371888975242</v>
      </c>
      <c r="AL32" s="20">
        <f t="shared" si="4"/>
        <v>217.98082037329849</v>
      </c>
      <c r="AM32" s="59">
        <f t="shared" si="5"/>
        <v>511.31415370663183</v>
      </c>
      <c r="AN32" s="59">
        <f ca="1">AVERAGE(OFFSET($AM$3,0,0,'Données projet'!$E$10+1,1))-AVERAGE(OFFSET($H$3,0,0,'Données projet'!$E$10+1,1))</f>
        <v>311.44572917773388</v>
      </c>
      <c r="AO32" s="59">
        <f t="shared" si="36"/>
        <v>190.00559730122654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0</v>
      </c>
      <c r="BJ32" s="59">
        <f t="shared" si="38"/>
        <v>0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308</v>
      </c>
      <c r="O33" s="13">
        <f>N33*VLOOKUP('Données projet'!$B$9,Paramètres!$A$1:$I$89,3,0)*VLOOKUP('Données projet'!$B$9,Paramètres!$A$1:$I$89,5,0)</f>
        <v>184.18400000000003</v>
      </c>
      <c r="P33" s="13">
        <f t="shared" si="33"/>
        <v>46.251800545659357</v>
      </c>
      <c r="Q33" s="20">
        <f t="shared" si="2"/>
        <v>401.34235261702344</v>
      </c>
      <c r="R33" s="59">
        <f t="shared" si="0"/>
        <v>694.67568595035675</v>
      </c>
      <c r="S33" s="59">
        <f ca="1">AVERAGE(OFFSET($R$3,0,0,'Données projet'!$E$9+1,1))-AVERAGE(OFFSET($H$3,0,0,'Données projet'!$E$9+1,1))</f>
        <v>175.9108689482207</v>
      </c>
      <c r="T33" s="59">
        <f t="shared" si="34"/>
        <v>359.8073445551853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1.6691998602697662</v>
      </c>
      <c r="AA33" s="21">
        <f>EXP(-LN(2)/25)*AA32+(1-EXP(-LN(2)/25))/(LN(2)/25)*Calculateur!V33*Calculateur!X33*VLOOKUP('Données projet'!$B$9,Paramètres!$A$1:$I$89,3,0)*0.475*44/12</f>
        <v>10.790993234076437</v>
      </c>
      <c r="AB33" s="21">
        <f>EXP(-LN(2)/2)*AB32+(1-EXP(-LN(2)/2))/(LN(2)/2)*V33*Y33*VLOOKUP('Données projet'!$B$9,Paramètres!$A$1:$I$89,3,0)*0.475*44/12</f>
        <v>0.5876798666922175</v>
      </c>
      <c r="AC33" s="22">
        <f t="shared" si="3"/>
        <v>13.04787296103842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104.83199999999998</v>
      </c>
      <c r="AK33" s="13">
        <f t="shared" si="35"/>
        <v>28.109974371137692</v>
      </c>
      <c r="AL33" s="20">
        <f t="shared" si="4"/>
        <v>231.54060536306474</v>
      </c>
      <c r="AM33" s="59">
        <f t="shared" si="5"/>
        <v>524.873938696398</v>
      </c>
      <c r="AN33" s="59">
        <f ca="1">AVERAGE(OFFSET($AM$3,0,0,'Données projet'!$E$10+1,1))-AVERAGE(OFFSET($H$3,0,0,'Données projet'!$E$10+1,1))</f>
        <v>311.44572917773388</v>
      </c>
      <c r="AO33" s="59">
        <f t="shared" si="36"/>
        <v>190.00559730122654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3.4272421213681743</v>
      </c>
      <c r="AW33" s="21">
        <f>EXP(-LN(2)/2)*AW32+(1-EXP(-LN(2)/2))/(LN(2)/2)*AQ33*AT33*VLOOKUP('Données projet'!$B$10,Paramètres!$A$1:$I$89,3,0)*0.475*44/12</f>
        <v>6.8296252186796416</v>
      </c>
      <c r="AX33" s="21">
        <f t="shared" si="6"/>
        <v>10.256867340047815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0</v>
      </c>
      <c r="BJ33" s="59">
        <f t="shared" si="38"/>
        <v>0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</v>
      </c>
      <c r="N34" s="13">
        <f>IF('Données projet'!$A$36&gt;35,N33+M34-V33,IF(A34&lt;'Données projet'!$A$36,$K$205^A34,IF(A34='Données projet'!$A$36,'Données projet'!$B$36,N33+M34-V33)))</f>
        <v>324</v>
      </c>
      <c r="O34" s="13">
        <f>N34*VLOOKUP('Données projet'!$B$9,Paramètres!$A$1:$I$89,3,0)*VLOOKUP('Données projet'!$B$9,Paramètres!$A$1:$I$89,5,0)</f>
        <v>193.75200000000004</v>
      </c>
      <c r="P34" s="13">
        <f t="shared" si="33"/>
        <v>48.368520355376113</v>
      </c>
      <c r="Q34" s="20">
        <f t="shared" si="2"/>
        <v>421.69323961894679</v>
      </c>
      <c r="R34" s="59">
        <f t="shared" si="0"/>
        <v>715.02657295228005</v>
      </c>
      <c r="S34" s="59">
        <f ca="1">AVERAGE(OFFSET($R$3,0,0,'Données projet'!$E$9+1,1))-AVERAGE(OFFSET($H$3,0,0,'Données projet'!$E$9+1,1))</f>
        <v>175.9108689482207</v>
      </c>
      <c r="T34" s="59">
        <f t="shared" si="34"/>
        <v>359.8073445551853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1.6364678691212606</v>
      </c>
      <c r="AA34" s="21">
        <f>EXP(-LN(2)/25)*AA33+(1-EXP(-LN(2)/25))/(LN(2)/25)*Calculateur!V34*Calculateur!X34*VLOOKUP('Données projet'!$B$9,Paramètres!$A$1:$I$89,3,0)*0.475*44/12</f>
        <v>10.495912956616946</v>
      </c>
      <c r="AB34" s="21">
        <f>EXP(-LN(2)/2)*AB33+(1-EXP(-LN(2)/2))/(LN(2)/2)*V34*Y34*VLOOKUP('Données projet'!$B$9,Paramètres!$A$1:$I$89,3,0)*0.475*44/12</f>
        <v>0.41555241890487327</v>
      </c>
      <c r="AC34" s="22">
        <f t="shared" si="3"/>
        <v>12.54793324464308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84.065279999999973</v>
      </c>
      <c r="AK34" s="13">
        <f t="shared" si="35"/>
        <v>23.128280671201907</v>
      </c>
      <c r="AL34" s="20">
        <f t="shared" si="4"/>
        <v>186.69545150234327</v>
      </c>
      <c r="AM34" s="59">
        <f t="shared" si="5"/>
        <v>480.02878483567656</v>
      </c>
      <c r="AN34" s="59">
        <f ca="1">AVERAGE(OFFSET($AM$3,0,0,'Données projet'!$E$10+1,1))-AVERAGE(OFFSET($H$3,0,0,'Données projet'!$E$10+1,1))</f>
        <v>311.44572917773388</v>
      </c>
      <c r="AO34" s="59">
        <f t="shared" si="36"/>
        <v>190.00559730122654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3.3335240053285315</v>
      </c>
      <c r="AW34" s="21">
        <f>EXP(-LN(2)/2)*AW33+(1-EXP(-LN(2)/2))/(LN(2)/2)*AQ34*AT34*VLOOKUP('Données projet'!$B$10,Paramètres!$A$1:$I$89,3,0)*0.475*44/12</f>
        <v>4.8292743050910323</v>
      </c>
      <c r="AX34" s="21">
        <f t="shared" si="6"/>
        <v>8.1627983104195643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0</v>
      </c>
      <c r="BJ34" s="59">
        <f t="shared" si="38"/>
        <v>0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</v>
      </c>
      <c r="N35" s="13">
        <f>IF('Données projet'!$A$36&gt;35,N34+M35-V34,IF(A35&lt;'Données projet'!$A$36,$K$205^A35,IF(A35='Données projet'!$A$36,'Données projet'!$B$36,N34+M35-V34)))</f>
        <v>340</v>
      </c>
      <c r="O35" s="13">
        <f>N35*VLOOKUP('Données projet'!$B$9,Paramètres!$A$1:$I$89,3,0)*VLOOKUP('Données projet'!$B$9,Paramètres!$A$1:$I$89,5,0)</f>
        <v>203.32000000000002</v>
      </c>
      <c r="P35" s="13">
        <f t="shared" si="33"/>
        <v>50.473102640215579</v>
      </c>
      <c r="Q35" s="20">
        <f t="shared" ref="Q35:Q66" si="53">(O35+P35)*0.475*44/12</f>
        <v>442.02298709837549</v>
      </c>
      <c r="R35" s="59">
        <f t="shared" si="0"/>
        <v>735.35632043170881</v>
      </c>
      <c r="S35" s="59">
        <f ca="1">AVERAGE(OFFSET($R$3,0,0,'Données projet'!$E$9+1,1))-AVERAGE(OFFSET($H$3,0,0,'Données projet'!$E$9+1,1))</f>
        <v>175.9108689482207</v>
      </c>
      <c r="T35" s="59">
        <f t="shared" si="34"/>
        <v>359.8073445551853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1.604377732354634</v>
      </c>
      <c r="AA35" s="21">
        <f>EXP(-LN(2)/25)*AA34+(1-EXP(-LN(2)/25))/(LN(2)/25)*Calculateur!V35*Calculateur!X35*VLOOKUP('Données projet'!$B$9,Paramètres!$A$1:$I$89,3,0)*0.475*44/12</f>
        <v>10.208901664862182</v>
      </c>
      <c r="AB35" s="21">
        <f>EXP(-LN(2)/2)*AB34+(1-EXP(-LN(2)/2))/(LN(2)/2)*V35*Y35*VLOOKUP('Données projet'!$B$9,Paramètres!$A$1:$I$89,3,0)*0.475*44/12</f>
        <v>0.29383993334610875</v>
      </c>
      <c r="AC35" s="22">
        <f t="shared" si="3"/>
        <v>12.107119330562924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92.252159999999989</v>
      </c>
      <c r="AK35" s="13">
        <f t="shared" si="35"/>
        <v>25.107607958259987</v>
      </c>
      <c r="AL35" s="20">
        <f t="shared" si="4"/>
        <v>204.40159586063612</v>
      </c>
      <c r="AM35" s="59">
        <f t="shared" si="5"/>
        <v>497.73492919396944</v>
      </c>
      <c r="AN35" s="59">
        <f ca="1">AVERAGE(OFFSET($AM$3,0,0,'Données projet'!$E$10+1,1))-AVERAGE(OFFSET($H$3,0,0,'Données projet'!$E$10+1,1))</f>
        <v>311.44572917773388</v>
      </c>
      <c r="AO35" s="59">
        <f t="shared" si="36"/>
        <v>190.00559730122654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3.2423686161004142</v>
      </c>
      <c r="AW35" s="21">
        <f>EXP(-LN(2)/2)*AW34+(1-EXP(-LN(2)/2))/(LN(2)/2)*AQ35*AT35*VLOOKUP('Données projet'!$B$10,Paramètres!$A$1:$I$89,3,0)*0.475*44/12</f>
        <v>3.4148126093398212</v>
      </c>
      <c r="AX35" s="21">
        <f t="shared" si="6"/>
        <v>6.6571812254402349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0</v>
      </c>
      <c r="BJ35" s="59">
        <f t="shared" si="38"/>
        <v>0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</v>
      </c>
      <c r="N36" s="13">
        <f>IF('Données projet'!$A$36&gt;35,N35+M36-V35,IF(A36&lt;'Données projet'!$A$36,$K$205^A36,IF(A36='Données projet'!$A$36,'Données projet'!$B$36,N35+M36-V35)))</f>
        <v>356</v>
      </c>
      <c r="O36" s="13">
        <f>N36*VLOOKUP('Données projet'!$B$9,Paramètres!$A$1:$I$89,3,0)*VLOOKUP('Données projet'!$B$9,Paramètres!$A$1:$I$89,5,0)</f>
        <v>212.88800000000003</v>
      </c>
      <c r="P36" s="13">
        <f t="shared" si="33"/>
        <v>52.566183800007245</v>
      </c>
      <c r="Q36" s="20">
        <f t="shared" si="53"/>
        <v>462.33270345167938</v>
      </c>
      <c r="R36" s="59">
        <f t="shared" si="0"/>
        <v>755.66603678501269</v>
      </c>
      <c r="S36" s="59">
        <f ca="1">AVERAGE(OFFSET($R$3,0,0,'Données projet'!$E$9+1,1))-AVERAGE(OFFSET($H$3,0,0,'Données projet'!$E$9+1,1))</f>
        <v>175.9108689482207</v>
      </c>
      <c r="T36" s="59">
        <f t="shared" si="34"/>
        <v>359.8073445551853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1.5729168635969502</v>
      </c>
      <c r="AA36" s="21">
        <f>EXP(-LN(2)/25)*AA35+(1-EXP(-LN(2)/25))/(LN(2)/25)*Calculateur!V36*Calculateur!X36*VLOOKUP('Données projet'!$B$9,Paramètres!$A$1:$I$89,3,0)*0.475*44/12</f>
        <v>9.9297387119737195</v>
      </c>
      <c r="AB36" s="21">
        <f>EXP(-LN(2)/2)*AB35+(1-EXP(-LN(2)/2))/(LN(2)/2)*V36*Y36*VLOOKUP('Données projet'!$B$9,Paramètres!$A$1:$I$89,3,0)*0.475*44/12</f>
        <v>0.20777620945243663</v>
      </c>
      <c r="AC36" s="22">
        <f t="shared" si="3"/>
        <v>11.710431785023106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100.43903999999998</v>
      </c>
      <c r="AK36" s="13">
        <f t="shared" si="35"/>
        <v>27.066566091396126</v>
      </c>
      <c r="AL36" s="20">
        <f t="shared" si="4"/>
        <v>222.07226394251487</v>
      </c>
      <c r="AM36" s="59">
        <f t="shared" si="5"/>
        <v>515.40559727584821</v>
      </c>
      <c r="AN36" s="59">
        <f ca="1">AVERAGE(OFFSET($AM$3,0,0,'Données projet'!$E$10+1,1))-AVERAGE(OFFSET($H$3,0,0,'Données projet'!$E$10+1,1))</f>
        <v>311.44572917773388</v>
      </c>
      <c r="AO36" s="59">
        <f t="shared" si="36"/>
        <v>190.00559730122654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3.1537058757843934</v>
      </c>
      <c r="AW36" s="21">
        <f>EXP(-LN(2)/2)*AW35+(1-EXP(-LN(2)/2))/(LN(2)/2)*AQ36*AT36*VLOOKUP('Données projet'!$B$10,Paramètres!$A$1:$I$89,3,0)*0.475*44/12</f>
        <v>2.4146371525455166</v>
      </c>
      <c r="AX36" s="21">
        <f t="shared" si="6"/>
        <v>5.5683430283299096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0</v>
      </c>
      <c r="BJ36" s="59">
        <f t="shared" si="38"/>
        <v>0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</v>
      </c>
      <c r="N37" s="13">
        <f>IF('Données projet'!$A$36&gt;35,N36+M37-V36,IF(A37&lt;'Données projet'!$A$36,$K$205^A37,IF(A37='Données projet'!$A$36,'Données projet'!$B$36,N36+M37-V36)))</f>
        <v>372</v>
      </c>
      <c r="O37" s="13">
        <f>N37*VLOOKUP('Données projet'!$B$9,Paramètres!$A$1:$I$89,3,0)*VLOOKUP('Données projet'!$B$9,Paramètres!$A$1:$I$89,5,0)</f>
        <v>222.45600000000002</v>
      </c>
      <c r="P37" s="13">
        <f t="shared" si="33"/>
        <v>54.648339796219865</v>
      </c>
      <c r="Q37" s="20">
        <f t="shared" si="53"/>
        <v>482.62339181174957</v>
      </c>
      <c r="R37" s="59">
        <f t="shared" si="0"/>
        <v>775.95672514508283</v>
      </c>
      <c r="S37" s="59">
        <f ca="1">AVERAGE(OFFSET($R$3,0,0,'Données projet'!$E$9+1,1))-AVERAGE(OFFSET($H$3,0,0,'Données projet'!$E$9+1,1))</f>
        <v>175.9108689482207</v>
      </c>
      <c r="T37" s="59">
        <f t="shared" si="34"/>
        <v>359.8073445551853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1.5420729232863695</v>
      </c>
      <c r="AA37" s="21">
        <f>EXP(-LN(2)/25)*AA36+(1-EXP(-LN(2)/25))/(LN(2)/25)*Calculateur!V37*Calculateur!X37*VLOOKUP('Données projet'!$B$9,Paramètres!$A$1:$I$89,3,0)*0.475*44/12</f>
        <v>9.6582094847125344</v>
      </c>
      <c r="AB37" s="21">
        <f>EXP(-LN(2)/2)*AB36+(1-EXP(-LN(2)/2))/(LN(2)/2)*V37*Y37*VLOOKUP('Données projet'!$B$9,Paramètres!$A$1:$I$89,3,0)*0.475*44/12</f>
        <v>0.14691996667305438</v>
      </c>
      <c r="AC37" s="22">
        <f t="shared" si="3"/>
        <v>11.347202374671959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108.62591999999999</v>
      </c>
      <c r="AK37" s="13">
        <f t="shared" si="35"/>
        <v>29.007004139582357</v>
      </c>
      <c r="AL37" s="20">
        <f t="shared" si="4"/>
        <v>239.71067620977257</v>
      </c>
      <c r="AM37" s="59">
        <f t="shared" si="5"/>
        <v>533.04400954310586</v>
      </c>
      <c r="AN37" s="59">
        <f ca="1">AVERAGE(OFFSET($AM$3,0,0,'Données projet'!$E$10+1,1))-AVERAGE(OFFSET($H$3,0,0,'Données projet'!$E$10+1,1))</f>
        <v>311.44572917773388</v>
      </c>
      <c r="AO37" s="59">
        <f t="shared" si="36"/>
        <v>190.00559730122654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3.0674676227648852</v>
      </c>
      <c r="AW37" s="21">
        <f>EXP(-LN(2)/2)*AW36+(1-EXP(-LN(2)/2))/(LN(2)/2)*AQ37*AT37*VLOOKUP('Données projet'!$B$10,Paramètres!$A$1:$I$89,3,0)*0.475*44/12</f>
        <v>1.7074063046699108</v>
      </c>
      <c r="AX37" s="21">
        <f t="shared" si="6"/>
        <v>4.774873927434796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0</v>
      </c>
      <c r="BJ37" s="59">
        <f t="shared" si="38"/>
        <v>0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388</v>
      </c>
      <c r="L38" s="12">
        <f>VLOOKUP(A38,'Données projet'!$A$35:$I$55,9,0)</f>
        <v>16</v>
      </c>
      <c r="M38" s="12">
        <f t="array" ref="M38">INDEX(L:L,MIN(IF(ISNUMBER(L38:L234),ROW(L38:L234),"")))</f>
        <v>16</v>
      </c>
      <c r="N38" s="13">
        <f>IF('Données projet'!$A$36&gt;35,N37+M38-V37,IF(A38&lt;'Données projet'!$A$36,$K$205^A38,IF(A38='Données projet'!$A$36,'Données projet'!$B$36,N37+M38-V37)))</f>
        <v>388</v>
      </c>
      <c r="O38" s="13">
        <f>N38*VLOOKUP('Données projet'!$B$9,Paramètres!$A$1:$I$89,3,0)*VLOOKUP('Données projet'!$B$9,Paramètres!$A$1:$I$89,5,0)</f>
        <v>232.02400000000003</v>
      </c>
      <c r="P38" s="13">
        <f t="shared" si="33"/>
        <v>56.720094243161071</v>
      </c>
      <c r="Q38" s="20">
        <f t="shared" si="53"/>
        <v>502.89596414017223</v>
      </c>
      <c r="R38" s="59">
        <f t="shared" si="0"/>
        <v>796.22929747350554</v>
      </c>
      <c r="S38" s="59">
        <f ca="1">AVERAGE(OFFSET($R$3,0,0,'Données projet'!$E$9+1,1))-AVERAGE(OFFSET($H$3,0,0,'Données projet'!$E$9+1,1))</f>
        <v>175.9108689482207</v>
      </c>
      <c r="T38" s="59">
        <f t="shared" si="34"/>
        <v>359.8073445551853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388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1.5118338138323333</v>
      </c>
      <c r="AA38" s="21">
        <f>EXP(-LN(2)/25)*AA37+(1-EXP(-LN(2)/25))/(LN(2)/25)*Calculateur!V38*Calculateur!X38*VLOOKUP('Données projet'!$B$9,Paramètres!$A$1:$I$89,3,0)*0.475*44/12</f>
        <v>9.3941052384499066</v>
      </c>
      <c r="AB38" s="21">
        <f>EXP(-LN(2)/2)*AB37+(1-EXP(-LN(2)/2))/(LN(2)/2)*V38*Y38*VLOOKUP('Données projet'!$B$9,Paramètres!$A$1:$I$89,3,0)*0.475*44/12</f>
        <v>0.10388810472621832</v>
      </c>
      <c r="AC38" s="22">
        <f t="shared" si="3"/>
        <v>11.009827157008457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116.8128</v>
      </c>
      <c r="AK38" s="13">
        <f t="shared" si="35"/>
        <v>30.930476631089483</v>
      </c>
      <c r="AL38" s="20">
        <f t="shared" si="4"/>
        <v>257.31954013248082</v>
      </c>
      <c r="AM38" s="59">
        <f t="shared" si="5"/>
        <v>550.65287346581408</v>
      </c>
      <c r="AN38" s="59">
        <f ca="1">AVERAGE(OFFSET($AM$3,0,0,'Données projet'!$E$10+1,1))-AVERAGE(OFFSET($H$3,0,0,'Données projet'!$E$10+1,1))</f>
        <v>311.44572917773388</v>
      </c>
      <c r="AO38" s="59">
        <f t="shared" si="36"/>
        <v>190.00559730122654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2.9835875593092678</v>
      </c>
      <c r="AW38" s="21">
        <f>EXP(-LN(2)/2)*AW37+(1-EXP(-LN(2)/2))/(LN(2)/2)*AQ38*AT38*VLOOKUP('Données projet'!$B$10,Paramètres!$A$1:$I$89,3,0)*0.475*44/12</f>
        <v>1.2073185762727585</v>
      </c>
      <c r="AX38" s="21">
        <f t="shared" si="6"/>
        <v>4.1909061355820265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0</v>
      </c>
      <c r="BJ38" s="59">
        <f t="shared" si="38"/>
        <v>0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175.9108689482207</v>
      </c>
      <c r="T39" s="59">
        <f t="shared" si="34"/>
        <v>359.8073445551853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1.4821876748706551</v>
      </c>
      <c r="AA39" s="21">
        <f>EXP(-LN(2)/25)*AA38+(1-EXP(-LN(2)/25))/(LN(2)/25)*Calculateur!V39*Calculateur!X39*VLOOKUP('Données projet'!$B$9,Paramètres!$A$1:$I$89,3,0)*0.475*44/12</f>
        <v>9.1372229366899695</v>
      </c>
      <c r="AB39" s="21">
        <f>EXP(-LN(2)/2)*AB38+(1-EXP(-LN(2)/2))/(LN(2)/2)*V39*Y39*VLOOKUP('Données projet'!$B$9,Paramètres!$A$1:$I$89,3,0)*0.475*44/12</f>
        <v>7.3459983336527188E-2</v>
      </c>
      <c r="AC39" s="22">
        <f t="shared" si="3"/>
        <v>10.692870594897151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124.99968</v>
      </c>
      <c r="AK39" s="13">
        <f t="shared" si="35"/>
        <v>32.838307853476053</v>
      </c>
      <c r="AL39" s="20">
        <f t="shared" si="4"/>
        <v>274.90116217813744</v>
      </c>
      <c r="AM39" s="59">
        <f t="shared" si="5"/>
        <v>568.23449551147075</v>
      </c>
      <c r="AN39" s="59">
        <f ca="1">AVERAGE(OFFSET($AM$3,0,0,'Données projet'!$E$10+1,1))-AVERAGE(OFFSET($H$3,0,0,'Données projet'!$E$10+1,1))</f>
        <v>311.44572917773388</v>
      </c>
      <c r="AO39" s="59">
        <f t="shared" si="36"/>
        <v>190.00559730122654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2.9020012005999054</v>
      </c>
      <c r="AW39" s="21">
        <f>EXP(-LN(2)/2)*AW38+(1-EXP(-LN(2)/2))/(LN(2)/2)*AQ39*AT39*VLOOKUP('Données projet'!$B$10,Paramètres!$A$1:$I$89,3,0)*0.475*44/12</f>
        <v>0.85370315233495564</v>
      </c>
      <c r="AX39" s="21">
        <f t="shared" si="6"/>
        <v>3.755704352934861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0</v>
      </c>
      <c r="BJ39" s="59">
        <f t="shared" si="38"/>
        <v>0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175.9108689482207</v>
      </c>
      <c r="T40" s="59">
        <f t="shared" si="34"/>
        <v>359.8073445551853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1.4531228786116561</v>
      </c>
      <c r="AA40" s="21">
        <f>EXP(-LN(2)/25)*AA39+(1-EXP(-LN(2)/25))/(LN(2)/25)*Calculateur!V40*Calculateur!X40*VLOOKUP('Données projet'!$B$9,Paramètres!$A$1:$I$89,3,0)*0.475*44/12</f>
        <v>8.8873650949805114</v>
      </c>
      <c r="AB40" s="21">
        <f>EXP(-LN(2)/2)*AB39+(1-EXP(-LN(2)/2))/(LN(2)/2)*V40*Y40*VLOOKUP('Données projet'!$B$9,Paramètres!$A$1:$I$89,3,0)*0.475*44/12</f>
        <v>5.1944052363109158E-2</v>
      </c>
      <c r="AC40" s="22">
        <f t="shared" si="3"/>
        <v>10.392432025955276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133.18655999999999</v>
      </c>
      <c r="AK40" s="13">
        <f t="shared" si="35"/>
        <v>34.731638814433012</v>
      </c>
      <c r="AL40" s="20">
        <f t="shared" si="4"/>
        <v>292.45752960180414</v>
      </c>
      <c r="AM40" s="59">
        <f t="shared" si="5"/>
        <v>585.79086293513751</v>
      </c>
      <c r="AN40" s="59">
        <f ca="1">AVERAGE(OFFSET($AM$3,0,0,'Données projet'!$E$10+1,1))-AVERAGE(OFFSET($H$3,0,0,'Données projet'!$E$10+1,1))</f>
        <v>311.44572917773388</v>
      </c>
      <c r="AO40" s="59">
        <f t="shared" si="36"/>
        <v>190.00559730122654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2.8226458251598903</v>
      </c>
      <c r="AW40" s="21">
        <f>EXP(-LN(2)/2)*AW39+(1-EXP(-LN(2)/2))/(LN(2)/2)*AQ40*AT40*VLOOKUP('Données projet'!$B$10,Paramètres!$A$1:$I$89,3,0)*0.475*44/12</f>
        <v>0.60365928813637937</v>
      </c>
      <c r="AX40" s="21">
        <f t="shared" si="6"/>
        <v>3.4263051132962694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0</v>
      </c>
      <c r="BJ40" s="59">
        <f t="shared" si="38"/>
        <v>0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175.9108689482207</v>
      </c>
      <c r="T41" s="59">
        <f t="shared" si="34"/>
        <v>359.8073445551853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1.4246280252795209</v>
      </c>
      <c r="AA41" s="21">
        <f>EXP(-LN(2)/25)*AA40+(1-EXP(-LN(2)/25))/(LN(2)/25)*Calculateur!V41*Calculateur!X41*VLOOKUP('Données projet'!$B$9,Paramètres!$A$1:$I$89,3,0)*0.475*44/12</f>
        <v>8.6443396290920518</v>
      </c>
      <c r="AB41" s="21">
        <f>EXP(-LN(2)/2)*AB40+(1-EXP(-LN(2)/2))/(LN(2)/2)*V41*Y41*VLOOKUP('Données projet'!$B$9,Paramètres!$A$1:$I$89,3,0)*0.475*44/12</f>
        <v>3.6729991668263594E-2</v>
      </c>
      <c r="AC41" s="22">
        <f t="shared" si="3"/>
        <v>10.105697646039836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141.37343999999999</v>
      </c>
      <c r="AK41" s="13">
        <f t="shared" si="35"/>
        <v>36.611462320943957</v>
      </c>
      <c r="AL41" s="20">
        <f t="shared" si="4"/>
        <v>309.9903715423107</v>
      </c>
      <c r="AM41" s="59">
        <f t="shared" si="5"/>
        <v>603.32370487564401</v>
      </c>
      <c r="AN41" s="59">
        <f ca="1">AVERAGE(OFFSET($AM$3,0,0,'Données projet'!$E$10+1,1))-AVERAGE(OFFSET($H$3,0,0,'Données projet'!$E$10+1,1))</f>
        <v>311.44572917773388</v>
      </c>
      <c r="AO41" s="59">
        <f t="shared" si="36"/>
        <v>190.00559730122654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2.7454604266344003</v>
      </c>
      <c r="AW41" s="21">
        <f>EXP(-LN(2)/2)*AW40+(1-EXP(-LN(2)/2))/(LN(2)/2)*AQ41*AT41*VLOOKUP('Données projet'!$B$10,Paramètres!$A$1:$I$89,3,0)*0.475*44/12</f>
        <v>0.42685157616747788</v>
      </c>
      <c r="AX41" s="21">
        <f t="shared" si="6"/>
        <v>3.1723120028018781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0</v>
      </c>
      <c r="BJ41" s="59">
        <f t="shared" si="38"/>
        <v>0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175.9108689482207</v>
      </c>
      <c r="T42" s="59">
        <f t="shared" si="34"/>
        <v>359.8073445551853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1.3966919386410845</v>
      </c>
      <c r="AA42" s="21">
        <f>EXP(-LN(2)/25)*AA41+(1-EXP(-LN(2)/25))/(LN(2)/25)*Calculateur!V42*Calculateur!X42*VLOOKUP('Données projet'!$B$9,Paramètres!$A$1:$I$89,3,0)*0.475*44/12</f>
        <v>8.407959707348466</v>
      </c>
      <c r="AB42" s="21">
        <f>EXP(-LN(2)/2)*AB41+(1-EXP(-LN(2)/2))/(LN(2)/2)*V42*Y42*VLOOKUP('Données projet'!$B$9,Paramètres!$A$1:$I$89,3,0)*0.475*44/12</f>
        <v>2.5972026181554579E-2</v>
      </c>
      <c r="AC42" s="22">
        <f t="shared" si="3"/>
        <v>9.8306236721711056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149.56031999999996</v>
      </c>
      <c r="AK42" s="13">
        <f t="shared" si="35"/>
        <v>38.478649698758005</v>
      </c>
      <c r="AL42" s="20">
        <f t="shared" si="4"/>
        <v>327.50120555867011</v>
      </c>
      <c r="AM42" s="59">
        <f t="shared" si="5"/>
        <v>620.83453889200337</v>
      </c>
      <c r="AN42" s="59">
        <f ca="1">AVERAGE(OFFSET($AM$3,0,0,'Données projet'!$E$10+1,1))-AVERAGE(OFFSET($H$3,0,0,'Données projet'!$E$10+1,1))</f>
        <v>311.44572917773388</v>
      </c>
      <c r="AO42" s="59">
        <f t="shared" si="36"/>
        <v>190.00559730122654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2.6703856668905934</v>
      </c>
      <c r="AW42" s="21">
        <f>EXP(-LN(2)/2)*AW41+(1-EXP(-LN(2)/2))/(LN(2)/2)*AQ42*AT42*VLOOKUP('Données projet'!$B$10,Paramètres!$A$1:$I$89,3,0)*0.475*44/12</f>
        <v>0.30182964406818974</v>
      </c>
      <c r="AX42" s="21">
        <f t="shared" si="6"/>
        <v>2.972215310958783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0</v>
      </c>
      <c r="BJ42" s="59">
        <f t="shared" si="38"/>
        <v>0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175.9108689482207</v>
      </c>
      <c r="T43" s="59">
        <f t="shared" si="34"/>
        <v>359.8073445551853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1.3693036616222976</v>
      </c>
      <c r="AA43" s="21">
        <f>EXP(-LN(2)/25)*AA42+(1-EXP(-LN(2)/25))/(LN(2)/25)*Calculateur!V43*Calculateur!X43*VLOOKUP('Données projet'!$B$9,Paramètres!$A$1:$I$89,3,0)*0.475*44/12</f>
        <v>8.1780436069956384</v>
      </c>
      <c r="AB43" s="21">
        <f>EXP(-LN(2)/2)*AB42+(1-EXP(-LN(2)/2))/(LN(2)/2)*V43*Y43*VLOOKUP('Données projet'!$B$9,Paramètres!$A$1:$I$89,3,0)*0.475*44/12</f>
        <v>1.8364995834131797E-2</v>
      </c>
      <c r="AC43" s="22">
        <f t="shared" si="3"/>
        <v>9.5657122644520669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157.74719999999994</v>
      </c>
      <c r="AK43" s="13">
        <f t="shared" si="35"/>
        <v>40.33397149392006</v>
      </c>
      <c r="AL43" s="20">
        <f t="shared" si="4"/>
        <v>344.99137368524401</v>
      </c>
      <c r="AM43" s="59">
        <f t="shared" si="5"/>
        <v>638.32470701857733</v>
      </c>
      <c r="AN43" s="59">
        <f ca="1">AVERAGE(OFFSET($AM$3,0,0,'Données projet'!$E$10+1,1))-AVERAGE(OFFSET($H$3,0,0,'Données projet'!$E$10+1,1))</f>
        <v>311.44572917773388</v>
      </c>
      <c r="AO43" s="59">
        <f t="shared" si="36"/>
        <v>190.00559730122654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2.5973638303999911</v>
      </c>
      <c r="AW43" s="21">
        <f>EXP(-LN(2)/2)*AW42+(1-EXP(-LN(2)/2))/(LN(2)/2)*AQ43*AT43*VLOOKUP('Données projet'!$B$10,Paramètres!$A$1:$I$89,3,0)*0.475*44/12</f>
        <v>0.21342578808373897</v>
      </c>
      <c r="AX43" s="21">
        <f t="shared" si="6"/>
        <v>2.8107896184837302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0</v>
      </c>
      <c r="BJ43" s="59">
        <f t="shared" si="38"/>
        <v>0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175.9108689482207</v>
      </c>
      <c r="T44" s="59">
        <f t="shared" si="34"/>
        <v>359.8073445551853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1.3424524520106496</v>
      </c>
      <c r="AA44" s="21">
        <f>EXP(-LN(2)/25)*AA43+(1-EXP(-LN(2)/25))/(LN(2)/25)*Calculateur!V44*Calculateur!X44*VLOOKUP('Données projet'!$B$9,Paramètres!$A$1:$I$89,3,0)*0.475*44/12</f>
        <v>7.9544145744977204</v>
      </c>
      <c r="AB44" s="21">
        <f>EXP(-LN(2)/2)*AB43+(1-EXP(-LN(2)/2))/(LN(2)/2)*V44*Y44*VLOOKUP('Données projet'!$B$9,Paramètres!$A$1:$I$89,3,0)*0.475*44/12</f>
        <v>1.298601309077729E-2</v>
      </c>
      <c r="AC44" s="22">
        <f t="shared" si="3"/>
        <v>9.3098530395991475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124.10111999999997</v>
      </c>
      <c r="AK44" s="13">
        <f t="shared" si="35"/>
        <v>32.629639397037181</v>
      </c>
      <c r="AL44" s="20">
        <f t="shared" si="4"/>
        <v>272.97273928317304</v>
      </c>
      <c r="AM44" s="59">
        <f t="shared" si="5"/>
        <v>566.3060726165063</v>
      </c>
      <c r="AN44" s="59">
        <f ca="1">AVERAGE(OFFSET($AM$3,0,0,'Données projet'!$E$10+1,1))-AVERAGE(OFFSET($H$3,0,0,'Données projet'!$E$10+1,1))</f>
        <v>311.44572917773388</v>
      </c>
      <c r="AO44" s="59">
        <f t="shared" si="36"/>
        <v>190.00559730122654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2.5263387798682757</v>
      </c>
      <c r="AW44" s="21">
        <f>EXP(-LN(2)/2)*AW43+(1-EXP(-LN(2)/2))/(LN(2)/2)*AQ44*AT44*VLOOKUP('Données projet'!$B$10,Paramètres!$A$1:$I$89,3,0)*0.475*44/12</f>
        <v>0.15091482203409487</v>
      </c>
      <c r="AX44" s="21">
        <f t="shared" si="6"/>
        <v>2.6772536019023705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0</v>
      </c>
      <c r="BJ44" s="59">
        <f t="shared" si="38"/>
        <v>0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175.9108689482207</v>
      </c>
      <c r="T45" s="59">
        <f t="shared" si="34"/>
        <v>359.8073445551853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1.3161277782418652</v>
      </c>
      <c r="AA45" s="21">
        <f>EXP(-LN(2)/25)*AA44+(1-EXP(-LN(2)/25))/(LN(2)/25)*Calculateur!V45*Calculateur!X45*VLOOKUP('Données projet'!$B$9,Paramètres!$A$1:$I$89,3,0)*0.475*44/12</f>
        <v>7.7369006896535977</v>
      </c>
      <c r="AB45" s="21">
        <f>EXP(-LN(2)/2)*AB44+(1-EXP(-LN(2)/2))/(LN(2)/2)*V45*Y45*VLOOKUP('Données projet'!$B$9,Paramètres!$A$1:$I$89,3,0)*0.475*44/12</f>
        <v>9.1824979170658984E-3</v>
      </c>
      <c r="AC45" s="22">
        <f t="shared" si="3"/>
        <v>9.0622109658125289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132.38783999999995</v>
      </c>
      <c r="AK45" s="13">
        <f t="shared" si="35"/>
        <v>34.547533199821295</v>
      </c>
      <c r="AL45" s="20">
        <f t="shared" si="4"/>
        <v>290.74577498968864</v>
      </c>
      <c r="AM45" s="59">
        <f t="shared" si="5"/>
        <v>584.07910832302196</v>
      </c>
      <c r="AN45" s="59">
        <f ca="1">AVERAGE(OFFSET($AM$3,0,0,'Données projet'!$E$10+1,1))-AVERAGE(OFFSET($H$3,0,0,'Données projet'!$E$10+1,1))</f>
        <v>311.44572917773388</v>
      </c>
      <c r="AO45" s="59">
        <f t="shared" si="36"/>
        <v>190.00559730122654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2.4572559130783951</v>
      </c>
      <c r="AW45" s="21">
        <f>EXP(-LN(2)/2)*AW44+(1-EXP(-LN(2)/2))/(LN(2)/2)*AQ45*AT45*VLOOKUP('Données projet'!$B$10,Paramètres!$A$1:$I$89,3,0)*0.475*44/12</f>
        <v>0.10671289404186948</v>
      </c>
      <c r="AX45" s="21">
        <f t="shared" si="6"/>
        <v>2.5639688071202644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0</v>
      </c>
      <c r="BJ45" s="59">
        <f t="shared" si="38"/>
        <v>0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175.9108689482207</v>
      </c>
      <c r="T46" s="59">
        <f t="shared" si="34"/>
        <v>359.8073445551853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1.2903193152692212</v>
      </c>
      <c r="AA46" s="21">
        <f>EXP(-LN(2)/25)*AA45+(1-EXP(-LN(2)/25))/(LN(2)/25)*Calculateur!V46*Calculateur!X46*VLOOKUP('Données projet'!$B$9,Paramètres!$A$1:$I$89,3,0)*0.475*44/12</f>
        <v>7.5253347334290961</v>
      </c>
      <c r="AB46" s="21">
        <f>EXP(-LN(2)/2)*AB45+(1-EXP(-LN(2)/2))/(LN(2)/2)*V46*Y46*VLOOKUP('Données projet'!$B$9,Paramètres!$A$1:$I$89,3,0)*0.475*44/12</f>
        <v>6.4930065453886448E-3</v>
      </c>
      <c r="AC46" s="22">
        <f t="shared" si="3"/>
        <v>8.8221470552437058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140.67455999999999</v>
      </c>
      <c r="AK46" s="13">
        <f t="shared" si="35"/>
        <v>36.451494461448931</v>
      </c>
      <c r="AL46" s="20">
        <f t="shared" si="4"/>
        <v>308.49454485369023</v>
      </c>
      <c r="AM46" s="59">
        <f t="shared" si="5"/>
        <v>601.82787818702354</v>
      </c>
      <c r="AN46" s="59">
        <f ca="1">AVERAGE(OFFSET($AM$3,0,0,'Données projet'!$E$10+1,1))-AVERAGE(OFFSET($H$3,0,0,'Données projet'!$E$10+1,1))</f>
        <v>311.44572917773388</v>
      </c>
      <c r="AO46" s="59">
        <f t="shared" si="36"/>
        <v>190.00559730122654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2.390062120913794</v>
      </c>
      <c r="AW46" s="21">
        <f>EXP(-LN(2)/2)*AW45+(1-EXP(-LN(2)/2))/(LN(2)/2)*AQ46*AT46*VLOOKUP('Données projet'!$B$10,Paramètres!$A$1:$I$89,3,0)*0.475*44/12</f>
        <v>7.5457411017047435E-2</v>
      </c>
      <c r="AX46" s="21">
        <f t="shared" si="6"/>
        <v>2.4655195319308416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0</v>
      </c>
      <c r="BJ46" s="59">
        <f t="shared" si="38"/>
        <v>0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175.9108689482207</v>
      </c>
      <c r="T47" s="59">
        <f t="shared" si="34"/>
        <v>359.8073445551853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1.2650169405138625</v>
      </c>
      <c r="AA47" s="21">
        <f>EXP(-LN(2)/25)*AA46+(1-EXP(-LN(2)/25))/(LN(2)/25)*Calculateur!V47*Calculateur!X47*VLOOKUP('Données projet'!$B$9,Paramètres!$A$1:$I$89,3,0)*0.475*44/12</f>
        <v>7.3195540594033233</v>
      </c>
      <c r="AB47" s="21">
        <f>EXP(-LN(2)/2)*AB46+(1-EXP(-LN(2)/2))/(LN(2)/2)*V47*Y47*VLOOKUP('Données projet'!$B$9,Paramètres!$A$1:$I$89,3,0)*0.475*44/12</f>
        <v>4.5912489585329492E-3</v>
      </c>
      <c r="AC47" s="22">
        <f t="shared" si="3"/>
        <v>8.58916224887572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148.96128000000002</v>
      </c>
      <c r="AK47" s="13">
        <f t="shared" si="35"/>
        <v>38.342437392676977</v>
      </c>
      <c r="AL47" s="20">
        <f t="shared" si="4"/>
        <v>326.22064112557911</v>
      </c>
      <c r="AM47" s="59">
        <f t="shared" si="5"/>
        <v>619.55397445891242</v>
      </c>
      <c r="AN47" s="59">
        <f ca="1">AVERAGE(OFFSET($AM$3,0,0,'Données projet'!$E$10+1,1))-AVERAGE(OFFSET($H$3,0,0,'Données projet'!$E$10+1,1))</f>
        <v>311.44572917773388</v>
      </c>
      <c r="AO47" s="59">
        <f t="shared" si="36"/>
        <v>190.00559730122654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2.324705746529502</v>
      </c>
      <c r="AW47" s="21">
        <f>EXP(-LN(2)/2)*AW46+(1-EXP(-LN(2)/2))/(LN(2)/2)*AQ47*AT47*VLOOKUP('Données projet'!$B$10,Paramètres!$A$1:$I$89,3,0)*0.475*44/12</f>
        <v>5.3356447020934741E-2</v>
      </c>
      <c r="AX47" s="21">
        <f t="shared" si="6"/>
        <v>2.3780621935504369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0</v>
      </c>
      <c r="BJ47" s="59">
        <f t="shared" si="38"/>
        <v>0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175.9108689482207</v>
      </c>
      <c r="T48" s="59">
        <f t="shared" si="34"/>
        <v>359.8073445551853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1.2402107298945317</v>
      </c>
      <c r="AA48" s="21">
        <f>EXP(-LN(2)/25)*AA47+(1-EXP(-LN(2)/25))/(LN(2)/25)*Calculateur!V48*Calculateur!X48*VLOOKUP('Données projet'!$B$9,Paramètres!$A$1:$I$89,3,0)*0.475*44/12</f>
        <v>7.1194004687303201</v>
      </c>
      <c r="AB48" s="21">
        <f>EXP(-LN(2)/2)*AB47+(1-EXP(-LN(2)/2))/(LN(2)/2)*V48*Y48*VLOOKUP('Données projet'!$B$9,Paramètres!$A$1:$I$89,3,0)*0.475*44/12</f>
        <v>3.2465032726943224E-3</v>
      </c>
      <c r="AC48" s="22">
        <f t="shared" si="3"/>
        <v>8.3628577018975445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157.24799999999999</v>
      </c>
      <c r="AK48" s="13">
        <f t="shared" si="35"/>
        <v>40.22116874434861</v>
      </c>
      <c r="AL48" s="20">
        <f t="shared" si="4"/>
        <v>343.92546889640715</v>
      </c>
      <c r="AM48" s="59">
        <f t="shared" si="5"/>
        <v>637.25880222974047</v>
      </c>
      <c r="AN48" s="59">
        <f ca="1">AVERAGE(OFFSET($AM$3,0,0,'Données projet'!$E$10+1,1))-AVERAGE(OFFSET($H$3,0,0,'Données projet'!$E$10+1,1))</f>
        <v>311.44572917773388</v>
      </c>
      <c r="AO48" s="59">
        <f t="shared" si="36"/>
        <v>190.00559730122654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2.2611365456396908</v>
      </c>
      <c r="AW48" s="21">
        <f>EXP(-LN(2)/2)*AW47+(1-EXP(-LN(2)/2))/(LN(2)/2)*AQ48*AT48*VLOOKUP('Données projet'!$B$10,Paramètres!$A$1:$I$89,3,0)*0.475*44/12</f>
        <v>3.7728705508523717E-2</v>
      </c>
      <c r="AX48" s="21">
        <f t="shared" si="6"/>
        <v>2.2988652511482144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0</v>
      </c>
      <c r="BJ48" s="59">
        <f t="shared" si="38"/>
        <v>0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175.9108689482207</v>
      </c>
      <c r="T49" s="59">
        <f t="shared" si="34"/>
        <v>359.8073445551853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1.2158909539351517</v>
      </c>
      <c r="AA49" s="21">
        <f>EXP(-LN(2)/25)*AA48+(1-EXP(-LN(2)/25))/(LN(2)/25)*Calculateur!V49*Calculateur!X49*VLOOKUP('Données projet'!$B$9,Paramètres!$A$1:$I$89,3,0)*0.475*44/12</f>
        <v>6.9247200885198907</v>
      </c>
      <c r="AB49" s="21">
        <f>EXP(-LN(2)/2)*AB48+(1-EXP(-LN(2)/2))/(LN(2)/2)*V49*Y49*VLOOKUP('Données projet'!$B$9,Paramètres!$A$1:$I$89,3,0)*0.475*44/12</f>
        <v>2.2956244792664746E-3</v>
      </c>
      <c r="AC49" s="22">
        <f t="shared" si="3"/>
        <v>8.1429066669343086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165.53472000000002</v>
      </c>
      <c r="AK49" s="13">
        <f t="shared" si="35"/>
        <v>42.088405435926603</v>
      </c>
      <c r="AL49" s="20">
        <f t="shared" si="4"/>
        <v>361.61027680090552</v>
      </c>
      <c r="AM49" s="59">
        <f t="shared" si="5"/>
        <v>654.94361013423884</v>
      </c>
      <c r="AN49" s="59">
        <f ca="1">AVERAGE(OFFSET($AM$3,0,0,'Données projet'!$E$10+1,1))-AVERAGE(OFFSET($H$3,0,0,'Données projet'!$E$10+1,1))</f>
        <v>311.44572917773388</v>
      </c>
      <c r="AO49" s="59">
        <f t="shared" si="36"/>
        <v>190.00559730122654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2.1993056478911703</v>
      </c>
      <c r="AW49" s="21">
        <f>EXP(-LN(2)/2)*AW48+(1-EXP(-LN(2)/2))/(LN(2)/2)*AQ49*AT49*VLOOKUP('Données projet'!$B$10,Paramètres!$A$1:$I$89,3,0)*0.475*44/12</f>
        <v>2.6678223510467371E-2</v>
      </c>
      <c r="AX49" s="21">
        <f t="shared" si="6"/>
        <v>2.2259838714016378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0</v>
      </c>
      <c r="BJ49" s="59">
        <f t="shared" si="38"/>
        <v>0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175.9108689482207</v>
      </c>
      <c r="T50" s="59">
        <f t="shared" si="34"/>
        <v>359.8073445551853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1.1920480739487362</v>
      </c>
      <c r="AA50" s="21">
        <f>EXP(-LN(2)/25)*AA49+(1-EXP(-LN(2)/25))/(LN(2)/25)*Calculateur!V50*Calculateur!X50*VLOOKUP('Données projet'!$B$9,Paramètres!$A$1:$I$89,3,0)*0.475*44/12</f>
        <v>6.7353632535441115</v>
      </c>
      <c r="AB50" s="21">
        <f>EXP(-LN(2)/2)*AB49+(1-EXP(-LN(2)/2))/(LN(2)/2)*V50*Y50*VLOOKUP('Données projet'!$B$9,Paramètres!$A$1:$I$89,3,0)*0.475*44/12</f>
        <v>1.6232516363471612E-3</v>
      </c>
      <c r="AC50" s="22">
        <f t="shared" si="3"/>
        <v>7.929034579129195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173.82144000000005</v>
      </c>
      <c r="AK50" s="13">
        <f t="shared" si="35"/>
        <v>43.944788553743301</v>
      </c>
      <c r="AL50" s="20">
        <f t="shared" si="4"/>
        <v>379.27618139776968</v>
      </c>
      <c r="AM50" s="59">
        <f t="shared" si="5"/>
        <v>672.60951473110299</v>
      </c>
      <c r="AN50" s="59">
        <f ca="1">AVERAGE(OFFSET($AM$3,0,0,'Données projet'!$E$10+1,1))-AVERAGE(OFFSET($H$3,0,0,'Données projet'!$E$10+1,1))</f>
        <v>311.44572917773388</v>
      </c>
      <c r="AO50" s="59">
        <f t="shared" si="36"/>
        <v>190.00559730122654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2.1391655192931287</v>
      </c>
      <c r="AW50" s="21">
        <f>EXP(-LN(2)/2)*AW49+(1-EXP(-LN(2)/2))/(LN(2)/2)*AQ50*AT50*VLOOKUP('Données projet'!$B$10,Paramètres!$A$1:$I$89,3,0)*0.475*44/12</f>
        <v>1.8864352754261859E-2</v>
      </c>
      <c r="AX50" s="21">
        <f t="shared" si="6"/>
        <v>2.1580298720473907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0</v>
      </c>
      <c r="BJ50" s="59">
        <f t="shared" si="38"/>
        <v>0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175.9108689482207</v>
      </c>
      <c r="T51" s="59">
        <f t="shared" si="34"/>
        <v>359.8073445551853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1.1686727382961337</v>
      </c>
      <c r="AA51" s="21">
        <f>EXP(-LN(2)/25)*AA50+(1-EXP(-LN(2)/25))/(LN(2)/25)*Calculateur!V51*Calculateur!X51*VLOOKUP('Données projet'!$B$9,Paramètres!$A$1:$I$89,3,0)*0.475*44/12</f>
        <v>6.5511843911785883</v>
      </c>
      <c r="AB51" s="21">
        <f>EXP(-LN(2)/2)*AB50+(1-EXP(-LN(2)/2))/(LN(2)/2)*V51*Y51*VLOOKUP('Données projet'!$B$9,Paramètres!$A$1:$I$89,3,0)*0.475*44/12</f>
        <v>1.1478122396332373E-3</v>
      </c>
      <c r="AC51" s="22">
        <f t="shared" si="3"/>
        <v>7.7210049417143551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182.10816000000003</v>
      </c>
      <c r="AK51" s="13">
        <f t="shared" si="35"/>
        <v>45.790894604216206</v>
      </c>
      <c r="AL51" s="20">
        <f t="shared" si="4"/>
        <v>396.92418676900996</v>
      </c>
      <c r="AM51" s="59">
        <f t="shared" si="5"/>
        <v>690.25752010234328</v>
      </c>
      <c r="AN51" s="59">
        <f ca="1">AVERAGE(OFFSET($AM$3,0,0,'Données projet'!$E$10+1,1))-AVERAGE(OFFSET($H$3,0,0,'Données projet'!$E$10+1,1))</f>
        <v>311.44572917773388</v>
      </c>
      <c r="AO51" s="59">
        <f t="shared" si="36"/>
        <v>190.00559730122654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2.0806699256742327</v>
      </c>
      <c r="AW51" s="21">
        <f>EXP(-LN(2)/2)*AW50+(1-EXP(-LN(2)/2))/(LN(2)/2)*AQ51*AT51*VLOOKUP('Données projet'!$B$10,Paramètres!$A$1:$I$89,3,0)*0.475*44/12</f>
        <v>1.3339111755233685E-2</v>
      </c>
      <c r="AX51" s="21">
        <f t="shared" si="6"/>
        <v>2.0940090374294664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0</v>
      </c>
      <c r="BJ51" s="59">
        <f t="shared" si="38"/>
        <v>0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175.9108689482207</v>
      </c>
      <c r="T52" s="59">
        <f t="shared" si="34"/>
        <v>359.8073445551853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1.1457557787181318</v>
      </c>
      <c r="AA52" s="21">
        <f>EXP(-LN(2)/25)*AA51+(1-EXP(-LN(2)/25))/(LN(2)/25)*Calculateur!V52*Calculateur!X52*VLOOKUP('Données projet'!$B$9,Paramètres!$A$1:$I$89,3,0)*0.475*44/12</f>
        <v>6.3720419094899956</v>
      </c>
      <c r="AB52" s="21">
        <f>EXP(-LN(2)/2)*AB51+(1-EXP(-LN(2)/2))/(LN(2)/2)*V52*Y52*VLOOKUP('Données projet'!$B$9,Paramètres!$A$1:$I$89,3,0)*0.475*44/12</f>
        <v>8.116258181735806E-4</v>
      </c>
      <c r="AC52" s="22">
        <f t="shared" si="3"/>
        <v>7.5186093140263015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190.39488000000006</v>
      </c>
      <c r="AK52" s="13">
        <f t="shared" si="35"/>
        <v>47.627244660878283</v>
      </c>
      <c r="AL52" s="20">
        <f t="shared" si="4"/>
        <v>414.5552004510298</v>
      </c>
      <c r="AM52" s="59">
        <f t="shared" si="5"/>
        <v>707.88853378436306</v>
      </c>
      <c r="AN52" s="59">
        <f ca="1">AVERAGE(OFFSET($AM$3,0,0,'Données projet'!$E$10+1,1))-AVERAGE(OFFSET($H$3,0,0,'Données projet'!$E$10+1,1))</f>
        <v>311.44572917773388</v>
      </c>
      <c r="AO52" s="59">
        <f t="shared" si="36"/>
        <v>190.00559730122654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2.0237738971389949</v>
      </c>
      <c r="AW52" s="21">
        <f>EXP(-LN(2)/2)*AW51+(1-EXP(-LN(2)/2))/(LN(2)/2)*AQ52*AT52*VLOOKUP('Données projet'!$B$10,Paramètres!$A$1:$I$89,3,0)*0.475*44/12</f>
        <v>9.4321763771309294E-3</v>
      </c>
      <c r="AX52" s="21">
        <f t="shared" si="6"/>
        <v>2.0332060735161259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0</v>
      </c>
      <c r="BJ52" s="59">
        <f t="shared" si="38"/>
        <v>0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175.9108689482207</v>
      </c>
      <c r="T53" s="59">
        <f t="shared" si="34"/>
        <v>359.8073445551853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1.1232882067394894</v>
      </c>
      <c r="AA53" s="21">
        <f>EXP(-LN(2)/25)*AA52+(1-EXP(-LN(2)/25))/(LN(2)/25)*Calculateur!V53*Calculateur!X53*VLOOKUP('Données projet'!$B$9,Paramètres!$A$1:$I$89,3,0)*0.475*44/12</f>
        <v>6.1977980883838715</v>
      </c>
      <c r="AB53" s="21">
        <f>EXP(-LN(2)/2)*AB52+(1-EXP(-LN(2)/2))/(LN(2)/2)*V53*Y53*VLOOKUP('Données projet'!$B$9,Paramètres!$A$1:$I$89,3,0)*0.475*44/12</f>
        <v>5.7390611981661865E-4</v>
      </c>
      <c r="AC53" s="22">
        <f t="shared" si="3"/>
        <v>7.3216602012431773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198.68160000000006</v>
      </c>
      <c r="AK53" s="13">
        <f t="shared" si="35"/>
        <v>49.454311874015609</v>
      </c>
      <c r="AL53" s="20">
        <f t="shared" si="4"/>
        <v>432.17004651391062</v>
      </c>
      <c r="AM53" s="59">
        <f t="shared" si="5"/>
        <v>725.50337984724388</v>
      </c>
      <c r="AN53" s="59">
        <f ca="1">AVERAGE(OFFSET($AM$3,0,0,'Données projet'!$E$10+1,1))-AVERAGE(OFFSET($H$3,0,0,'Données projet'!$E$10+1,1))</f>
        <v>311.44572917773388</v>
      </c>
      <c r="AO53" s="59">
        <f t="shared" si="36"/>
        <v>190.00559730122654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1.9684336934960853</v>
      </c>
      <c r="AW53" s="21">
        <f>EXP(-LN(2)/2)*AW52+(1-EXP(-LN(2)/2))/(LN(2)/2)*AQ53*AT53*VLOOKUP('Données projet'!$B$10,Paramètres!$A$1:$I$89,3,0)*0.475*44/12</f>
        <v>6.6695558776168427E-3</v>
      </c>
      <c r="AX53" s="21">
        <f t="shared" si="6"/>
        <v>1.9751032493737022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0</v>
      </c>
      <c r="BJ53" s="59">
        <f t="shared" si="38"/>
        <v>0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175.9108689482207</v>
      </c>
      <c r="T54" s="59">
        <f t="shared" si="34"/>
        <v>359.8073445551853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1.1012612101434822</v>
      </c>
      <c r="AA54" s="21">
        <f>EXP(-LN(2)/25)*AA53+(1-EXP(-LN(2)/25))/(LN(2)/25)*Calculateur!V54*Calculateur!X54*VLOOKUP('Données projet'!$B$9,Paramètres!$A$1:$I$89,3,0)*0.475*44/12</f>
        <v>6.028318973728978</v>
      </c>
      <c r="AB54" s="21">
        <f>EXP(-LN(2)/2)*AB53+(1-EXP(-LN(2)/2))/(LN(2)/2)*V54*Y54*VLOOKUP('Données projet'!$B$9,Paramètres!$A$1:$I$89,3,0)*0.475*44/12</f>
        <v>4.058129090867903E-4</v>
      </c>
      <c r="AC54" s="22">
        <f t="shared" si="3"/>
        <v>7.1299859967815467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164.53632000000007</v>
      </c>
      <c r="AK54" s="13">
        <f t="shared" si="35"/>
        <v>41.864024260842832</v>
      </c>
      <c r="AL54" s="20">
        <f t="shared" si="4"/>
        <v>359.48059958763474</v>
      </c>
      <c r="AM54" s="59">
        <f t="shared" si="5"/>
        <v>652.813932920968</v>
      </c>
      <c r="AN54" s="59">
        <f ca="1">AVERAGE(OFFSET($AM$3,0,0,'Données projet'!$E$10+1,1))-AVERAGE(OFFSET($H$3,0,0,'Données projet'!$E$10+1,1))</f>
        <v>311.44572917773388</v>
      </c>
      <c r="AO54" s="59">
        <f t="shared" si="36"/>
        <v>190.00559730122654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1.9146067706320058</v>
      </c>
      <c r="AW54" s="21">
        <f>EXP(-LN(2)/2)*AW53+(1-EXP(-LN(2)/2))/(LN(2)/2)*AQ54*AT54*VLOOKUP('Données projet'!$B$10,Paramètres!$A$1:$I$89,3,0)*0.475*44/12</f>
        <v>4.7160881885654647E-3</v>
      </c>
      <c r="AX54" s="21">
        <f t="shared" si="6"/>
        <v>1.9193228588205713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0</v>
      </c>
      <c r="BJ54" s="59">
        <f t="shared" si="38"/>
        <v>0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175.9108689482207</v>
      </c>
      <c r="T55" s="59">
        <f t="shared" si="34"/>
        <v>359.8073445551853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1.0796661495155815</v>
      </c>
      <c r="AA55" s="21">
        <f>EXP(-LN(2)/25)*AA54+(1-EXP(-LN(2)/25))/(LN(2)/25)*Calculateur!V55*Calculateur!X55*VLOOKUP('Données projet'!$B$9,Paramètres!$A$1:$I$89,3,0)*0.475*44/12</f>
        <v>5.8634742743768422</v>
      </c>
      <c r="AB55" s="21">
        <f>EXP(-LN(2)/2)*AB54+(1-EXP(-LN(2)/2))/(LN(2)/2)*V55*Y55*VLOOKUP('Données projet'!$B$9,Paramètres!$A$1:$I$89,3,0)*0.475*44/12</f>
        <v>2.8695305990830933E-4</v>
      </c>
      <c r="AC55" s="22">
        <f t="shared" si="3"/>
        <v>6.9434273769523323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172.3238400000001</v>
      </c>
      <c r="AK55" s="13">
        <f t="shared" si="35"/>
        <v>43.610074466058002</v>
      </c>
      <c r="AL55" s="20">
        <f t="shared" si="4"/>
        <v>376.08490102838454</v>
      </c>
      <c r="AM55" s="59">
        <f t="shared" si="5"/>
        <v>669.41823436171785</v>
      </c>
      <c r="AN55" s="59">
        <f ca="1">AVERAGE(OFFSET($AM$3,0,0,'Données projet'!$E$10+1,1))-AVERAGE(OFFSET($H$3,0,0,'Données projet'!$E$10+1,1))</f>
        <v>311.44572917773388</v>
      </c>
      <c r="AO55" s="59">
        <f t="shared" si="36"/>
        <v>190.00559730122654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1.8622517478042795</v>
      </c>
      <c r="AW55" s="21">
        <f>EXP(-LN(2)/2)*AW54+(1-EXP(-LN(2)/2))/(LN(2)/2)*AQ55*AT55*VLOOKUP('Données projet'!$B$10,Paramètres!$A$1:$I$89,3,0)*0.475*44/12</f>
        <v>3.3347779388084213E-3</v>
      </c>
      <c r="AX55" s="21">
        <f t="shared" si="6"/>
        <v>1.8655865257430879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0</v>
      </c>
      <c r="BJ55" s="59">
        <f t="shared" si="38"/>
        <v>0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175.9108689482207</v>
      </c>
      <c r="T56" s="59">
        <f t="shared" si="34"/>
        <v>359.8073445551853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1.0584945548549076</v>
      </c>
      <c r="AA56" s="21">
        <f>EXP(-LN(2)/25)*AA55+(1-EXP(-LN(2)/25))/(LN(2)/25)*Calculateur!V56*Calculateur!X56*VLOOKUP('Données projet'!$B$9,Paramètres!$A$1:$I$89,3,0)*0.475*44/12</f>
        <v>5.7031372619972966</v>
      </c>
      <c r="AB56" s="21">
        <f>EXP(-LN(2)/2)*AB55+(1-EXP(-LN(2)/2))/(LN(2)/2)*V56*Y56*VLOOKUP('Données projet'!$B$9,Paramètres!$A$1:$I$89,3,0)*0.475*44/12</f>
        <v>2.0290645454339515E-4</v>
      </c>
      <c r="AC56" s="22">
        <f t="shared" si="3"/>
        <v>6.7618347233067473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180.1113600000001</v>
      </c>
      <c r="AK56" s="13">
        <f t="shared" si="35"/>
        <v>45.346960823004814</v>
      </c>
      <c r="AL56" s="20">
        <f t="shared" si="4"/>
        <v>392.67324210006683</v>
      </c>
      <c r="AM56" s="59">
        <f t="shared" si="5"/>
        <v>686.00657543340014</v>
      </c>
      <c r="AN56" s="59">
        <f ca="1">AVERAGE(OFFSET($AM$3,0,0,'Données projet'!$E$10+1,1))-AVERAGE(OFFSET($H$3,0,0,'Données projet'!$E$10+1,1))</f>
        <v>311.44572917773388</v>
      </c>
      <c r="AO56" s="59">
        <f t="shared" si="36"/>
        <v>190.00559730122654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1.8113283758290082</v>
      </c>
      <c r="AW56" s="21">
        <f>EXP(-LN(2)/2)*AW55+(1-EXP(-LN(2)/2))/(LN(2)/2)*AQ56*AT56*VLOOKUP('Données projet'!$B$10,Paramètres!$A$1:$I$89,3,0)*0.475*44/12</f>
        <v>2.3580440942827323E-3</v>
      </c>
      <c r="AX56" s="21">
        <f t="shared" si="6"/>
        <v>1.8136864199232909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0</v>
      </c>
      <c r="BJ56" s="59">
        <f t="shared" si="38"/>
        <v>0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175.9108689482207</v>
      </c>
      <c r="T57" s="59">
        <f t="shared" si="34"/>
        <v>359.8073445551853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1.0377381222521318</v>
      </c>
      <c r="AA57" s="21">
        <f>EXP(-LN(2)/25)*AA56+(1-EXP(-LN(2)/25))/(LN(2)/25)*Calculateur!V57*Calculateur!X57*VLOOKUP('Données projet'!$B$9,Paramètres!$A$1:$I$89,3,0)*0.475*44/12</f>
        <v>5.5471846736530264</v>
      </c>
      <c r="AB57" s="21">
        <f>EXP(-LN(2)/2)*AB56+(1-EXP(-LN(2)/2))/(LN(2)/2)*V57*Y57*VLOOKUP('Données projet'!$B$9,Paramètres!$A$1:$I$89,3,0)*0.475*44/12</f>
        <v>1.4347652995415466E-4</v>
      </c>
      <c r="AC57" s="22">
        <f t="shared" si="3"/>
        <v>6.5850662724351121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187.8988800000001</v>
      </c>
      <c r="AK57" s="13">
        <f t="shared" si="35"/>
        <v>47.075124840796398</v>
      </c>
      <c r="AL57" s="20">
        <f t="shared" si="4"/>
        <v>409.24639176438723</v>
      </c>
      <c r="AM57" s="59">
        <f t="shared" si="5"/>
        <v>702.57972509772048</v>
      </c>
      <c r="AN57" s="59">
        <f ca="1">AVERAGE(OFFSET($AM$3,0,0,'Données projet'!$E$10+1,1))-AVERAGE(OFFSET($H$3,0,0,'Données projet'!$E$10+1,1))</f>
        <v>311.44572917773388</v>
      </c>
      <c r="AO57" s="59">
        <f t="shared" si="36"/>
        <v>190.00559730122654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1.7617975061383446</v>
      </c>
      <c r="AW57" s="21">
        <f>EXP(-LN(2)/2)*AW56+(1-EXP(-LN(2)/2))/(LN(2)/2)*AQ57*AT57*VLOOKUP('Données projet'!$B$10,Paramètres!$A$1:$I$89,3,0)*0.475*44/12</f>
        <v>1.6673889694042107E-3</v>
      </c>
      <c r="AX57" s="21">
        <f t="shared" si="6"/>
        <v>1.7634648951077487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0</v>
      </c>
      <c r="BJ57" s="59">
        <f t="shared" si="38"/>
        <v>0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175.9108689482207</v>
      </c>
      <c r="T58" s="59">
        <f t="shared" si="34"/>
        <v>359.8073445551853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1.0173887106325228</v>
      </c>
      <c r="AA58" s="21">
        <f>EXP(-LN(2)/25)*AA57+(1-EXP(-LN(2)/25))/(LN(2)/25)*Calculateur!V58*Calculateur!X58*VLOOKUP('Données projet'!$B$9,Paramètres!$A$1:$I$89,3,0)*0.475*44/12</f>
        <v>5.395496617038221</v>
      </c>
      <c r="AB58" s="21">
        <f>EXP(-LN(2)/2)*AB57+(1-EXP(-LN(2)/2))/(LN(2)/2)*V58*Y58*VLOOKUP('Données projet'!$B$9,Paramètres!$A$1:$I$89,3,0)*0.475*44/12</f>
        <v>1.0145322727169757E-4</v>
      </c>
      <c r="AC58" s="22">
        <f t="shared" si="3"/>
        <v>6.4129867808980157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195.68640000000011</v>
      </c>
      <c r="AK58" s="13">
        <f t="shared" si="35"/>
        <v>48.794969360985156</v>
      </c>
      <c r="AL58" s="20">
        <f t="shared" si="4"/>
        <v>425.8050516370493</v>
      </c>
      <c r="AM58" s="59">
        <f t="shared" si="5"/>
        <v>719.13838497038262</v>
      </c>
      <c r="AN58" s="59">
        <f ca="1">AVERAGE(OFFSET($AM$3,0,0,'Données projet'!$E$10+1,1))-AVERAGE(OFFSET($H$3,0,0,'Données projet'!$E$10+1,1))</f>
        <v>311.44572917773388</v>
      </c>
      <c r="AO58" s="59">
        <f t="shared" si="36"/>
        <v>190.00559730122654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1.7136210606840874</v>
      </c>
      <c r="AW58" s="21">
        <f>EXP(-LN(2)/2)*AW57+(1-EXP(-LN(2)/2))/(LN(2)/2)*AQ58*AT58*VLOOKUP('Données projet'!$B$10,Paramètres!$A$1:$I$89,3,0)*0.475*44/12</f>
        <v>1.1790220471413662E-3</v>
      </c>
      <c r="AX58" s="21">
        <f t="shared" si="6"/>
        <v>1.7148000827312286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0</v>
      </c>
      <c r="BJ58" s="59">
        <f t="shared" si="38"/>
        <v>0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175.9108689482207</v>
      </c>
      <c r="T59" s="59">
        <f t="shared" si="34"/>
        <v>359.8073445551853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0.99743833856285868</v>
      </c>
      <c r="AA59" s="21">
        <f>EXP(-LN(2)/25)*AA58+(1-EXP(-LN(2)/25))/(LN(2)/25)*Calculateur!V59*Calculateur!X59*VLOOKUP('Données projet'!$B$9,Paramètres!$A$1:$I$89,3,0)*0.475*44/12</f>
        <v>5.2479564783084758</v>
      </c>
      <c r="AB59" s="21">
        <f>EXP(-LN(2)/2)*AB58+(1-EXP(-LN(2)/2))/(LN(2)/2)*V59*Y59*VLOOKUP('Données projet'!$B$9,Paramètres!$A$1:$I$89,3,0)*0.475*44/12</f>
        <v>7.1738264977077332E-5</v>
      </c>
      <c r="AC59" s="22">
        <f t="shared" si="3"/>
        <v>6.2454665551363115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203.47392000000013</v>
      </c>
      <c r="AK59" s="13">
        <f t="shared" si="35"/>
        <v>50.506863347247887</v>
      </c>
      <c r="AL59" s="20">
        <f t="shared" si="4"/>
        <v>442.34986432979031</v>
      </c>
      <c r="AM59" s="59">
        <f t="shared" si="5"/>
        <v>735.68319766312356</v>
      </c>
      <c r="AN59" s="59">
        <f ca="1">AVERAGE(OFFSET($AM$3,0,0,'Données projet'!$E$10+1,1))-AVERAGE(OFFSET($H$3,0,0,'Données projet'!$E$10+1,1))</f>
        <v>311.44572917773388</v>
      </c>
      <c r="AO59" s="59">
        <f t="shared" si="36"/>
        <v>190.00559730122654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1.666762002664266</v>
      </c>
      <c r="AW59" s="21">
        <f>EXP(-LN(2)/2)*AW58+(1-EXP(-LN(2)/2))/(LN(2)/2)*AQ59*AT59*VLOOKUP('Données projet'!$B$10,Paramètres!$A$1:$I$89,3,0)*0.475*44/12</f>
        <v>8.3369448470210533E-4</v>
      </c>
      <c r="AX59" s="21">
        <f t="shared" si="6"/>
        <v>1.667595697148968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0</v>
      </c>
      <c r="BJ59" s="59">
        <f t="shared" si="38"/>
        <v>0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175.9108689482207</v>
      </c>
      <c r="T60" s="59">
        <f t="shared" si="34"/>
        <v>359.8073445551853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0.97787918112095529</v>
      </c>
      <c r="AA60" s="21">
        <f>EXP(-LN(2)/25)*AA59+(1-EXP(-LN(2)/25))/(LN(2)/25)*Calculateur!V60*Calculateur!X60*VLOOKUP('Données projet'!$B$9,Paramètres!$A$1:$I$89,3,0)*0.475*44/12</f>
        <v>5.1044508324310938</v>
      </c>
      <c r="AB60" s="21">
        <f>EXP(-LN(2)/2)*AB59+(1-EXP(-LN(2)/2))/(LN(2)/2)*V60*Y60*VLOOKUP('Données projet'!$B$9,Paramètres!$A$1:$I$89,3,0)*0.475*44/12</f>
        <v>5.0726613635848787E-5</v>
      </c>
      <c r="AC60" s="22">
        <f t="shared" si="3"/>
        <v>6.0823807401656849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211.26144000000016</v>
      </c>
      <c r="AK60" s="13">
        <f t="shared" si="35"/>
        <v>52.211145921188461</v>
      </c>
      <c r="AL60" s="20">
        <f t="shared" si="4"/>
        <v>458.88142047940352</v>
      </c>
      <c r="AM60" s="59">
        <f t="shared" si="5"/>
        <v>752.21475381273683</v>
      </c>
      <c r="AN60" s="59">
        <f ca="1">AVERAGE(OFFSET($AM$3,0,0,'Données projet'!$E$10+1,1))-AVERAGE(OFFSET($H$3,0,0,'Données projet'!$E$10+1,1))</f>
        <v>311.44572917773388</v>
      </c>
      <c r="AO60" s="59">
        <f t="shared" si="36"/>
        <v>190.00559730122654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1.6211843080502073</v>
      </c>
      <c r="AW60" s="21">
        <f>EXP(-LN(2)/2)*AW59+(1-EXP(-LN(2)/2))/(LN(2)/2)*AQ60*AT60*VLOOKUP('Données projet'!$B$10,Paramètres!$A$1:$I$89,3,0)*0.475*44/12</f>
        <v>5.8951102357068309E-4</v>
      </c>
      <c r="AX60" s="21">
        <f t="shared" si="6"/>
        <v>1.621773819073778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0</v>
      </c>
      <c r="BJ60" s="59">
        <f t="shared" si="38"/>
        <v>0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175.9108689482207</v>
      </c>
      <c r="T61" s="59">
        <f t="shared" si="34"/>
        <v>359.8073445551853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0.95870356682657953</v>
      </c>
      <c r="AA61" s="21">
        <f>EXP(-LN(2)/25)*AA60+(1-EXP(-LN(2)/25))/(LN(2)/25)*Calculateur!V61*Calculateur!X61*VLOOKUP('Données projet'!$B$9,Paramètres!$A$1:$I$89,3,0)*0.475*44/12</f>
        <v>4.9648693559868624</v>
      </c>
      <c r="AB61" s="21">
        <f>EXP(-LN(2)/2)*AB60+(1-EXP(-LN(2)/2))/(LN(2)/2)*V61*Y61*VLOOKUP('Données projet'!$B$9,Paramètres!$A$1:$I$89,3,0)*0.475*44/12</f>
        <v>3.5869132488538666E-5</v>
      </c>
      <c r="AC61" s="22">
        <f t="shared" si="3"/>
        <v>5.9236087919459299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219.04896000000019</v>
      </c>
      <c r="AK61" s="13">
        <f t="shared" si="35"/>
        <v>53.908129786342911</v>
      </c>
      <c r="AL61" s="20">
        <f t="shared" si="4"/>
        <v>475.40026471121411</v>
      </c>
      <c r="AM61" s="59">
        <f t="shared" si="5"/>
        <v>768.73359804454742</v>
      </c>
      <c r="AN61" s="59">
        <f ca="1">AVERAGE(OFFSET($AM$3,0,0,'Données projet'!$E$10+1,1))-AVERAGE(OFFSET($H$3,0,0,'Données projet'!$E$10+1,1))</f>
        <v>311.44572917773388</v>
      </c>
      <c r="AO61" s="59">
        <f t="shared" si="36"/>
        <v>190.00559730122654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1.5768529378921969</v>
      </c>
      <c r="AW61" s="21">
        <f>EXP(-LN(2)/2)*AW60+(1-EXP(-LN(2)/2))/(LN(2)/2)*AQ61*AT61*VLOOKUP('Données projet'!$B$10,Paramètres!$A$1:$I$89,3,0)*0.475*44/12</f>
        <v>4.1684724235105267E-4</v>
      </c>
      <c r="AX61" s="21">
        <f t="shared" si="6"/>
        <v>1.5772697851345481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0</v>
      </c>
      <c r="BJ61" s="59">
        <f t="shared" si="38"/>
        <v>0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175.9108689482207</v>
      </c>
      <c r="T62" s="59">
        <f t="shared" si="34"/>
        <v>359.8073445551853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0.93990397463254671</v>
      </c>
      <c r="AA62" s="21">
        <f>EXP(-LN(2)/25)*AA61+(1-EXP(-LN(2)/25))/(LN(2)/25)*Calculateur!V62*Calculateur!X62*VLOOKUP('Données projet'!$B$9,Paramètres!$A$1:$I$89,3,0)*0.475*44/12</f>
        <v>4.8291047423562699</v>
      </c>
      <c r="AB62" s="21">
        <f>EXP(-LN(2)/2)*AB61+(1-EXP(-LN(2)/2))/(LN(2)/2)*V62*Y62*VLOOKUP('Données projet'!$B$9,Paramètres!$A$1:$I$89,3,0)*0.475*44/12</f>
        <v>2.5363306817924394E-5</v>
      </c>
      <c r="AC62" s="22">
        <f t="shared" si="3"/>
        <v>5.7690340802956346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226.83648000000017</v>
      </c>
      <c r="AK62" s="13">
        <f t="shared" si="35"/>
        <v>55.598104151587052</v>
      </c>
      <c r="AL62" s="20">
        <f t="shared" si="4"/>
        <v>491.906900730681</v>
      </c>
      <c r="AM62" s="59">
        <f t="shared" si="5"/>
        <v>785.24023406401432</v>
      </c>
      <c r="AN62" s="59">
        <f ca="1">AVERAGE(OFFSET($AM$3,0,0,'Données projet'!$E$10+1,1))-AVERAGE(OFFSET($H$3,0,0,'Données projet'!$E$10+1,1))</f>
        <v>311.44572917773388</v>
      </c>
      <c r="AO62" s="59">
        <f t="shared" si="36"/>
        <v>190.00559730122654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1.5337338113824428</v>
      </c>
      <c r="AW62" s="21">
        <f>EXP(-LN(2)/2)*AW61+(1-EXP(-LN(2)/2))/(LN(2)/2)*AQ62*AT62*VLOOKUP('Données projet'!$B$10,Paramètres!$A$1:$I$89,3,0)*0.475*44/12</f>
        <v>2.9475551178534154E-4</v>
      </c>
      <c r="AX62" s="21">
        <f t="shared" si="6"/>
        <v>1.5340285668942282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0</v>
      </c>
      <c r="BJ62" s="59">
        <f t="shared" si="38"/>
        <v>0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175.9108689482207</v>
      </c>
      <c r="T63" s="59">
        <f t="shared" si="34"/>
        <v>359.8073445551853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0.92147303097481981</v>
      </c>
      <c r="AA63" s="21">
        <f>EXP(-LN(2)/25)*AA62+(1-EXP(-LN(2)/25))/(LN(2)/25)*Calculateur!V63*Calculateur!X63*VLOOKUP('Données projet'!$B$9,Paramètres!$A$1:$I$89,3,0)*0.475*44/12</f>
        <v>4.697052619224956</v>
      </c>
      <c r="AB63" s="21">
        <f>EXP(-LN(2)/2)*AB62+(1-EXP(-LN(2)/2))/(LN(2)/2)*V63*Y63*VLOOKUP('Données projet'!$B$9,Paramètres!$A$1:$I$89,3,0)*0.475*44/12</f>
        <v>1.7934566244269333E-5</v>
      </c>
      <c r="AC63" s="22">
        <f t="shared" si="3"/>
        <v>5.6185435847660203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234.62400000000019</v>
      </c>
      <c r="AK63" s="13">
        <f t="shared" si="35"/>
        <v>57.281337241812707</v>
      </c>
      <c r="AL63" s="20">
        <f t="shared" si="4"/>
        <v>508.40179569615742</v>
      </c>
      <c r="AM63" s="59">
        <f t="shared" si="5"/>
        <v>801.73512902949074</v>
      </c>
      <c r="AN63" s="59">
        <f ca="1">AVERAGE(OFFSET($AM$3,0,0,'Données projet'!$E$10+1,1))-AVERAGE(OFFSET($H$3,0,0,'Données projet'!$E$10+1,1))</f>
        <v>311.44572917773388</v>
      </c>
      <c r="AO63" s="59">
        <f t="shared" si="36"/>
        <v>190.00559730122654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1.4917937796546341</v>
      </c>
      <c r="AW63" s="21">
        <f>EXP(-LN(2)/2)*AW62+(1-EXP(-LN(2)/2))/(LN(2)/2)*AQ63*AT63*VLOOKUP('Données projet'!$B$10,Paramètres!$A$1:$I$89,3,0)*0.475*44/12</f>
        <v>2.0842362117552633E-4</v>
      </c>
      <c r="AX63" s="21">
        <f t="shared" si="6"/>
        <v>1.4920022032758096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0</v>
      </c>
      <c r="BJ63" s="59">
        <f t="shared" si="38"/>
        <v>0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175.9108689482207</v>
      </c>
      <c r="T64" s="59">
        <f t="shared" si="34"/>
        <v>359.8073445551853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0.90340350688045534</v>
      </c>
      <c r="AA64" s="21">
        <f>EXP(-LN(2)/25)*AA63+(1-EXP(-LN(2)/25))/(LN(2)/25)*Calculateur!V64*Calculateur!X64*VLOOKUP('Données projet'!$B$9,Paramètres!$A$1:$I$89,3,0)*0.475*44/12</f>
        <v>4.5686114683449874</v>
      </c>
      <c r="AB64" s="21">
        <f>EXP(-LN(2)/2)*AB63+(1-EXP(-LN(2)/2))/(LN(2)/2)*V64*Y64*VLOOKUP('Données projet'!$B$9,Paramètres!$A$1:$I$89,3,0)*0.475*44/12</f>
        <v>1.2681653408962197E-5</v>
      </c>
      <c r="AC64" s="22">
        <f t="shared" si="3"/>
        <v>5.4720276568788524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199.68000000000018</v>
      </c>
      <c r="AK64" s="13">
        <f t="shared" si="35"/>
        <v>49.673834858130853</v>
      </c>
      <c r="AL64" s="20">
        <f t="shared" si="4"/>
        <v>434.29126237791155</v>
      </c>
      <c r="AM64" s="59">
        <f t="shared" si="5"/>
        <v>727.62459571124487</v>
      </c>
      <c r="AN64" s="59">
        <f ca="1">AVERAGE(OFFSET($AM$3,0,0,'Données projet'!$E$10+1,1))-AVERAGE(OFFSET($H$3,0,0,'Données projet'!$E$10+1,1))</f>
        <v>311.44572917773388</v>
      </c>
      <c r="AO64" s="59">
        <f t="shared" si="36"/>
        <v>190.00559730122654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1.4510006002999527</v>
      </c>
      <c r="AW64" s="21">
        <f>EXP(-LN(2)/2)*AW63+(1-EXP(-LN(2)/2))/(LN(2)/2)*AQ64*AT64*VLOOKUP('Données projet'!$B$10,Paramètres!$A$1:$I$89,3,0)*0.475*44/12</f>
        <v>1.4737775589267077E-4</v>
      </c>
      <c r="AX64" s="21">
        <f t="shared" si="6"/>
        <v>1.4511479780558454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0</v>
      </c>
      <c r="BJ64" s="59">
        <f t="shared" si="38"/>
        <v>0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175.9108689482207</v>
      </c>
      <c r="T65" s="59">
        <f t="shared" si="34"/>
        <v>359.8073445551853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0.88568831513225998</v>
      </c>
      <c r="AA65" s="21">
        <f>EXP(-LN(2)/25)*AA64+(1-EXP(-LN(2)/25))/(LN(2)/25)*Calculateur!V65*Calculateur!X65*VLOOKUP('Données projet'!$B$9,Paramètres!$A$1:$I$89,3,0)*0.475*44/12</f>
        <v>4.4436825474902584</v>
      </c>
      <c r="AB65" s="21">
        <f>EXP(-LN(2)/2)*AB64+(1-EXP(-LN(2)/2))/(LN(2)/2)*V65*Y65*VLOOKUP('Données projet'!$B$9,Paramètres!$A$1:$I$89,3,0)*0.475*44/12</f>
        <v>8.9672831221346665E-6</v>
      </c>
      <c r="AC65" s="22">
        <f t="shared" si="3"/>
        <v>5.3293798299056405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206.66880000000018</v>
      </c>
      <c r="AK65" s="13">
        <f t="shared" si="35"/>
        <v>51.206958627992798</v>
      </c>
      <c r="AL65" s="20">
        <f t="shared" si="4"/>
        <v>449.13361294375437</v>
      </c>
      <c r="AM65" s="59">
        <f t="shared" si="5"/>
        <v>742.46694627708769</v>
      </c>
      <c r="AN65" s="59">
        <f ca="1">AVERAGE(OFFSET($AM$3,0,0,'Données projet'!$E$10+1,1))-AVERAGE(OFFSET($H$3,0,0,'Données projet'!$E$10+1,1))</f>
        <v>311.44572917773388</v>
      </c>
      <c r="AO65" s="59">
        <f t="shared" si="36"/>
        <v>190.00559730122654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1.4113229125799451</v>
      </c>
      <c r="AW65" s="21">
        <f>EXP(-LN(2)/2)*AW64+(1-EXP(-LN(2)/2))/(LN(2)/2)*AQ65*AT65*VLOOKUP('Données projet'!$B$10,Paramètres!$A$1:$I$89,3,0)*0.475*44/12</f>
        <v>1.0421181058776317E-4</v>
      </c>
      <c r="AX65" s="21">
        <f t="shared" si="6"/>
        <v>1.411427124390533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0</v>
      </c>
      <c r="BJ65" s="59">
        <f t="shared" si="38"/>
        <v>0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175.9108689482207</v>
      </c>
      <c r="T66" s="59">
        <f t="shared" si="34"/>
        <v>359.8073445551853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0.86832050748904666</v>
      </c>
      <c r="AA66" s="21">
        <f>EXP(-LN(2)/25)*AA65+(1-EXP(-LN(2)/25))/(LN(2)/25)*Calculateur!V66*Calculateur!X66*VLOOKUP('Données projet'!$B$9,Paramètres!$A$1:$I$89,3,0)*0.475*44/12</f>
        <v>4.3221698145460286</v>
      </c>
      <c r="AB66" s="21">
        <f>EXP(-LN(2)/2)*AB65+(1-EXP(-LN(2)/2))/(LN(2)/2)*V66*Y66*VLOOKUP('Données projet'!$B$9,Paramètres!$A$1:$I$89,3,0)*0.475*44/12</f>
        <v>6.3408267044810984E-6</v>
      </c>
      <c r="AC66" s="22">
        <f t="shared" si="3"/>
        <v>5.1904966628617801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213.6576000000002</v>
      </c>
      <c r="AK66" s="13">
        <f t="shared" si="35"/>
        <v>52.73405831576202</v>
      </c>
      <c r="AL66" s="20">
        <f t="shared" si="4"/>
        <v>463.96547156661921</v>
      </c>
      <c r="AM66" s="59">
        <f t="shared" si="5"/>
        <v>757.29880489995253</v>
      </c>
      <c r="AN66" s="59">
        <f ca="1">AVERAGE(OFFSET($AM$3,0,0,'Données projet'!$E$10+1,1))-AVERAGE(OFFSET($H$3,0,0,'Données projet'!$E$10+1,1))</f>
        <v>311.44572917773388</v>
      </c>
      <c r="AO66" s="59">
        <f t="shared" si="36"/>
        <v>190.00559730122654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1.3727302133172001</v>
      </c>
      <c r="AW66" s="21">
        <f>EXP(-LN(2)/2)*AW65+(1-EXP(-LN(2)/2))/(LN(2)/2)*AQ66*AT66*VLOOKUP('Données projet'!$B$10,Paramètres!$A$1:$I$89,3,0)*0.475*44/12</f>
        <v>7.3688877946335386E-5</v>
      </c>
      <c r="AX66" s="21">
        <f t="shared" si="6"/>
        <v>1.3728039021951464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0</v>
      </c>
      <c r="BJ66" s="59">
        <f t="shared" si="38"/>
        <v>0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175.9108689482207</v>
      </c>
      <c r="T67" s="59">
        <f t="shared" si="34"/>
        <v>359.8073445551853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0.85129327196040006</v>
      </c>
      <c r="AA67" s="21">
        <f>EXP(-LN(2)/25)*AA66+(1-EXP(-LN(2)/25))/(LN(2)/25)*Calculateur!V67*Calculateur!X67*VLOOKUP('Données projet'!$B$9,Paramètres!$A$1:$I$89,3,0)*0.475*44/12</f>
        <v>4.2039798536742357</v>
      </c>
      <c r="AB67" s="21">
        <f>EXP(-LN(2)/2)*AB66+(1-EXP(-LN(2)/2))/(LN(2)/2)*V67*Y67*VLOOKUP('Données projet'!$B$9,Paramètres!$A$1:$I$89,3,0)*0.475*44/12</f>
        <v>4.4836415610673332E-6</v>
      </c>
      <c r="AC67" s="22">
        <f t="shared" si="3"/>
        <v>5.0552776092761968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220.64640000000017</v>
      </c>
      <c r="AK67" s="13">
        <f t="shared" si="35"/>
        <v>54.255353568674366</v>
      </c>
      <c r="AL67" s="20">
        <f t="shared" si="4"/>
        <v>478.7872207987748</v>
      </c>
      <c r="AM67" s="59">
        <f t="shared" si="5"/>
        <v>772.12055413210805</v>
      </c>
      <c r="AN67" s="59">
        <f ca="1">AVERAGE(OFFSET($AM$3,0,0,'Données projet'!$E$10+1,1))-AVERAGE(OFFSET($H$3,0,0,'Données projet'!$E$10+1,1))</f>
        <v>311.44572917773388</v>
      </c>
      <c r="AO67" s="59">
        <f t="shared" si="36"/>
        <v>190.00559730122654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1.3351928334452967</v>
      </c>
      <c r="AW67" s="21">
        <f>EXP(-LN(2)/2)*AW66+(1-EXP(-LN(2)/2))/(LN(2)/2)*AQ67*AT67*VLOOKUP('Données projet'!$B$10,Paramètres!$A$1:$I$89,3,0)*0.475*44/12</f>
        <v>5.2105905293881583E-5</v>
      </c>
      <c r="AX67" s="21">
        <f t="shared" si="6"/>
        <v>1.3352449393505905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0</v>
      </c>
      <c r="BJ67" s="59">
        <f t="shared" si="38"/>
        <v>0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175.9108689482207</v>
      </c>
      <c r="T68" s="59">
        <f t="shared" si="34"/>
        <v>359.8073445551853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0.8345999301348821</v>
      </c>
      <c r="AA68" s="21">
        <f>EXP(-LN(2)/25)*AA67+(1-EXP(-LN(2)/25))/(LN(2)/25)*Calculateur!V68*Calculateur!X68*VLOOKUP('Données projet'!$B$9,Paramètres!$A$1:$I$89,3,0)*0.475*44/12</f>
        <v>4.0890218034978218</v>
      </c>
      <c r="AB68" s="21">
        <f>EXP(-LN(2)/2)*AB67+(1-EXP(-LN(2)/2))/(LN(2)/2)*V68*Y68*VLOOKUP('Données projet'!$B$9,Paramètres!$A$1:$I$89,3,0)*0.475*44/12</f>
        <v>3.1704133522405492E-6</v>
      </c>
      <c r="AC68" s="22">
        <f t="shared" ref="AC68:AC131" si="57">SUM(Z68:AB68)</f>
        <v>4.923624904046056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227.63520000000017</v>
      </c>
      <c r="AK68" s="13">
        <f t="shared" si="35"/>
        <v>55.771049329494609</v>
      </c>
      <c r="AL68" s="20">
        <f t="shared" ref="AL68:AL131" si="58">(AJ68+AK68)*0.475*44/12</f>
        <v>493.59921758220338</v>
      </c>
      <c r="AM68" s="59">
        <f t="shared" ref="AM68:AM131" si="59">AL68+(AD68+AE68)*44/12</f>
        <v>786.93255091553669</v>
      </c>
      <c r="AN68" s="59">
        <f ca="1">AVERAGE(OFFSET($AM$3,0,0,'Données projet'!$E$10+1,1))-AVERAGE(OFFSET($H$3,0,0,'Données projet'!$E$10+1,1))</f>
        <v>311.44572917773388</v>
      </c>
      <c r="AO68" s="59">
        <f t="shared" si="36"/>
        <v>190.00559730122654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1.2986819151999955</v>
      </c>
      <c r="AW68" s="21">
        <f>EXP(-LN(2)/2)*AW67+(1-EXP(-LN(2)/2))/(LN(2)/2)*AQ68*AT68*VLOOKUP('Données projet'!$B$10,Paramètres!$A$1:$I$89,3,0)*0.475*44/12</f>
        <v>3.6844438973167693E-5</v>
      </c>
      <c r="AX68" s="21">
        <f t="shared" ref="AX68:AX131" si="60">SUM(AU68:AW68)</f>
        <v>1.2987187596389687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0</v>
      </c>
      <c r="BJ68" s="59">
        <f t="shared" si="38"/>
        <v>0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175.9108689482207</v>
      </c>
      <c r="T69" s="59">
        <f t="shared" ref="T69:T132" si="88">$T$3</f>
        <v>359.8073445551853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0.81823393456062932</v>
      </c>
      <c r="AA69" s="21">
        <f>EXP(-LN(2)/25)*AA68+(1-EXP(-LN(2)/25))/(LN(2)/25)*Calculateur!V69*Calculateur!X69*VLOOKUP('Données projet'!$B$9,Paramètres!$A$1:$I$89,3,0)*0.475*44/12</f>
        <v>3.9772072872488629</v>
      </c>
      <c r="AB69" s="21">
        <f>EXP(-LN(2)/2)*AB68+(1-EXP(-LN(2)/2))/(LN(2)/2)*V69*Y69*VLOOKUP('Données projet'!$B$9,Paramètres!$A$1:$I$89,3,0)*0.475*44/12</f>
        <v>2.2418207805336666E-6</v>
      </c>
      <c r="AC69" s="22">
        <f t="shared" si="57"/>
        <v>4.7954434636302725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234.62400000000019</v>
      </c>
      <c r="AK69" s="13">
        <f t="shared" ref="AK69:AK132" si="89">EXP(-1.0587+0.8836*LN(AJ69)+0.284)</f>
        <v>57.281337241812707</v>
      </c>
      <c r="AL69" s="20">
        <f t="shared" si="58"/>
        <v>508.40179569615742</v>
      </c>
      <c r="AM69" s="59">
        <f t="shared" si="59"/>
        <v>801.73512902949074</v>
      </c>
      <c r="AN69" s="59">
        <f ca="1">AVERAGE(OFFSET($AM$3,0,0,'Données projet'!$E$10+1,1))-AVERAGE(OFFSET($H$3,0,0,'Données projet'!$E$10+1,1))</f>
        <v>311.44572917773388</v>
      </c>
      <c r="AO69" s="59">
        <f t="shared" ref="AO69:AO132" si="90">$AO$3</f>
        <v>190.00559730122654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1.2631693899341379</v>
      </c>
      <c r="AW69" s="21">
        <f>EXP(-LN(2)/2)*AW68+(1-EXP(-LN(2)/2))/(LN(2)/2)*AQ69*AT69*VLOOKUP('Données projet'!$B$10,Paramètres!$A$1:$I$89,3,0)*0.475*44/12</f>
        <v>2.6052952646940792E-5</v>
      </c>
      <c r="AX69" s="21">
        <f t="shared" si="60"/>
        <v>1.2631954428867849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0</v>
      </c>
      <c r="BJ69" s="59">
        <f t="shared" ref="BJ69:BJ132" si="92">$BJ$3</f>
        <v>0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175.9108689482207</v>
      </c>
      <c r="T70" s="59">
        <f t="shared" si="88"/>
        <v>359.8073445551853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0.802188866177316</v>
      </c>
      <c r="AA70" s="21">
        <f>EXP(-LN(2)/25)*AA69+(1-EXP(-LN(2)/25))/(LN(2)/25)*Calculateur!V70*Calculateur!X70*VLOOKUP('Données projet'!$B$9,Paramètres!$A$1:$I$89,3,0)*0.475*44/12</f>
        <v>3.8684503448268015</v>
      </c>
      <c r="AB70" s="21">
        <f>EXP(-LN(2)/2)*AB69+(1-EXP(-LN(2)/2))/(LN(2)/2)*V70*Y70*VLOOKUP('Données projet'!$B$9,Paramètres!$A$1:$I$89,3,0)*0.475*44/12</f>
        <v>1.5852066761202746E-6</v>
      </c>
      <c r="AC70" s="22">
        <f t="shared" si="57"/>
        <v>4.6706407962107939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241.61280000000019</v>
      </c>
      <c r="AK70" s="13">
        <f t="shared" si="89"/>
        <v>58.786396883195479</v>
      </c>
      <c r="AL70" s="20">
        <f t="shared" si="58"/>
        <v>523.19526790489908</v>
      </c>
      <c r="AM70" s="59">
        <f t="shared" si="59"/>
        <v>816.52860123823234</v>
      </c>
      <c r="AN70" s="59">
        <f ca="1">AVERAGE(OFFSET($AM$3,0,0,'Données projet'!$E$10+1,1))-AVERAGE(OFFSET($H$3,0,0,'Données projet'!$E$10+1,1))</f>
        <v>311.44572917773388</v>
      </c>
      <c r="AO70" s="59">
        <f t="shared" si="90"/>
        <v>190.00559730122654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1.2286279565391975</v>
      </c>
      <c r="AW70" s="21">
        <f>EXP(-LN(2)/2)*AW69+(1-EXP(-LN(2)/2))/(LN(2)/2)*AQ70*AT70*VLOOKUP('Données projet'!$B$10,Paramètres!$A$1:$I$89,3,0)*0.475*44/12</f>
        <v>1.8422219486583846E-5</v>
      </c>
      <c r="AX70" s="21">
        <f t="shared" si="60"/>
        <v>1.2286463787586841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0</v>
      </c>
      <c r="BJ70" s="59">
        <f t="shared" si="92"/>
        <v>0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175.9108689482207</v>
      </c>
      <c r="T71" s="59">
        <f t="shared" si="88"/>
        <v>359.8073445551853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0.78645843179847408</v>
      </c>
      <c r="AA71" s="21">
        <f>EXP(-LN(2)/25)*AA70+(1-EXP(-LN(2)/25))/(LN(2)/25)*Calculateur!V71*Calculateur!X71*VLOOKUP('Données projet'!$B$9,Paramètres!$A$1:$I$89,3,0)*0.475*44/12</f>
        <v>3.7626673667145503</v>
      </c>
      <c r="AB71" s="21">
        <f>EXP(-LN(2)/2)*AB70+(1-EXP(-LN(2)/2))/(LN(2)/2)*V71*Y71*VLOOKUP('Données projet'!$B$9,Paramètres!$A$1:$I$89,3,0)*0.475*44/12</f>
        <v>1.1209103902668333E-6</v>
      </c>
      <c r="AC71" s="22">
        <f t="shared" si="57"/>
        <v>4.549126919423415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248.60160000000016</v>
      </c>
      <c r="AK71" s="13">
        <f t="shared" si="89"/>
        <v>60.286396851649236</v>
      </c>
      <c r="AL71" s="20">
        <f t="shared" si="58"/>
        <v>537.97992784995597</v>
      </c>
      <c r="AM71" s="59">
        <f t="shared" si="59"/>
        <v>831.31326118328934</v>
      </c>
      <c r="AN71" s="59">
        <f ca="1">AVERAGE(OFFSET($AM$3,0,0,'Données projet'!$E$10+1,1))-AVERAGE(OFFSET($H$3,0,0,'Données projet'!$E$10+1,1))</f>
        <v>311.44572917773388</v>
      </c>
      <c r="AO71" s="59">
        <f t="shared" si="90"/>
        <v>190.00559730122654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1.195031060456897</v>
      </c>
      <c r="AW71" s="21">
        <f>EXP(-LN(2)/2)*AW70+(1-EXP(-LN(2)/2))/(LN(2)/2)*AQ71*AT71*VLOOKUP('Données projet'!$B$10,Paramètres!$A$1:$I$89,3,0)*0.475*44/12</f>
        <v>1.3026476323470396E-5</v>
      </c>
      <c r="AX71" s="21">
        <f t="shared" si="60"/>
        <v>1.1950440869332204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0</v>
      </c>
      <c r="BJ71" s="59">
        <f t="shared" si="92"/>
        <v>0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175.9108689482207</v>
      </c>
      <c r="T72" s="59">
        <f t="shared" si="88"/>
        <v>359.8073445551853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0.77103646164318373</v>
      </c>
      <c r="AA72" s="21">
        <f>EXP(-LN(2)/25)*AA71+(1-EXP(-LN(2)/25))/(LN(2)/25)*Calculateur!V72*Calculateur!X72*VLOOKUP('Données projet'!$B$9,Paramètres!$A$1:$I$89,3,0)*0.475*44/12</f>
        <v>3.6597770297016639</v>
      </c>
      <c r="AB72" s="21">
        <f>EXP(-LN(2)/2)*AB71+(1-EXP(-LN(2)/2))/(LN(2)/2)*V72*Y72*VLOOKUP('Données projet'!$B$9,Paramètres!$A$1:$I$89,3,0)*0.475*44/12</f>
        <v>7.926033380601373E-7</v>
      </c>
      <c r="AC72" s="22">
        <f t="shared" si="57"/>
        <v>4.4308142839481857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255.59040000000019</v>
      </c>
      <c r="AK72" s="13">
        <f t="shared" si="89"/>
        <v>61.781495726476564</v>
      </c>
      <c r="AL72" s="20">
        <f t="shared" si="58"/>
        <v>552.75605172361361</v>
      </c>
      <c r="AM72" s="59">
        <f t="shared" si="59"/>
        <v>846.08938505694687</v>
      </c>
      <c r="AN72" s="59">
        <f ca="1">AVERAGE(OFFSET($AM$3,0,0,'Données projet'!$E$10+1,1))-AVERAGE(OFFSET($H$3,0,0,'Données projet'!$E$10+1,1))</f>
        <v>311.44572917773388</v>
      </c>
      <c r="AO72" s="59">
        <f t="shared" si="90"/>
        <v>190.00559730122654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1.162352873264751</v>
      </c>
      <c r="AW72" s="21">
        <f>EXP(-LN(2)/2)*AW71+(1-EXP(-LN(2)/2))/(LN(2)/2)*AQ72*AT72*VLOOKUP('Données projet'!$B$10,Paramètres!$A$1:$I$89,3,0)*0.475*44/12</f>
        <v>9.2111097432919232E-6</v>
      </c>
      <c r="AX72" s="21">
        <f t="shared" si="60"/>
        <v>1.1623620843744944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0</v>
      </c>
      <c r="BJ72" s="59">
        <f t="shared" si="92"/>
        <v>0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175.9108689482207</v>
      </c>
      <c r="T73" s="59">
        <f t="shared" si="88"/>
        <v>359.8073445551853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0.75591690691616564</v>
      </c>
      <c r="AA73" s="21">
        <f>EXP(-LN(2)/25)*AA72+(1-EXP(-LN(2)/25))/(LN(2)/25)*Calculateur!V73*Calculateur!X73*VLOOKUP('Données projet'!$B$9,Paramètres!$A$1:$I$89,3,0)*0.475*44/12</f>
        <v>3.5597002343651623</v>
      </c>
      <c r="AB73" s="21">
        <f>EXP(-LN(2)/2)*AB72+(1-EXP(-LN(2)/2))/(LN(2)/2)*V73*Y73*VLOOKUP('Données projet'!$B$9,Paramètres!$A$1:$I$89,3,0)*0.475*44/12</f>
        <v>5.6045519513341665E-7</v>
      </c>
      <c r="AC73" s="22">
        <f t="shared" si="57"/>
        <v>4.3156177017365227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262.57920000000018</v>
      </c>
      <c r="AK73" s="13">
        <f t="shared" si="89"/>
        <v>63.271842921083426</v>
      </c>
      <c r="AL73" s="20">
        <f t="shared" si="58"/>
        <v>567.52389975422057</v>
      </c>
      <c r="AM73" s="59">
        <f t="shared" si="59"/>
        <v>860.85723308755382</v>
      </c>
      <c r="AN73" s="59">
        <f ca="1">AVERAGE(OFFSET($AM$3,0,0,'Données projet'!$E$10+1,1))-AVERAGE(OFFSET($H$3,0,0,'Données projet'!$E$10+1,1))</f>
        <v>311.44572917773388</v>
      </c>
      <c r="AO73" s="59">
        <f t="shared" si="90"/>
        <v>190.00559730122654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1.1305682728198454</v>
      </c>
      <c r="AW73" s="21">
        <f>EXP(-LN(2)/2)*AW72+(1-EXP(-LN(2)/2))/(LN(2)/2)*AQ73*AT73*VLOOKUP('Données projet'!$B$10,Paramètres!$A$1:$I$89,3,0)*0.475*44/12</f>
        <v>6.5132381617351979E-6</v>
      </c>
      <c r="AX73" s="21">
        <f t="shared" si="60"/>
        <v>1.1305747860580071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0</v>
      </c>
      <c r="BJ73" s="59">
        <f t="shared" si="92"/>
        <v>0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175.9108689482207</v>
      </c>
      <c r="T74" s="59">
        <f t="shared" si="88"/>
        <v>359.8073445551853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0.74109383743532664</v>
      </c>
      <c r="AA74" s="21">
        <f>EXP(-LN(2)/25)*AA73+(1-EXP(-LN(2)/25))/(LN(2)/25)*Calculateur!V74*Calculateur!X74*VLOOKUP('Données projet'!$B$9,Paramètres!$A$1:$I$89,3,0)*0.475*44/12</f>
        <v>3.4623600442599476</v>
      </c>
      <c r="AB74" s="21">
        <f>EXP(-LN(2)/2)*AB73+(1-EXP(-LN(2)/2))/(LN(2)/2)*V74*Y74*VLOOKUP('Données projet'!$B$9,Paramètres!$A$1:$I$89,3,0)*0.475*44/12</f>
        <v>3.9630166903006865E-7</v>
      </c>
      <c r="AC74" s="22">
        <f t="shared" si="57"/>
        <v>4.2034542779969435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226.73664000000022</v>
      </c>
      <c r="AK74" s="13">
        <f t="shared" si="89"/>
        <v>55.576481025060566</v>
      </c>
      <c r="AL74" s="20">
        <f t="shared" si="58"/>
        <v>491.69535245198091</v>
      </c>
      <c r="AM74" s="59">
        <f t="shared" si="59"/>
        <v>785.02868578531422</v>
      </c>
      <c r="AN74" s="59">
        <f ca="1">AVERAGE(OFFSET($AM$3,0,0,'Données projet'!$E$10+1,1))-AVERAGE(OFFSET($H$3,0,0,'Données projet'!$E$10+1,1))</f>
        <v>311.44572917773388</v>
      </c>
      <c r="AO74" s="59">
        <f t="shared" si="90"/>
        <v>190.00559730122654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1.0996528239455852</v>
      </c>
      <c r="AW74" s="21">
        <f>EXP(-LN(2)/2)*AW73+(1-EXP(-LN(2)/2))/(LN(2)/2)*AQ74*AT74*VLOOKUP('Données projet'!$B$10,Paramètres!$A$1:$I$89,3,0)*0.475*44/12</f>
        <v>4.6055548716459616E-6</v>
      </c>
      <c r="AX74" s="21">
        <f t="shared" si="60"/>
        <v>1.0996574295004569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0</v>
      </c>
      <c r="BJ74" s="59">
        <f t="shared" si="92"/>
        <v>0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175.9108689482207</v>
      </c>
      <c r="T75" s="59">
        <f t="shared" si="88"/>
        <v>359.8073445551853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0.72656143930582717</v>
      </c>
      <c r="AA75" s="21">
        <f>EXP(-LN(2)/25)*AA74+(1-EXP(-LN(2)/25))/(LN(2)/25)*Calculateur!V75*Calculateur!X75*VLOOKUP('Données projet'!$B$9,Paramètres!$A$1:$I$89,3,0)*0.475*44/12</f>
        <v>3.367681626772058</v>
      </c>
      <c r="AB75" s="21">
        <f>EXP(-LN(2)/2)*AB74+(1-EXP(-LN(2)/2))/(LN(2)/2)*V75*Y75*VLOOKUP('Données projet'!$B$9,Paramètres!$A$1:$I$89,3,0)*0.475*44/12</f>
        <v>2.8022759756670833E-7</v>
      </c>
      <c r="AC75" s="22">
        <f t="shared" si="57"/>
        <v>4.0942433463054826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232.82688000000022</v>
      </c>
      <c r="AK75" s="13">
        <f t="shared" si="89"/>
        <v>56.893483833907716</v>
      </c>
      <c r="AL75" s="20">
        <f t="shared" si="58"/>
        <v>504.59630034405632</v>
      </c>
      <c r="AM75" s="59">
        <f t="shared" si="59"/>
        <v>797.92963367738957</v>
      </c>
      <c r="AN75" s="59">
        <f ca="1">AVERAGE(OFFSET($AM$3,0,0,'Données projet'!$E$10+1,1))-AVERAGE(OFFSET($H$3,0,0,'Données projet'!$E$10+1,1))</f>
        <v>311.44572917773388</v>
      </c>
      <c r="AO75" s="59">
        <f t="shared" si="90"/>
        <v>190.00559730122654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1.0695827596465644</v>
      </c>
      <c r="AW75" s="21">
        <f>EXP(-LN(2)/2)*AW74+(1-EXP(-LN(2)/2))/(LN(2)/2)*AQ75*AT75*VLOOKUP('Données projet'!$B$10,Paramètres!$A$1:$I$89,3,0)*0.475*44/12</f>
        <v>3.256619080867599E-6</v>
      </c>
      <c r="AX75" s="21">
        <f t="shared" si="60"/>
        <v>1.0695860162656452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0</v>
      </c>
      <c r="BJ75" s="59">
        <f t="shared" si="92"/>
        <v>0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175.9108689482207</v>
      </c>
      <c r="T76" s="59">
        <f t="shared" si="88"/>
        <v>359.8073445551853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0.71231401263975958</v>
      </c>
      <c r="AA76" s="21">
        <f>EXP(-LN(2)/25)*AA75+(1-EXP(-LN(2)/25))/(LN(2)/25)*Calculateur!V76*Calculateur!X76*VLOOKUP('Données projet'!$B$9,Paramètres!$A$1:$I$89,3,0)*0.475*44/12</f>
        <v>3.2755921955892964</v>
      </c>
      <c r="AB76" s="21">
        <f>EXP(-LN(2)/2)*AB75+(1-EXP(-LN(2)/2))/(LN(2)/2)*V76*Y76*VLOOKUP('Données projet'!$B$9,Paramètres!$A$1:$I$89,3,0)*0.475*44/12</f>
        <v>1.9815083451503433E-7</v>
      </c>
      <c r="AC76" s="22">
        <f t="shared" si="57"/>
        <v>3.9879064063798904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238.91712000000021</v>
      </c>
      <c r="AK76" s="13">
        <f t="shared" si="89"/>
        <v>58.206482290118025</v>
      </c>
      <c r="AL76" s="20">
        <f t="shared" si="58"/>
        <v>517.49027398862256</v>
      </c>
      <c r="AM76" s="59">
        <f t="shared" si="59"/>
        <v>810.82360732195593</v>
      </c>
      <c r="AN76" s="59">
        <f ca="1">AVERAGE(OFFSET($AM$3,0,0,'Données projet'!$E$10+1,1))-AVERAGE(OFFSET($H$3,0,0,'Données projet'!$E$10+1,1))</f>
        <v>311.44572917773388</v>
      </c>
      <c r="AO76" s="59">
        <f t="shared" si="90"/>
        <v>190.00559730122654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1.0403349628371164</v>
      </c>
      <c r="AW76" s="21">
        <f>EXP(-LN(2)/2)*AW75+(1-EXP(-LN(2)/2))/(LN(2)/2)*AQ76*AT76*VLOOKUP('Données projet'!$B$10,Paramètres!$A$1:$I$89,3,0)*0.475*44/12</f>
        <v>2.3027774358229808E-6</v>
      </c>
      <c r="AX76" s="21">
        <f t="shared" si="60"/>
        <v>1.0403372656145522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0</v>
      </c>
      <c r="BJ76" s="59">
        <f t="shared" si="92"/>
        <v>0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175.9108689482207</v>
      </c>
      <c r="T77" s="59">
        <f t="shared" si="88"/>
        <v>359.8073445551853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0.69834596932054138</v>
      </c>
      <c r="AA77" s="21">
        <f>EXP(-LN(2)/25)*AA76+(1-EXP(-LN(2)/25))/(LN(2)/25)*Calculateur!V77*Calculateur!X77*VLOOKUP('Données projet'!$B$9,Paramètres!$A$1:$I$89,3,0)*0.475*44/12</f>
        <v>3.186020954745</v>
      </c>
      <c r="AB77" s="21">
        <f>EXP(-LN(2)/2)*AB76+(1-EXP(-LN(2)/2))/(LN(2)/2)*V77*Y77*VLOOKUP('Données projet'!$B$9,Paramètres!$A$1:$I$89,3,0)*0.475*44/12</f>
        <v>1.4011379878335416E-7</v>
      </c>
      <c r="AC77" s="22">
        <f t="shared" si="57"/>
        <v>3.8843670641793402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245.0073600000002</v>
      </c>
      <c r="AK77" s="13">
        <f t="shared" si="89"/>
        <v>59.515590206283136</v>
      </c>
      <c r="AL77" s="20">
        <f t="shared" si="58"/>
        <v>530.37747160927677</v>
      </c>
      <c r="AM77" s="59">
        <f t="shared" si="59"/>
        <v>823.71080494261014</v>
      </c>
      <c r="AN77" s="59">
        <f ca="1">AVERAGE(OFFSET($AM$3,0,0,'Données projet'!$E$10+1,1))-AVERAGE(OFFSET($H$3,0,0,'Données projet'!$E$10+1,1))</f>
        <v>311.44572917773388</v>
      </c>
      <c r="AO77" s="59">
        <f t="shared" si="90"/>
        <v>190.00559730122654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1.0118869485694975</v>
      </c>
      <c r="AW77" s="21">
        <f>EXP(-LN(2)/2)*AW76+(1-EXP(-LN(2)/2))/(LN(2)/2)*AQ77*AT77*VLOOKUP('Données projet'!$B$10,Paramètres!$A$1:$I$89,3,0)*0.475*44/12</f>
        <v>1.6283095404337995E-6</v>
      </c>
      <c r="AX77" s="21">
        <f t="shared" si="60"/>
        <v>1.011888576879038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0</v>
      </c>
      <c r="BJ77" s="59">
        <f t="shared" si="92"/>
        <v>0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175.9108689482207</v>
      </c>
      <c r="T78" s="59">
        <f t="shared" si="88"/>
        <v>359.8073445551853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0.68465183081114789</v>
      </c>
      <c r="AA78" s="21">
        <f>EXP(-LN(2)/25)*AA77+(1-EXP(-LN(2)/25))/(LN(2)/25)*Calculateur!V78*Calculateur!X78*VLOOKUP('Données projet'!$B$9,Paramètres!$A$1:$I$89,3,0)*0.475*44/12</f>
        <v>3.098899044191938</v>
      </c>
      <c r="AB78" s="21">
        <f>EXP(-LN(2)/2)*AB77+(1-EXP(-LN(2)/2))/(LN(2)/2)*V78*Y78*VLOOKUP('Données projet'!$B$9,Paramètres!$A$1:$I$89,3,0)*0.475*44/12</f>
        <v>9.9075417257517163E-8</v>
      </c>
      <c r="AC78" s="22">
        <f t="shared" si="57"/>
        <v>3.7835509740785032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251.0976000000002</v>
      </c>
      <c r="AK78" s="13">
        <f t="shared" si="89"/>
        <v>60.820915414321775</v>
      </c>
      <c r="AL78" s="20">
        <f t="shared" si="58"/>
        <v>543.25808101327732</v>
      </c>
      <c r="AM78" s="59">
        <f t="shared" si="59"/>
        <v>836.59141434661069</v>
      </c>
      <c r="AN78" s="59">
        <f ca="1">AVERAGE(OFFSET($AM$3,0,0,'Données projet'!$E$10+1,1))-AVERAGE(OFFSET($H$3,0,0,'Données projet'!$E$10+1,1))</f>
        <v>311.44572917773388</v>
      </c>
      <c r="AO78" s="59">
        <f t="shared" si="90"/>
        <v>190.00559730122654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0.98421684674804266</v>
      </c>
      <c r="AW78" s="21">
        <f>EXP(-LN(2)/2)*AW77+(1-EXP(-LN(2)/2))/(LN(2)/2)*AQ78*AT78*VLOOKUP('Données projet'!$B$10,Paramètres!$A$1:$I$89,3,0)*0.475*44/12</f>
        <v>1.1513887179114904E-6</v>
      </c>
      <c r="AX78" s="21">
        <f t="shared" si="60"/>
        <v>0.98421799813676059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0</v>
      </c>
      <c r="BJ78" s="59">
        <f t="shared" si="92"/>
        <v>0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175.9108689482207</v>
      </c>
      <c r="T79" s="59">
        <f t="shared" si="88"/>
        <v>359.8073445551853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0.67122622600532389</v>
      </c>
      <c r="AA79" s="21">
        <f>EXP(-LN(2)/25)*AA78+(1-EXP(-LN(2)/25))/(LN(2)/25)*Calculateur!V79*Calculateur!X79*VLOOKUP('Données projet'!$B$9,Paramètres!$A$1:$I$89,3,0)*0.475*44/12</f>
        <v>3.0141594868644912</v>
      </c>
      <c r="AB79" s="21">
        <f>EXP(-LN(2)/2)*AB78+(1-EXP(-LN(2)/2))/(LN(2)/2)*V79*Y79*VLOOKUP('Données projet'!$B$9,Paramètres!$A$1:$I$89,3,0)*0.475*44/12</f>
        <v>7.0056899391677082E-8</v>
      </c>
      <c r="AC79" s="22">
        <f t="shared" si="57"/>
        <v>3.6853857829267143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257.18784000000016</v>
      </c>
      <c r="AK79" s="13">
        <f t="shared" si="89"/>
        <v>62.122560217080213</v>
      </c>
      <c r="AL79" s="20">
        <f t="shared" si="58"/>
        <v>556.13228037808165</v>
      </c>
      <c r="AM79" s="59">
        <f t="shared" si="59"/>
        <v>849.46561371141502</v>
      </c>
      <c r="AN79" s="59">
        <f ca="1">AVERAGE(OFFSET($AM$3,0,0,'Données projet'!$E$10+1,1))-AVERAGE(OFFSET($H$3,0,0,'Données projet'!$E$10+1,1))</f>
        <v>311.44572917773388</v>
      </c>
      <c r="AO79" s="59">
        <f t="shared" si="90"/>
        <v>190.00559730122654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0.9573033853160029</v>
      </c>
      <c r="AW79" s="21">
        <f>EXP(-LN(2)/2)*AW78+(1-EXP(-LN(2)/2))/(LN(2)/2)*AQ79*AT79*VLOOKUP('Données projet'!$B$10,Paramètres!$A$1:$I$89,3,0)*0.475*44/12</f>
        <v>8.1415477021689974E-7</v>
      </c>
      <c r="AX79" s="21">
        <f t="shared" si="60"/>
        <v>0.95730419947077317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0</v>
      </c>
      <c r="BJ79" s="59">
        <f t="shared" si="92"/>
        <v>0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175.9108689482207</v>
      </c>
      <c r="T80" s="59">
        <f t="shared" si="88"/>
        <v>359.8073445551853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0.65806388912093172</v>
      </c>
      <c r="AA80" s="21">
        <f>EXP(-LN(2)/25)*AA79+(1-EXP(-LN(2)/25))/(LN(2)/25)*Calculateur!V80*Calculateur!X80*VLOOKUP('Données projet'!$B$9,Paramètres!$A$1:$I$89,3,0)*0.475*44/12</f>
        <v>2.9317371371884233</v>
      </c>
      <c r="AB80" s="21">
        <f>EXP(-LN(2)/2)*AB79+(1-EXP(-LN(2)/2))/(LN(2)/2)*V80*Y80*VLOOKUP('Données projet'!$B$9,Paramètres!$A$1:$I$89,3,0)*0.475*44/12</f>
        <v>4.9537708628758581E-8</v>
      </c>
      <c r="AC80" s="22">
        <f t="shared" si="57"/>
        <v>3.5898010758470638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263.27808000000022</v>
      </c>
      <c r="AK80" s="13">
        <f t="shared" si="89"/>
        <v>63.42062179595041</v>
      </c>
      <c r="AL80" s="20">
        <f t="shared" si="58"/>
        <v>569.00023896128062</v>
      </c>
      <c r="AM80" s="59">
        <f t="shared" si="59"/>
        <v>862.33357229461399</v>
      </c>
      <c r="AN80" s="59">
        <f ca="1">AVERAGE(OFFSET($AM$3,0,0,'Données projet'!$E$10+1,1))-AVERAGE(OFFSET($H$3,0,0,'Données projet'!$E$10+1,1))</f>
        <v>311.44572917773388</v>
      </c>
      <c r="AO80" s="59">
        <f t="shared" si="90"/>
        <v>190.00559730122654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0.93112587390213974</v>
      </c>
      <c r="AW80" s="21">
        <f>EXP(-LN(2)/2)*AW79+(1-EXP(-LN(2)/2))/(LN(2)/2)*AQ80*AT80*VLOOKUP('Données projet'!$B$10,Paramètres!$A$1:$I$89,3,0)*0.475*44/12</f>
        <v>5.756943589557452E-7</v>
      </c>
      <c r="AX80" s="21">
        <f t="shared" si="60"/>
        <v>0.93112644959649871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0</v>
      </c>
      <c r="BJ80" s="59">
        <f t="shared" si="92"/>
        <v>0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175.9108689482207</v>
      </c>
      <c r="T81" s="59">
        <f t="shared" si="88"/>
        <v>359.8073445551853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0.6451596576346097</v>
      </c>
      <c r="AA81" s="21">
        <f>EXP(-LN(2)/25)*AA80+(1-EXP(-LN(2)/25))/(LN(2)/25)*Calculateur!V81*Calculateur!X81*VLOOKUP('Données projet'!$B$9,Paramètres!$A$1:$I$89,3,0)*0.475*44/12</f>
        <v>2.8515686309986505</v>
      </c>
      <c r="AB81" s="21">
        <f>EXP(-LN(2)/2)*AB80+(1-EXP(-LN(2)/2))/(LN(2)/2)*V81*Y81*VLOOKUP('Données projet'!$B$9,Paramètres!$A$1:$I$89,3,0)*0.475*44/12</f>
        <v>3.5028449695838541E-8</v>
      </c>
      <c r="AC81" s="22">
        <f t="shared" si="57"/>
        <v>3.4967283236617099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269.36832000000027</v>
      </c>
      <c r="AK81" s="13">
        <f t="shared" si="89"/>
        <v>64.715192579710546</v>
      </c>
      <c r="AL81" s="20">
        <f t="shared" si="58"/>
        <v>581.86211774299625</v>
      </c>
      <c r="AM81" s="59">
        <f t="shared" si="59"/>
        <v>875.19545107632962</v>
      </c>
      <c r="AN81" s="59">
        <f ca="1">AVERAGE(OFFSET($AM$3,0,0,'Données projet'!$E$10+1,1))-AVERAGE(OFFSET($H$3,0,0,'Données projet'!$E$10+1,1))</f>
        <v>311.44572917773388</v>
      </c>
      <c r="AO81" s="59">
        <f t="shared" si="90"/>
        <v>190.00559730122654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0.90566418791450409</v>
      </c>
      <c r="AW81" s="21">
        <f>EXP(-LN(2)/2)*AW80+(1-EXP(-LN(2)/2))/(LN(2)/2)*AQ81*AT81*VLOOKUP('Données projet'!$B$10,Paramètres!$A$1:$I$89,3,0)*0.475*44/12</f>
        <v>4.0707738510844987E-7</v>
      </c>
      <c r="AX81" s="21">
        <f t="shared" si="60"/>
        <v>0.90566459499188923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0</v>
      </c>
      <c r="BJ81" s="59">
        <f t="shared" si="92"/>
        <v>0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175.9108689482207</v>
      </c>
      <c r="T82" s="59">
        <f t="shared" si="88"/>
        <v>359.8073445551853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0.63250847025693047</v>
      </c>
      <c r="AA82" s="21">
        <f>EXP(-LN(2)/25)*AA81+(1-EXP(-LN(2)/25))/(LN(2)/25)*Calculateur!V82*Calculateur!X82*VLOOKUP('Données projet'!$B$9,Paramètres!$A$1:$I$89,3,0)*0.475*44/12</f>
        <v>2.7735923368265154</v>
      </c>
      <c r="AB82" s="21">
        <f>EXP(-LN(2)/2)*AB81+(1-EXP(-LN(2)/2))/(LN(2)/2)*V82*Y82*VLOOKUP('Données projet'!$B$9,Paramètres!$A$1:$I$89,3,0)*0.475*44/12</f>
        <v>2.4768854314379291E-8</v>
      </c>
      <c r="AC82" s="22">
        <f t="shared" si="57"/>
        <v>3.4061008318523003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275.45856000000026</v>
      </c>
      <c r="AK82" s="13">
        <f t="shared" si="89"/>
        <v>66.006360579066268</v>
      </c>
      <c r="AL82" s="20">
        <f t="shared" si="58"/>
        <v>594.71807000854085</v>
      </c>
      <c r="AM82" s="59">
        <f t="shared" si="59"/>
        <v>888.05140334187422</v>
      </c>
      <c r="AN82" s="59">
        <f ca="1">AVERAGE(OFFSET($AM$3,0,0,'Données projet'!$E$10+1,1))-AVERAGE(OFFSET($H$3,0,0,'Données projet'!$E$10+1,1))</f>
        <v>311.44572917773388</v>
      </c>
      <c r="AO82" s="59">
        <f t="shared" si="90"/>
        <v>190.00559730122654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0.88089875306917231</v>
      </c>
      <c r="AW82" s="21">
        <f>EXP(-LN(2)/2)*AW81+(1-EXP(-LN(2)/2))/(LN(2)/2)*AQ82*AT82*VLOOKUP('Données projet'!$B$10,Paramètres!$A$1:$I$89,3,0)*0.475*44/12</f>
        <v>2.878471794778726E-7</v>
      </c>
      <c r="AX82" s="21">
        <f t="shared" si="60"/>
        <v>0.88089904091635174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0</v>
      </c>
      <c r="BJ82" s="59">
        <f t="shared" si="92"/>
        <v>0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175.9108689482207</v>
      </c>
      <c r="T83" s="59">
        <f t="shared" si="88"/>
        <v>359.8073445551853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0.62010536494726509</v>
      </c>
      <c r="AA83" s="21">
        <f>EXP(-LN(2)/25)*AA82+(1-EXP(-LN(2)/25))/(LN(2)/25)*Calculateur!V83*Calculateur!X83*VLOOKUP('Données projet'!$B$9,Paramètres!$A$1:$I$89,3,0)*0.475*44/12</f>
        <v>2.6977483085191123</v>
      </c>
      <c r="AB83" s="21">
        <f>EXP(-LN(2)/2)*AB82+(1-EXP(-LN(2)/2))/(LN(2)/2)*V83*Y83*VLOOKUP('Données projet'!$B$9,Paramètres!$A$1:$I$89,3,0)*0.475*44/12</f>
        <v>1.751422484791927E-8</v>
      </c>
      <c r="AC83" s="22">
        <f t="shared" si="57"/>
        <v>3.317853690980602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281.54880000000031</v>
      </c>
      <c r="AK83" s="13">
        <f t="shared" si="89"/>
        <v>67.294209690773187</v>
      </c>
      <c r="AL83" s="20">
        <f t="shared" si="58"/>
        <v>607.56824187809718</v>
      </c>
      <c r="AM83" s="59">
        <f t="shared" si="59"/>
        <v>900.90157521143055</v>
      </c>
      <c r="AN83" s="59">
        <f ca="1">AVERAGE(OFFSET($AM$3,0,0,'Données projet'!$E$10+1,1))-AVERAGE(OFFSET($H$3,0,0,'Données projet'!$E$10+1,1))</f>
        <v>311.44572917773388</v>
      </c>
      <c r="AO83" s="59">
        <f t="shared" si="90"/>
        <v>190.00559730122654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0.85681053034204369</v>
      </c>
      <c r="AW83" s="21">
        <f>EXP(-LN(2)/2)*AW82+(1-EXP(-LN(2)/2))/(LN(2)/2)*AQ83*AT83*VLOOKUP('Données projet'!$B$10,Paramètres!$A$1:$I$89,3,0)*0.475*44/12</f>
        <v>2.0353869255422493E-7</v>
      </c>
      <c r="AX83" s="21">
        <f t="shared" si="60"/>
        <v>0.85681073388073625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0</v>
      </c>
      <c r="BJ83" s="59">
        <f t="shared" si="92"/>
        <v>0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175.9108689482207</v>
      </c>
      <c r="T84" s="59">
        <f t="shared" si="88"/>
        <v>359.8073445551853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0.60794547696757506</v>
      </c>
      <c r="AA84" s="21">
        <f>EXP(-LN(2)/25)*AA83+(1-EXP(-LN(2)/25))/(LN(2)/25)*Calculateur!V84*Calculateur!X84*VLOOKUP('Données projet'!$B$9,Paramètres!$A$1:$I$89,3,0)*0.475*44/12</f>
        <v>2.6239782391542392</v>
      </c>
      <c r="AB84" s="21">
        <f>EXP(-LN(2)/2)*AB83+(1-EXP(-LN(2)/2))/(LN(2)/2)*V84*Y84*VLOOKUP('Données projet'!$B$9,Paramètres!$A$1:$I$89,3,0)*0.475*44/12</f>
        <v>1.2384427157189645E-8</v>
      </c>
      <c r="AC84" s="22">
        <f t="shared" si="57"/>
        <v>3.2319237285062417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245.20704000000032</v>
      </c>
      <c r="AK84" s="13">
        <f t="shared" si="89"/>
        <v>59.558447159721986</v>
      </c>
      <c r="AL84" s="20">
        <f t="shared" si="58"/>
        <v>530.7998901365163</v>
      </c>
      <c r="AM84" s="59">
        <f t="shared" si="59"/>
        <v>824.13322346984955</v>
      </c>
      <c r="AN84" s="59">
        <f ca="1">AVERAGE(OFFSET($AM$3,0,0,'Données projet'!$E$10+1,1))-AVERAGE(OFFSET($H$3,0,0,'Données projet'!$E$10+1,1))</f>
        <v>311.44572917773388</v>
      </c>
      <c r="AO84" s="59">
        <f t="shared" si="90"/>
        <v>190.00559730122654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0.833381001332133</v>
      </c>
      <c r="AW84" s="21">
        <f>EXP(-LN(2)/2)*AW83+(1-EXP(-LN(2)/2))/(LN(2)/2)*AQ84*AT84*VLOOKUP('Données projet'!$B$10,Paramètres!$A$1:$I$89,3,0)*0.475*44/12</f>
        <v>1.439235897389363E-7</v>
      </c>
      <c r="AX84" s="21">
        <f t="shared" si="60"/>
        <v>0.83338114525572271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0</v>
      </c>
      <c r="BJ84" s="59">
        <f t="shared" si="92"/>
        <v>0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175.9108689482207</v>
      </c>
      <c r="T85" s="59">
        <f t="shared" si="88"/>
        <v>359.8073445551853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0.59602403697436745</v>
      </c>
      <c r="AA85" s="21">
        <f>EXP(-LN(2)/25)*AA84+(1-EXP(-LN(2)/25))/(LN(2)/25)*Calculateur!V85*Calculateur!X85*VLOOKUP('Données projet'!$B$9,Paramètres!$A$1:$I$89,3,0)*0.475*44/12</f>
        <v>2.5522254162155482</v>
      </c>
      <c r="AB85" s="21">
        <f>EXP(-LN(2)/2)*AB84+(1-EXP(-LN(2)/2))/(LN(2)/2)*V85*Y85*VLOOKUP('Données projet'!$B$9,Paramètres!$A$1:$I$89,3,0)*0.475*44/12</f>
        <v>8.7571124239596352E-9</v>
      </c>
      <c r="AC85" s="22">
        <f t="shared" si="57"/>
        <v>3.148249461947028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250.79808000000031</v>
      </c>
      <c r="AK85" s="13">
        <f t="shared" si="89"/>
        <v>60.756805958939978</v>
      </c>
      <c r="AL85" s="20">
        <f t="shared" si="58"/>
        <v>542.62475971182096</v>
      </c>
      <c r="AM85" s="59">
        <f t="shared" si="59"/>
        <v>835.95809304515433</v>
      </c>
      <c r="AN85" s="59">
        <f ca="1">AVERAGE(OFFSET($AM$3,0,0,'Données projet'!$E$10+1,1))-AVERAGE(OFFSET($H$3,0,0,'Données projet'!$E$10+1,1))</f>
        <v>311.44572917773388</v>
      </c>
      <c r="AO85" s="59">
        <f t="shared" si="90"/>
        <v>190.00559730122654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0.81059215402510365</v>
      </c>
      <c r="AW85" s="21">
        <f>EXP(-LN(2)/2)*AW84+(1-EXP(-LN(2)/2))/(LN(2)/2)*AQ85*AT85*VLOOKUP('Données projet'!$B$10,Paramètres!$A$1:$I$89,3,0)*0.475*44/12</f>
        <v>1.0176934627711247E-7</v>
      </c>
      <c r="AX85" s="21">
        <f t="shared" si="60"/>
        <v>0.81059225579444993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0</v>
      </c>
      <c r="BJ85" s="59">
        <f t="shared" si="92"/>
        <v>0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175.9108689482207</v>
      </c>
      <c r="T86" s="59">
        <f t="shared" si="88"/>
        <v>359.8073445551853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0.58433636914806619</v>
      </c>
      <c r="AA86" s="21">
        <f>EXP(-LN(2)/25)*AA85+(1-EXP(-LN(2)/25))/(LN(2)/25)*Calculateur!V86*Calculateur!X86*VLOOKUP('Données projet'!$B$9,Paramètres!$A$1:$I$89,3,0)*0.475*44/12</f>
        <v>2.4824346779934325</v>
      </c>
      <c r="AB86" s="21">
        <f>EXP(-LN(2)/2)*AB85+(1-EXP(-LN(2)/2))/(LN(2)/2)*V86*Y86*VLOOKUP('Données projet'!$B$9,Paramètres!$A$1:$I$89,3,0)*0.475*44/12</f>
        <v>6.1922135785948227E-9</v>
      </c>
      <c r="AC86" s="22">
        <f t="shared" si="57"/>
        <v>3.0667710533337122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256.38912000000033</v>
      </c>
      <c r="AK86" s="13">
        <f t="shared" si="89"/>
        <v>61.952058890761442</v>
      </c>
      <c r="AL86" s="20">
        <f t="shared" si="58"/>
        <v>554.44421990141007</v>
      </c>
      <c r="AM86" s="59">
        <f t="shared" si="59"/>
        <v>847.77755323474344</v>
      </c>
      <c r="AN86" s="59">
        <f ca="1">AVERAGE(OFFSET($AM$3,0,0,'Données projet'!$E$10+1,1))-AVERAGE(OFFSET($H$3,0,0,'Données projet'!$E$10+1,1))</f>
        <v>311.44572917773388</v>
      </c>
      <c r="AO86" s="59">
        <f t="shared" si="90"/>
        <v>190.00559730122654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0.78842646894609847</v>
      </c>
      <c r="AW86" s="21">
        <f>EXP(-LN(2)/2)*AW85+(1-EXP(-LN(2)/2))/(LN(2)/2)*AQ86*AT86*VLOOKUP('Données projet'!$B$10,Paramètres!$A$1:$I$89,3,0)*0.475*44/12</f>
        <v>7.196179486946815E-8</v>
      </c>
      <c r="AX86" s="21">
        <f t="shared" si="60"/>
        <v>0.78842654090789333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0</v>
      </c>
      <c r="BJ86" s="59">
        <f t="shared" si="92"/>
        <v>0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175.9108689482207</v>
      </c>
      <c r="T87" s="59">
        <f t="shared" si="88"/>
        <v>359.8073445551853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0.57287788935906525</v>
      </c>
      <c r="AA87" s="21">
        <f>EXP(-LN(2)/25)*AA86+(1-EXP(-LN(2)/25))/(LN(2)/25)*Calculateur!V87*Calculateur!X87*VLOOKUP('Données projet'!$B$9,Paramètres!$A$1:$I$89,3,0)*0.475*44/12</f>
        <v>2.4145523711781363</v>
      </c>
      <c r="AB87" s="21">
        <f>EXP(-LN(2)/2)*AB86+(1-EXP(-LN(2)/2))/(LN(2)/2)*V87*Y87*VLOOKUP('Données projet'!$B$9,Paramètres!$A$1:$I$89,3,0)*0.475*44/12</f>
        <v>4.3785562119798176E-9</v>
      </c>
      <c r="AC87" s="22">
        <f t="shared" si="57"/>
        <v>2.9874302649157576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261.98016000000035</v>
      </c>
      <c r="AK87" s="13">
        <f t="shared" si="89"/>
        <v>63.144281484268568</v>
      </c>
      <c r="AL87" s="20">
        <f t="shared" si="58"/>
        <v>566.25840225176842</v>
      </c>
      <c r="AM87" s="59">
        <f t="shared" si="59"/>
        <v>859.59173558510179</v>
      </c>
      <c r="AN87" s="59">
        <f ca="1">AVERAGE(OFFSET($AM$3,0,0,'Données projet'!$E$10+1,1))-AVERAGE(OFFSET($H$3,0,0,'Données projet'!$E$10+1,1))</f>
        <v>311.44572917773388</v>
      </c>
      <c r="AO87" s="59">
        <f t="shared" si="90"/>
        <v>190.00559730122654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0.7668669056912214</v>
      </c>
      <c r="AW87" s="21">
        <f>EXP(-LN(2)/2)*AW86+(1-EXP(-LN(2)/2))/(LN(2)/2)*AQ87*AT87*VLOOKUP('Données projet'!$B$10,Paramètres!$A$1:$I$89,3,0)*0.475*44/12</f>
        <v>5.0884673138556234E-8</v>
      </c>
      <c r="AX87" s="21">
        <f t="shared" si="60"/>
        <v>0.76686695657589454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0</v>
      </c>
      <c r="BJ87" s="59">
        <f t="shared" si="92"/>
        <v>0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175.9108689482207</v>
      </c>
      <c r="T88" s="59">
        <f t="shared" si="88"/>
        <v>359.8073445551853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0.56164410336974402</v>
      </c>
      <c r="AA88" s="21">
        <f>EXP(-LN(2)/25)*AA87+(1-EXP(-LN(2)/25))/(LN(2)/25)*Calculateur!V88*Calculateur!X88*VLOOKUP('Données projet'!$B$9,Paramètres!$A$1:$I$89,3,0)*0.475*44/12</f>
        <v>2.3485263096124793</v>
      </c>
      <c r="AB88" s="21">
        <f>EXP(-LN(2)/2)*AB87+(1-EXP(-LN(2)/2))/(LN(2)/2)*V88*Y88*VLOOKUP('Données projet'!$B$9,Paramètres!$A$1:$I$89,3,0)*0.475*44/12</f>
        <v>3.0961067892974113E-9</v>
      </c>
      <c r="AC88" s="22">
        <f t="shared" si="57"/>
        <v>2.9101704160783304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267.57120000000032</v>
      </c>
      <c r="AK88" s="13">
        <f t="shared" si="89"/>
        <v>64.333545860572627</v>
      </c>
      <c r="AL88" s="20">
        <f t="shared" si="58"/>
        <v>578.06743237383114</v>
      </c>
      <c r="AM88" s="59">
        <f t="shared" si="59"/>
        <v>871.40076570716451</v>
      </c>
      <c r="AN88" s="59">
        <f ca="1">AVERAGE(OFFSET($AM$3,0,0,'Données projet'!$E$10+1,1))-AVERAGE(OFFSET($H$3,0,0,'Données projet'!$E$10+1,1))</f>
        <v>311.44572917773388</v>
      </c>
      <c r="AO88" s="59">
        <f t="shared" si="90"/>
        <v>190.00559730122654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0.74589688982731706</v>
      </c>
      <c r="AW88" s="21">
        <f>EXP(-LN(2)/2)*AW87+(1-EXP(-LN(2)/2))/(LN(2)/2)*AQ88*AT88*VLOOKUP('Données projet'!$B$10,Paramètres!$A$1:$I$89,3,0)*0.475*44/12</f>
        <v>3.5980897434734075E-8</v>
      </c>
      <c r="AX88" s="21">
        <f t="shared" si="60"/>
        <v>0.74589692580821454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0</v>
      </c>
      <c r="BJ88" s="59">
        <f t="shared" si="92"/>
        <v>0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175.9108689482207</v>
      </c>
      <c r="T89" s="59">
        <f t="shared" si="88"/>
        <v>359.8073445551853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0.55063060507174055</v>
      </c>
      <c r="AA89" s="21">
        <f>EXP(-LN(2)/25)*AA88+(1-EXP(-LN(2)/25))/(LN(2)/25)*Calculateur!V89*Calculateur!X89*VLOOKUP('Données projet'!$B$9,Paramètres!$A$1:$I$89,3,0)*0.475*44/12</f>
        <v>2.2843057341724951</v>
      </c>
      <c r="AB89" s="21">
        <f>EXP(-LN(2)/2)*AB88+(1-EXP(-LN(2)/2))/(LN(2)/2)*V89*Y89*VLOOKUP('Données projet'!$B$9,Paramètres!$A$1:$I$89,3,0)*0.475*44/12</f>
        <v>2.1892781059899088E-9</v>
      </c>
      <c r="AC89" s="22">
        <f t="shared" si="57"/>
        <v>2.8349363414335138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273.16224000000039</v>
      </c>
      <c r="AK89" s="13">
        <f t="shared" si="89"/>
        <v>65.519920954532068</v>
      </c>
      <c r="AL89" s="20">
        <f t="shared" si="58"/>
        <v>589.87143032914412</v>
      </c>
      <c r="AM89" s="59">
        <f t="shared" si="59"/>
        <v>883.20476366247749</v>
      </c>
      <c r="AN89" s="59">
        <f ca="1">AVERAGE(OFFSET($AM$3,0,0,'Données projet'!$E$10+1,1))-AVERAGE(OFFSET($H$3,0,0,'Données projet'!$E$10+1,1))</f>
        <v>311.44572917773388</v>
      </c>
      <c r="AO89" s="59">
        <f t="shared" si="90"/>
        <v>190.00559730122654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0.72550030014997635</v>
      </c>
      <c r="AW89" s="21">
        <f>EXP(-LN(2)/2)*AW88+(1-EXP(-LN(2)/2))/(LN(2)/2)*AQ89*AT89*VLOOKUP('Données projet'!$B$10,Paramètres!$A$1:$I$89,3,0)*0.475*44/12</f>
        <v>2.5442336569278117E-8</v>
      </c>
      <c r="AX89" s="21">
        <f t="shared" si="60"/>
        <v>0.72550032559231292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0</v>
      </c>
      <c r="BJ89" s="59">
        <f t="shared" si="92"/>
        <v>0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175.9108689482207</v>
      </c>
      <c r="T90" s="59">
        <f t="shared" si="88"/>
        <v>359.8073445551853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0.53983307475779019</v>
      </c>
      <c r="AA90" s="21">
        <f>EXP(-LN(2)/25)*AA89+(1-EXP(-LN(2)/25))/(LN(2)/25)*Calculateur!V90*Calculateur!X90*VLOOKUP('Données projet'!$B$9,Paramètres!$A$1:$I$89,3,0)*0.475*44/12</f>
        <v>2.2218412737451305</v>
      </c>
      <c r="AB90" s="21">
        <f>EXP(-LN(2)/2)*AB89+(1-EXP(-LN(2)/2))/(LN(2)/2)*V90*Y90*VLOOKUP('Données projet'!$B$9,Paramètres!$A$1:$I$89,3,0)*0.475*44/12</f>
        <v>1.5480533946487057E-9</v>
      </c>
      <c r="AC90" s="22">
        <f t="shared" si="57"/>
        <v>2.7616743500509742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278.75328000000042</v>
      </c>
      <c r="AK90" s="13">
        <f t="shared" si="89"/>
        <v>66.703472717805496</v>
      </c>
      <c r="AL90" s="20">
        <f t="shared" si="58"/>
        <v>601.67051098351192</v>
      </c>
      <c r="AM90" s="59">
        <f t="shared" si="59"/>
        <v>895.00384431684529</v>
      </c>
      <c r="AN90" s="59">
        <f ca="1">AVERAGE(OFFSET($AM$3,0,0,'Données projet'!$E$10+1,1))-AVERAGE(OFFSET($H$3,0,0,'Données projet'!$E$10+1,1))</f>
        <v>311.44572917773388</v>
      </c>
      <c r="AO90" s="59">
        <f t="shared" si="90"/>
        <v>190.00559730122654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0.70566145628997257</v>
      </c>
      <c r="AW90" s="21">
        <f>EXP(-LN(2)/2)*AW89+(1-EXP(-LN(2)/2))/(LN(2)/2)*AQ90*AT90*VLOOKUP('Données projet'!$B$10,Paramètres!$A$1:$I$89,3,0)*0.475*44/12</f>
        <v>1.7990448717367038E-8</v>
      </c>
      <c r="AX90" s="21">
        <f t="shared" si="60"/>
        <v>0.70566147428042125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0</v>
      </c>
      <c r="BJ90" s="59">
        <f t="shared" si="92"/>
        <v>0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175.9108689482207</v>
      </c>
      <c r="T91" s="59">
        <f t="shared" si="88"/>
        <v>359.8073445551853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0.52924727742745326</v>
      </c>
      <c r="AA91" s="21">
        <f>EXP(-LN(2)/25)*AA90+(1-EXP(-LN(2)/25))/(LN(2)/25)*Calculateur!V91*Calculateur!X91*VLOOKUP('Données projet'!$B$9,Paramètres!$A$1:$I$89,3,0)*0.475*44/12</f>
        <v>2.1610849072730156</v>
      </c>
      <c r="AB91" s="21">
        <f>EXP(-LN(2)/2)*AB90+(1-EXP(-LN(2)/2))/(LN(2)/2)*V91*Y91*VLOOKUP('Données projet'!$B$9,Paramètres!$A$1:$I$89,3,0)*0.475*44/12</f>
        <v>1.0946390529949544E-9</v>
      </c>
      <c r="AC91" s="22">
        <f t="shared" si="57"/>
        <v>2.6903321857951079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284.34432000000044</v>
      </c>
      <c r="AK91" s="13">
        <f t="shared" si="89"/>
        <v>67.884264305153962</v>
      </c>
      <c r="AL91" s="20">
        <f t="shared" si="58"/>
        <v>613.46478433147729</v>
      </c>
      <c r="AM91" s="59">
        <f t="shared" si="59"/>
        <v>906.79811766481066</v>
      </c>
      <c r="AN91" s="59">
        <f ca="1">AVERAGE(OFFSET($AM$3,0,0,'Données projet'!$E$10+1,1))-AVERAGE(OFFSET($H$3,0,0,'Données projet'!$E$10+1,1))</f>
        <v>311.44572917773388</v>
      </c>
      <c r="AO91" s="59">
        <f t="shared" si="90"/>
        <v>190.00559730122654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0.68636510665860007</v>
      </c>
      <c r="AW91" s="21">
        <f>EXP(-LN(2)/2)*AW90+(1-EXP(-LN(2)/2))/(LN(2)/2)*AQ91*AT91*VLOOKUP('Données projet'!$B$10,Paramètres!$A$1:$I$89,3,0)*0.475*44/12</f>
        <v>1.2721168284639058E-8</v>
      </c>
      <c r="AX91" s="21">
        <f t="shared" si="60"/>
        <v>0.6863651193797683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0</v>
      </c>
      <c r="BJ91" s="59">
        <f t="shared" si="92"/>
        <v>0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175.9108689482207</v>
      </c>
      <c r="T92" s="59">
        <f t="shared" si="88"/>
        <v>359.8073445551853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0.51886906112606535</v>
      </c>
      <c r="AA92" s="21">
        <f>EXP(-LN(2)/25)*AA91+(1-EXP(-LN(2)/25))/(LN(2)/25)*Calculateur!V92*Calculateur!X92*VLOOKUP('Données projet'!$B$9,Paramètres!$A$1:$I$89,3,0)*0.475*44/12</f>
        <v>2.1019899268371192</v>
      </c>
      <c r="AB92" s="21">
        <f>EXP(-LN(2)/2)*AB91+(1-EXP(-LN(2)/2))/(LN(2)/2)*V92*Y92*VLOOKUP('Données projet'!$B$9,Paramètres!$A$1:$I$89,3,0)*0.475*44/12</f>
        <v>7.7402669732435284E-10</v>
      </c>
      <c r="AC92" s="22">
        <f t="shared" si="57"/>
        <v>2.6208589887372109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289.93536000000046</v>
      </c>
      <c r="AK92" s="13">
        <f t="shared" si="89"/>
        <v>69.062356245675844</v>
      </c>
      <c r="AL92" s="20">
        <f t="shared" si="58"/>
        <v>625.25435579455291</v>
      </c>
      <c r="AM92" s="59">
        <f t="shared" si="59"/>
        <v>918.58768912788628</v>
      </c>
      <c r="AN92" s="59">
        <f ca="1">AVERAGE(OFFSET($AM$3,0,0,'Données projet'!$E$10+1,1))-AVERAGE(OFFSET($H$3,0,0,'Données projet'!$E$10+1,1))</f>
        <v>311.44572917773388</v>
      </c>
      <c r="AO92" s="59">
        <f t="shared" si="90"/>
        <v>190.00559730122654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0.66759641672264836</v>
      </c>
      <c r="AW92" s="21">
        <f>EXP(-LN(2)/2)*AW91+(1-EXP(-LN(2)/2))/(LN(2)/2)*AQ92*AT92*VLOOKUP('Données projet'!$B$10,Paramètres!$A$1:$I$89,3,0)*0.475*44/12</f>
        <v>8.9952243586835188E-9</v>
      </c>
      <c r="AX92" s="21">
        <f t="shared" si="60"/>
        <v>0.6675964257178727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0</v>
      </c>
      <c r="BJ92" s="59">
        <f t="shared" si="92"/>
        <v>0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175.9108689482207</v>
      </c>
      <c r="T93" s="59">
        <f t="shared" si="88"/>
        <v>359.8073445551853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0.50869435531626084</v>
      </c>
      <c r="AA93" s="21">
        <f>EXP(-LN(2)/25)*AA92+(1-EXP(-LN(2)/25))/(LN(2)/25)*Calculateur!V93*Calculateur!X93*VLOOKUP('Données projet'!$B$9,Paramètres!$A$1:$I$89,3,0)*0.475*44/12</f>
        <v>2.0445109017489123</v>
      </c>
      <c r="AB93" s="21">
        <f>EXP(-LN(2)/2)*AB92+(1-EXP(-LN(2)/2))/(LN(2)/2)*V93*Y93*VLOOKUP('Données projet'!$B$9,Paramètres!$A$1:$I$89,3,0)*0.475*44/12</f>
        <v>5.473195264974772E-10</v>
      </c>
      <c r="AC93" s="22">
        <f t="shared" si="57"/>
        <v>2.5532052576124924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295.52640000000042</v>
      </c>
      <c r="AK93" s="13">
        <f t="shared" si="89"/>
        <v>70.237806600460658</v>
      </c>
      <c r="AL93" s="20">
        <f t="shared" si="58"/>
        <v>637.03932649580304</v>
      </c>
      <c r="AM93" s="59">
        <f t="shared" si="59"/>
        <v>930.37265982913641</v>
      </c>
      <c r="AN93" s="59">
        <f ca="1">AVERAGE(OFFSET($AM$3,0,0,'Données projet'!$E$10+1,1))-AVERAGE(OFFSET($H$3,0,0,'Données projet'!$E$10+1,1))</f>
        <v>311.44572917773388</v>
      </c>
      <c r="AO93" s="59">
        <f t="shared" si="90"/>
        <v>190.00559730122654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0.64934095759999777</v>
      </c>
      <c r="AW93" s="21">
        <f>EXP(-LN(2)/2)*AW92+(1-EXP(-LN(2)/2))/(LN(2)/2)*AQ93*AT93*VLOOKUP('Données projet'!$B$10,Paramètres!$A$1:$I$89,3,0)*0.475*44/12</f>
        <v>6.3605841423195292E-9</v>
      </c>
      <c r="AX93" s="21">
        <f t="shared" si="60"/>
        <v>0.64934096396058194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0</v>
      </c>
      <c r="BJ93" s="59">
        <f t="shared" si="92"/>
        <v>0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175.9108689482207</v>
      </c>
      <c r="T94" s="59">
        <f t="shared" si="88"/>
        <v>359.8073445551853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0.49871916928142879</v>
      </c>
      <c r="AA94" s="21">
        <f>EXP(-LN(2)/25)*AA93+(1-EXP(-LN(2)/25))/(LN(2)/25)*Calculateur!V94*Calculateur!X94*VLOOKUP('Données projet'!$B$9,Paramètres!$A$1:$I$89,3,0)*0.475*44/12</f>
        <v>1.9886036436244328</v>
      </c>
      <c r="AB94" s="21">
        <f>EXP(-LN(2)/2)*AB93+(1-EXP(-LN(2)/2))/(LN(2)/2)*V94*Y94*VLOOKUP('Données projet'!$B$9,Paramètres!$A$1:$I$89,3,0)*0.475*44/12</f>
        <v>3.8701334866217642E-10</v>
      </c>
      <c r="AC94" s="22">
        <f t="shared" si="57"/>
        <v>2.4873228132928751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258.48576000000043</v>
      </c>
      <c r="AK94" s="13">
        <f t="shared" si="89"/>
        <v>62.399493535430636</v>
      </c>
      <c r="AL94" s="20">
        <f t="shared" si="58"/>
        <v>558.87514990754244</v>
      </c>
      <c r="AM94" s="59">
        <f t="shared" si="59"/>
        <v>852.20848324087569</v>
      </c>
      <c r="AN94" s="59">
        <f ca="1">AVERAGE(OFFSET($AM$3,0,0,'Données projet'!$E$10+1,1))-AVERAGE(OFFSET($H$3,0,0,'Données projet'!$E$10+1,1))</f>
        <v>311.44572917773388</v>
      </c>
      <c r="AO94" s="59">
        <f t="shared" si="90"/>
        <v>190.00559730122654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0.63158469496706893</v>
      </c>
      <c r="AW94" s="21">
        <f>EXP(-LN(2)/2)*AW93+(1-EXP(-LN(2)/2))/(LN(2)/2)*AQ94*AT94*VLOOKUP('Données projet'!$B$10,Paramètres!$A$1:$I$89,3,0)*0.475*44/12</f>
        <v>4.4976121793417594E-9</v>
      </c>
      <c r="AX94" s="21">
        <f t="shared" si="60"/>
        <v>0.6315846994646811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0</v>
      </c>
      <c r="BJ94" s="59">
        <f t="shared" si="92"/>
        <v>0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175.9108689482207</v>
      </c>
      <c r="T95" s="59">
        <f t="shared" si="88"/>
        <v>359.8073445551853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0.48893959056047709</v>
      </c>
      <c r="AA95" s="21">
        <f>EXP(-LN(2)/25)*AA94+(1-EXP(-LN(2)/25))/(LN(2)/25)*Calculateur!V95*Calculateur!X95*VLOOKUP('Données projet'!$B$9,Paramètres!$A$1:$I$89,3,0)*0.475*44/12</f>
        <v>1.9342251724134021</v>
      </c>
      <c r="AB95" s="21">
        <f>EXP(-LN(2)/2)*AB94+(1-EXP(-LN(2)/2))/(LN(2)/2)*V95*Y95*VLOOKUP('Données projet'!$B$9,Paramètres!$A$1:$I$89,3,0)*0.475*44/12</f>
        <v>2.736597632487386E-10</v>
      </c>
      <c r="AC95" s="22">
        <f t="shared" si="57"/>
        <v>2.4231647632475388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263.37792000000042</v>
      </c>
      <c r="AK95" s="13">
        <f t="shared" si="89"/>
        <v>63.441872165610945</v>
      </c>
      <c r="AL95" s="20">
        <f t="shared" si="58"/>
        <v>569.21113802177308</v>
      </c>
      <c r="AM95" s="59">
        <f t="shared" si="59"/>
        <v>862.54447135510645</v>
      </c>
      <c r="AN95" s="59">
        <f ca="1">AVERAGE(OFFSET($AM$3,0,0,'Données projet'!$E$10+1,1))-AVERAGE(OFFSET($H$3,0,0,'Données projet'!$E$10+1,1))</f>
        <v>311.44572917773388</v>
      </c>
      <c r="AO95" s="59">
        <f t="shared" si="90"/>
        <v>190.00559730122654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0.61431397826959877</v>
      </c>
      <c r="AW95" s="21">
        <f>EXP(-LN(2)/2)*AW94+(1-EXP(-LN(2)/2))/(LN(2)/2)*AQ95*AT95*VLOOKUP('Données projet'!$B$10,Paramètres!$A$1:$I$89,3,0)*0.475*44/12</f>
        <v>3.1802920711597646E-9</v>
      </c>
      <c r="AX95" s="21">
        <f t="shared" si="60"/>
        <v>0.6143139814498908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0</v>
      </c>
      <c r="BJ95" s="59">
        <f t="shared" si="92"/>
        <v>0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175.9108689482207</v>
      </c>
      <c r="T96" s="59">
        <f t="shared" si="88"/>
        <v>359.8073445551853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0.47935178341328921</v>
      </c>
      <c r="AA96" s="21">
        <f>EXP(-LN(2)/25)*AA95+(1-EXP(-LN(2)/25))/(LN(2)/25)*Calculateur!V96*Calculateur!X96*VLOOKUP('Données projet'!$B$9,Paramètres!$A$1:$I$89,3,0)*0.475*44/12</f>
        <v>1.8813336833572765</v>
      </c>
      <c r="AB96" s="21">
        <f>EXP(-LN(2)/2)*AB95+(1-EXP(-LN(2)/2))/(LN(2)/2)*V96*Y96*VLOOKUP('Données projet'!$B$9,Paramètres!$A$1:$I$89,3,0)*0.475*44/12</f>
        <v>1.9350667433108821E-10</v>
      </c>
      <c r="AC96" s="22">
        <f t="shared" si="57"/>
        <v>2.360685466964072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268.27008000000041</v>
      </c>
      <c r="AK96" s="13">
        <f t="shared" si="89"/>
        <v>64.481999374536315</v>
      </c>
      <c r="AL96" s="20">
        <f t="shared" si="58"/>
        <v>579.54320491065141</v>
      </c>
      <c r="AM96" s="59">
        <f t="shared" si="59"/>
        <v>872.87653824398467</v>
      </c>
      <c r="AN96" s="59">
        <f ca="1">AVERAGE(OFFSET($AM$3,0,0,'Données projet'!$E$10+1,1))-AVERAGE(OFFSET($H$3,0,0,'Données projet'!$E$10+1,1))</f>
        <v>311.44572917773388</v>
      </c>
      <c r="AO96" s="59">
        <f t="shared" si="90"/>
        <v>190.00559730122654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0.5975155302284485</v>
      </c>
      <c r="AW96" s="21">
        <f>EXP(-LN(2)/2)*AW95+(1-EXP(-LN(2)/2))/(LN(2)/2)*AQ96*AT96*VLOOKUP('Données projet'!$B$10,Paramètres!$A$1:$I$89,3,0)*0.475*44/12</f>
        <v>2.2488060896708797E-9</v>
      </c>
      <c r="AX96" s="21">
        <f t="shared" si="60"/>
        <v>0.59751553247725464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0</v>
      </c>
      <c r="BJ96" s="59">
        <f t="shared" si="92"/>
        <v>0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175.9108689482207</v>
      </c>
      <c r="T97" s="59">
        <f t="shared" si="88"/>
        <v>359.8073445551853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0.4699519873162728</v>
      </c>
      <c r="AA97" s="21">
        <f>EXP(-LN(2)/25)*AA96+(1-EXP(-LN(2)/25))/(LN(2)/25)*Calculateur!V97*Calculateur!X97*VLOOKUP('Données projet'!$B$9,Paramètres!$A$1:$I$89,3,0)*0.475*44/12</f>
        <v>1.8298885148508333</v>
      </c>
      <c r="AB97" s="21">
        <f>EXP(-LN(2)/2)*AB96+(1-EXP(-LN(2)/2))/(LN(2)/2)*V97*Y97*VLOOKUP('Données projet'!$B$9,Paramètres!$A$1:$I$89,3,0)*0.475*44/12</f>
        <v>1.368298816243693E-10</v>
      </c>
      <c r="AC97" s="22">
        <f t="shared" si="57"/>
        <v>2.2998405023039363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273.16224000000039</v>
      </c>
      <c r="AK97" s="13">
        <f t="shared" si="89"/>
        <v>65.519920954532068</v>
      </c>
      <c r="AL97" s="20">
        <f t="shared" si="58"/>
        <v>589.87143032914412</v>
      </c>
      <c r="AM97" s="59">
        <f t="shared" si="59"/>
        <v>883.20476366247749</v>
      </c>
      <c r="AN97" s="59">
        <f ca="1">AVERAGE(OFFSET($AM$3,0,0,'Données projet'!$E$10+1,1))-AVERAGE(OFFSET($H$3,0,0,'Données projet'!$E$10+1,1))</f>
        <v>311.44572917773388</v>
      </c>
      <c r="AO97" s="59">
        <f t="shared" si="90"/>
        <v>190.00559730122654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0.5811764366323755</v>
      </c>
      <c r="AW97" s="21">
        <f>EXP(-LN(2)/2)*AW96+(1-EXP(-LN(2)/2))/(LN(2)/2)*AQ97*AT97*VLOOKUP('Données projet'!$B$10,Paramètres!$A$1:$I$89,3,0)*0.475*44/12</f>
        <v>1.5901460355798823E-9</v>
      </c>
      <c r="AX97" s="21">
        <f t="shared" si="60"/>
        <v>0.58117643822252152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0</v>
      </c>
      <c r="BJ97" s="59">
        <f t="shared" si="92"/>
        <v>0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175.9108689482207</v>
      </c>
      <c r="T98" s="59">
        <f t="shared" si="88"/>
        <v>359.8073445551853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0.46073651548740935</v>
      </c>
      <c r="AA98" s="21">
        <f>EXP(-LN(2)/25)*AA97+(1-EXP(-LN(2)/25))/(LN(2)/25)*Calculateur!V98*Calculateur!X98*VLOOKUP('Données projet'!$B$9,Paramètres!$A$1:$I$89,3,0)*0.475*44/12</f>
        <v>1.7798501171825825</v>
      </c>
      <c r="AB98" s="21">
        <f>EXP(-LN(2)/2)*AB97+(1-EXP(-LN(2)/2))/(LN(2)/2)*V98*Y98*VLOOKUP('Données projet'!$B$9,Paramètres!$A$1:$I$89,3,0)*0.475*44/12</f>
        <v>9.6753337165544104E-11</v>
      </c>
      <c r="AC98" s="22">
        <f t="shared" si="57"/>
        <v>2.2405866327667452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278.05440000000033</v>
      </c>
      <c r="AK98" s="13">
        <f t="shared" si="89"/>
        <v>66.555680963770826</v>
      </c>
      <c r="AL98" s="20">
        <f t="shared" si="58"/>
        <v>600.19589101190149</v>
      </c>
      <c r="AM98" s="59">
        <f t="shared" si="59"/>
        <v>893.52922434523475</v>
      </c>
      <c r="AN98" s="59">
        <f ca="1">AVERAGE(OFFSET($AM$3,0,0,'Données projet'!$E$10+1,1))-AVERAGE(OFFSET($H$3,0,0,'Données projet'!$E$10+1,1))</f>
        <v>311.44572917773388</v>
      </c>
      <c r="AO98" s="59">
        <f t="shared" si="90"/>
        <v>190.00559730122654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0.5652841364099227</v>
      </c>
      <c r="AW98" s="21">
        <f>EXP(-LN(2)/2)*AW97+(1-EXP(-LN(2)/2))/(LN(2)/2)*AQ98*AT98*VLOOKUP('Données projet'!$B$10,Paramètres!$A$1:$I$89,3,0)*0.475*44/12</f>
        <v>1.1244030448354398E-9</v>
      </c>
      <c r="AX98" s="21">
        <f t="shared" si="60"/>
        <v>0.56528413753432571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0</v>
      </c>
      <c r="BJ98" s="59">
        <f t="shared" si="92"/>
        <v>0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175.9108689482207</v>
      </c>
      <c r="T99" s="59">
        <f t="shared" si="88"/>
        <v>359.8073445551853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0.45170175344022712</v>
      </c>
      <c r="AA99" s="21">
        <f>EXP(-LN(2)/25)*AA98+(1-EXP(-LN(2)/25))/(LN(2)/25)*Calculateur!V99*Calculateur!X99*VLOOKUP('Données projet'!$B$9,Paramètres!$A$1:$I$89,3,0)*0.475*44/12</f>
        <v>1.7311800221299749</v>
      </c>
      <c r="AB99" s="21">
        <f>EXP(-LN(2)/2)*AB98+(1-EXP(-LN(2)/2))/(LN(2)/2)*V99*Y99*VLOOKUP('Données projet'!$B$9,Paramètres!$A$1:$I$89,3,0)*0.475*44/12</f>
        <v>6.841494081218465E-11</v>
      </c>
      <c r="AC99" s="22">
        <f t="shared" si="57"/>
        <v>2.182881775638617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282.94656000000032</v>
      </c>
      <c r="AK99" s="13">
        <f t="shared" si="89"/>
        <v>67.589321821279711</v>
      </c>
      <c r="AL99" s="20">
        <f t="shared" si="58"/>
        <v>610.51666083872942</v>
      </c>
      <c r="AM99" s="59">
        <f t="shared" si="59"/>
        <v>903.84999417206268</v>
      </c>
      <c r="AN99" s="59">
        <f ca="1">AVERAGE(OFFSET($AM$3,0,0,'Données projet'!$E$10+1,1))-AVERAGE(OFFSET($H$3,0,0,'Données projet'!$E$10+1,1))</f>
        <v>311.44572917773388</v>
      </c>
      <c r="AO99" s="59">
        <f t="shared" si="90"/>
        <v>190.00559730122654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0.54982641197279258</v>
      </c>
      <c r="AW99" s="21">
        <f>EXP(-LN(2)/2)*AW98+(1-EXP(-LN(2)/2))/(LN(2)/2)*AQ99*AT99*VLOOKUP('Données projet'!$B$10,Paramètres!$A$1:$I$89,3,0)*0.475*44/12</f>
        <v>7.9507301778994115E-10</v>
      </c>
      <c r="AX99" s="21">
        <f t="shared" si="60"/>
        <v>0.54982641276786559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0</v>
      </c>
      <c r="BJ99" s="59">
        <f t="shared" si="92"/>
        <v>0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175.9108689482207</v>
      </c>
      <c r="T100" s="59">
        <f t="shared" si="88"/>
        <v>359.8073445551853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0.44284415756612944</v>
      </c>
      <c r="AA100" s="21">
        <f>EXP(-LN(2)/25)*AA99+(1-EXP(-LN(2)/25))/(LN(2)/25)*Calculateur!V100*Calculateur!X100*VLOOKUP('Données projet'!$B$9,Paramètres!$A$1:$I$89,3,0)*0.475*44/12</f>
        <v>1.6838408133860301</v>
      </c>
      <c r="AB100" s="21">
        <f>EXP(-LN(2)/2)*AB99+(1-EXP(-LN(2)/2))/(LN(2)/2)*V100*Y100*VLOOKUP('Données projet'!$B$9,Paramètres!$A$1:$I$89,3,0)*0.475*44/12</f>
        <v>4.8376668582772052E-11</v>
      </c>
      <c r="AC100" s="22">
        <f t="shared" si="57"/>
        <v>2.1266849710005364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287.83872000000031</v>
      </c>
      <c r="AK100" s="13">
        <f t="shared" si="89"/>
        <v>68.620884395190288</v>
      </c>
      <c r="AL100" s="20">
        <f t="shared" si="58"/>
        <v>620.83381098829022</v>
      </c>
      <c r="AM100" s="59">
        <f t="shared" si="59"/>
        <v>914.16714432162348</v>
      </c>
      <c r="AN100" s="59">
        <f ca="1">AVERAGE(OFFSET($AM$3,0,0,'Données projet'!$E$10+1,1))-AVERAGE(OFFSET($H$3,0,0,'Données projet'!$E$10+1,1))</f>
        <v>311.44572917773388</v>
      </c>
      <c r="AO100" s="59">
        <f t="shared" si="90"/>
        <v>190.00559730122654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0.53479137982328218</v>
      </c>
      <c r="AW100" s="21">
        <f>EXP(-LN(2)/2)*AW99+(1-EXP(-LN(2)/2))/(LN(2)/2)*AQ100*AT100*VLOOKUP('Données projet'!$B$10,Paramètres!$A$1:$I$89,3,0)*0.475*44/12</f>
        <v>5.6220152241771992E-10</v>
      </c>
      <c r="AX100" s="21">
        <f t="shared" si="60"/>
        <v>0.53479138038548368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0</v>
      </c>
      <c r="BJ100" s="59">
        <f t="shared" si="92"/>
        <v>0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175.9108689482207</v>
      </c>
      <c r="T101" s="59">
        <f t="shared" si="88"/>
        <v>359.8073445551853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0.43416025374452277</v>
      </c>
      <c r="AA101" s="21">
        <f>EXP(-LN(2)/25)*AA100+(1-EXP(-LN(2)/25))/(LN(2)/25)*Calculateur!V101*Calculateur!X101*VLOOKUP('Données projet'!$B$9,Paramètres!$A$1:$I$89,3,0)*0.475*44/12</f>
        <v>1.6377960977946493</v>
      </c>
      <c r="AB101" s="21">
        <f>EXP(-LN(2)/2)*AB100+(1-EXP(-LN(2)/2))/(LN(2)/2)*V101*Y101*VLOOKUP('Données projet'!$B$9,Paramètres!$A$1:$I$89,3,0)*0.475*44/12</f>
        <v>3.4207470406092325E-11</v>
      </c>
      <c r="AC101" s="22">
        <f t="shared" si="57"/>
        <v>2.0719563515733794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292.7308800000003</v>
      </c>
      <c r="AK101" s="13">
        <f t="shared" si="89"/>
        <v>69.650408084819915</v>
      </c>
      <c r="AL101" s="20">
        <f t="shared" si="58"/>
        <v>631.14741008106182</v>
      </c>
      <c r="AM101" s="59">
        <f t="shared" si="59"/>
        <v>924.48074341439519</v>
      </c>
      <c r="AN101" s="59">
        <f ca="1">AVERAGE(OFFSET($AM$3,0,0,'Données projet'!$E$10+1,1))-AVERAGE(OFFSET($H$3,0,0,'Données projet'!$E$10+1,1))</f>
        <v>311.44572917773388</v>
      </c>
      <c r="AO101" s="59">
        <f t="shared" si="90"/>
        <v>190.00559730122654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0.52016748141855818</v>
      </c>
      <c r="AW101" s="21">
        <f>EXP(-LN(2)/2)*AW100+(1-EXP(-LN(2)/2))/(LN(2)/2)*AQ101*AT101*VLOOKUP('Données projet'!$B$10,Paramètres!$A$1:$I$89,3,0)*0.475*44/12</f>
        <v>3.9753650889497058E-10</v>
      </c>
      <c r="AX101" s="21">
        <f t="shared" si="60"/>
        <v>0.52016748181609473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0</v>
      </c>
      <c r="BJ101" s="59">
        <f t="shared" si="92"/>
        <v>0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175.9108689482207</v>
      </c>
      <c r="T102" s="59">
        <f t="shared" si="88"/>
        <v>359.8073445551853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0.42564663598019947</v>
      </c>
      <c r="AA102" s="21">
        <f>EXP(-LN(2)/25)*AA101+(1-EXP(-LN(2)/25))/(LN(2)/25)*Calculateur!V102*Calculateur!X102*VLOOKUP('Données projet'!$B$9,Paramètres!$A$1:$I$89,3,0)*0.475*44/12</f>
        <v>1.5930104773725011</v>
      </c>
      <c r="AB102" s="21">
        <f>EXP(-LN(2)/2)*AB101+(1-EXP(-LN(2)/2))/(LN(2)/2)*V102*Y102*VLOOKUP('Données projet'!$B$9,Paramètres!$A$1:$I$89,3,0)*0.475*44/12</f>
        <v>2.4188334291386026E-11</v>
      </c>
      <c r="AC102" s="22">
        <f t="shared" si="57"/>
        <v>2.0186571133768889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297.62304000000029</v>
      </c>
      <c r="AK102" s="13">
        <f t="shared" si="89"/>
        <v>70.677930897109121</v>
      </c>
      <c r="AL102" s="20">
        <f t="shared" si="58"/>
        <v>641.45752431246558</v>
      </c>
      <c r="AM102" s="59">
        <f t="shared" si="59"/>
        <v>934.79085764579895</v>
      </c>
      <c r="AN102" s="59">
        <f ca="1">AVERAGE(OFFSET($AM$3,0,0,'Données projet'!$E$10+1,1))-AVERAGE(OFFSET($H$3,0,0,'Données projet'!$E$10+1,1))</f>
        <v>311.44572917773388</v>
      </c>
      <c r="AO102" s="59">
        <f t="shared" si="90"/>
        <v>190.00559730122654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0.50594347428474873</v>
      </c>
      <c r="AW102" s="21">
        <f>EXP(-LN(2)/2)*AW101+(1-EXP(-LN(2)/2))/(LN(2)/2)*AQ102*AT102*VLOOKUP('Données projet'!$B$10,Paramètres!$A$1:$I$89,3,0)*0.475*44/12</f>
        <v>2.8110076120885996E-10</v>
      </c>
      <c r="AX102" s="21">
        <f t="shared" si="60"/>
        <v>0.50594347456584954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0</v>
      </c>
      <c r="BJ102" s="59">
        <f t="shared" si="92"/>
        <v>0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175.9108689482207</v>
      </c>
      <c r="T103" s="59">
        <f t="shared" si="88"/>
        <v>359.8073445551853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0.41729996506744049</v>
      </c>
      <c r="AA103" s="21">
        <f>EXP(-LN(2)/25)*AA102+(1-EXP(-LN(2)/25))/(LN(2)/25)*Calculateur!V103*Calculateur!X103*VLOOKUP('Données projet'!$B$9,Paramètres!$A$1:$I$89,3,0)*0.475*44/12</f>
        <v>1.5494495220959699</v>
      </c>
      <c r="AB103" s="21">
        <f>EXP(-LN(2)/2)*AB102+(1-EXP(-LN(2)/2))/(LN(2)/2)*V103*Y103*VLOOKUP('Données projet'!$B$9,Paramètres!$A$1:$I$89,3,0)*0.475*44/12</f>
        <v>1.7103735203046163E-11</v>
      </c>
      <c r="AC103" s="22">
        <f t="shared" si="57"/>
        <v>1.966749487180514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302.51520000000028</v>
      </c>
      <c r="AK103" s="13">
        <f t="shared" si="89"/>
        <v>71.703489517892322</v>
      </c>
      <c r="AL103" s="20">
        <f t="shared" si="58"/>
        <v>651.7642175769962</v>
      </c>
      <c r="AM103" s="59">
        <f t="shared" si="59"/>
        <v>945.09755091032957</v>
      </c>
      <c r="AN103" s="59">
        <f ca="1">AVERAGE(OFFSET($AM$3,0,0,'Données projet'!$E$10+1,1))-AVERAGE(OFFSET($H$3,0,0,'Données projet'!$E$10+1,1))</f>
        <v>311.44572917773388</v>
      </c>
      <c r="AO103" s="59">
        <f t="shared" si="90"/>
        <v>190.00559730122654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0.49210842337402133</v>
      </c>
      <c r="AW103" s="21">
        <f>EXP(-LN(2)/2)*AW102+(1-EXP(-LN(2)/2))/(LN(2)/2)*AQ103*AT103*VLOOKUP('Données projet'!$B$10,Paramètres!$A$1:$I$89,3,0)*0.475*44/12</f>
        <v>1.9876825444748529E-10</v>
      </c>
      <c r="AX103" s="21">
        <f t="shared" si="60"/>
        <v>0.49210842357278961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0</v>
      </c>
      <c r="BJ103" s="59">
        <f t="shared" si="92"/>
        <v>0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175.9108689482207</v>
      </c>
      <c r="T104" s="59">
        <f t="shared" si="88"/>
        <v>359.8073445551853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0.40911696728031416</v>
      </c>
      <c r="AA104" s="21">
        <f>EXP(-LN(2)/25)*AA103+(1-EXP(-LN(2)/25))/(LN(2)/25)*Calculateur!V104*Calculateur!X104*VLOOKUP('Données projet'!$B$9,Paramètres!$A$1:$I$89,3,0)*0.475*44/12</f>
        <v>1.5070797434322465</v>
      </c>
      <c r="AB104" s="21">
        <f>EXP(-LN(2)/2)*AB103+(1-EXP(-LN(2)/2))/(LN(2)/2)*V104*Y104*VLOOKUP('Données projet'!$B$9,Paramètres!$A$1:$I$89,3,0)*0.475*44/12</f>
        <v>1.2094167145693013E-11</v>
      </c>
      <c r="AC104" s="22">
        <f t="shared" si="57"/>
        <v>1.9161967107246547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264.97536000000019</v>
      </c>
      <c r="AK104" s="13">
        <f t="shared" si="89"/>
        <v>63.781750830403681</v>
      </c>
      <c r="AL104" s="20">
        <f t="shared" si="58"/>
        <v>572.58530136295337</v>
      </c>
      <c r="AM104" s="59">
        <f t="shared" si="59"/>
        <v>865.91863469628674</v>
      </c>
      <c r="AN104" s="59">
        <f ca="1">AVERAGE(OFFSET($AM$3,0,0,'Données projet'!$E$10+1,1))-AVERAGE(OFFSET($H$3,0,0,'Données projet'!$E$10+1,1))</f>
        <v>311.44572917773388</v>
      </c>
      <c r="AO104" s="59">
        <f t="shared" si="90"/>
        <v>190.00559730122654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0.47865169265800145</v>
      </c>
      <c r="AW104" s="21">
        <f>EXP(-LN(2)/2)*AW103+(1-EXP(-LN(2)/2))/(LN(2)/2)*AQ104*AT104*VLOOKUP('Données projet'!$B$10,Paramètres!$A$1:$I$89,3,0)*0.475*44/12</f>
        <v>1.4055038060442998E-10</v>
      </c>
      <c r="AX104" s="21">
        <f t="shared" si="60"/>
        <v>0.47865169279855185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0</v>
      </c>
      <c r="BJ104" s="59">
        <f t="shared" si="92"/>
        <v>0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175.9108689482207</v>
      </c>
      <c r="T105" s="59">
        <f t="shared" si="88"/>
        <v>359.8073445551853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0.40109443308865755</v>
      </c>
      <c r="AA105" s="21">
        <f>EXP(-LN(2)/25)*AA104+(1-EXP(-LN(2)/25))/(LN(2)/25)*Calculateur!V105*Calculateur!X105*VLOOKUP('Données projet'!$B$9,Paramètres!$A$1:$I$89,3,0)*0.475*44/12</f>
        <v>1.4658685685942126</v>
      </c>
      <c r="AB105" s="21">
        <f>EXP(-LN(2)/2)*AB104+(1-EXP(-LN(2)/2))/(LN(2)/2)*V105*Y105*VLOOKUP('Données projet'!$B$9,Paramètres!$A$1:$I$89,3,0)*0.475*44/12</f>
        <v>8.5518676015230813E-12</v>
      </c>
      <c r="AC105" s="22">
        <f t="shared" si="57"/>
        <v>1.8669630016914218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269.36832000000021</v>
      </c>
      <c r="AK105" s="13">
        <f t="shared" si="89"/>
        <v>64.715192579710546</v>
      </c>
      <c r="AL105" s="20">
        <f t="shared" si="58"/>
        <v>581.86211774299625</v>
      </c>
      <c r="AM105" s="59">
        <f t="shared" si="59"/>
        <v>875.19545107632962</v>
      </c>
      <c r="AN105" s="59">
        <f ca="1">AVERAGE(OFFSET($AM$3,0,0,'Données projet'!$E$10+1,1))-AVERAGE(OFFSET($H$3,0,0,'Données projet'!$E$10+1,1))</f>
        <v>311.44572917773388</v>
      </c>
      <c r="AO105" s="59">
        <f t="shared" si="90"/>
        <v>190.00559730122654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0.46556293695106987</v>
      </c>
      <c r="AW105" s="21">
        <f>EXP(-LN(2)/2)*AW104+(1-EXP(-LN(2)/2))/(LN(2)/2)*AQ105*AT105*VLOOKUP('Données projet'!$B$10,Paramètres!$A$1:$I$89,3,0)*0.475*44/12</f>
        <v>9.9384127223742644E-11</v>
      </c>
      <c r="AX105" s="21">
        <f t="shared" si="60"/>
        <v>0.46556293705045398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0</v>
      </c>
      <c r="BJ105" s="59">
        <f t="shared" si="92"/>
        <v>0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175.9108689482207</v>
      </c>
      <c r="T106" s="59">
        <f t="shared" si="88"/>
        <v>359.8073445551853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0.39322921589923665</v>
      </c>
      <c r="AA106" s="21">
        <f>EXP(-LN(2)/25)*AA105+(1-EXP(-LN(2)/25))/(LN(2)/25)*Calculateur!V106*Calculateur!X106*VLOOKUP('Données projet'!$B$9,Paramètres!$A$1:$I$89,3,0)*0.475*44/12</f>
        <v>1.4257843154993262</v>
      </c>
      <c r="AB106" s="21">
        <f>EXP(-LN(2)/2)*AB105+(1-EXP(-LN(2)/2))/(LN(2)/2)*V106*Y106*VLOOKUP('Données projet'!$B$9,Paramètres!$A$1:$I$89,3,0)*0.475*44/12</f>
        <v>6.0470835728465065E-12</v>
      </c>
      <c r="AC106" s="22">
        <f t="shared" si="57"/>
        <v>1.8190135314046101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273.76128000000017</v>
      </c>
      <c r="AK106" s="13">
        <f t="shared" si="89"/>
        <v>65.646863978988492</v>
      </c>
      <c r="AL106" s="20">
        <f t="shared" si="58"/>
        <v>591.1358507634053</v>
      </c>
      <c r="AM106" s="59">
        <f t="shared" si="59"/>
        <v>884.46918409673867</v>
      </c>
      <c r="AN106" s="59">
        <f ca="1">AVERAGE(OFFSET($AM$3,0,0,'Données projet'!$E$10+1,1))-AVERAGE(OFFSET($H$3,0,0,'Données projet'!$E$10+1,1))</f>
        <v>311.44572917773388</v>
      </c>
      <c r="AO106" s="59">
        <f t="shared" si="90"/>
        <v>190.00559730122654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0.45283209395725205</v>
      </c>
      <c r="AW106" s="21">
        <f>EXP(-LN(2)/2)*AW105+(1-EXP(-LN(2)/2))/(LN(2)/2)*AQ106*AT106*VLOOKUP('Données projet'!$B$10,Paramètres!$A$1:$I$89,3,0)*0.475*44/12</f>
        <v>7.027519030221499E-11</v>
      </c>
      <c r="AX106" s="21">
        <f t="shared" si="60"/>
        <v>0.45283209402752722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0</v>
      </c>
      <c r="BJ106" s="59">
        <f t="shared" si="92"/>
        <v>0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175.9108689482207</v>
      </c>
      <c r="T107" s="59">
        <f t="shared" si="88"/>
        <v>359.8073445551853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0.38551823082159148</v>
      </c>
      <c r="AA107" s="21">
        <f>EXP(-LN(2)/25)*AA106+(1-EXP(-LN(2)/25))/(LN(2)/25)*Calculateur!V107*Calculateur!X107*VLOOKUP('Données projet'!$B$9,Paramètres!$A$1:$I$89,3,0)*0.475*44/12</f>
        <v>1.3867961684132586</v>
      </c>
      <c r="AB107" s="21">
        <f>EXP(-LN(2)/2)*AB106+(1-EXP(-LN(2)/2))/(LN(2)/2)*V107*Y107*VLOOKUP('Données projet'!$B$9,Paramètres!$A$1:$I$89,3,0)*0.475*44/12</f>
        <v>4.2759338007615406E-12</v>
      </c>
      <c r="AC107" s="22">
        <f t="shared" si="57"/>
        <v>1.7723143992391259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278.15424000000013</v>
      </c>
      <c r="AK107" s="13">
        <f t="shared" si="89"/>
        <v>66.576796716338578</v>
      </c>
      <c r="AL107" s="20">
        <f t="shared" si="58"/>
        <v>600.40655561428991</v>
      </c>
      <c r="AM107" s="59">
        <f t="shared" si="59"/>
        <v>893.73988894762329</v>
      </c>
      <c r="AN107" s="59">
        <f ca="1">AVERAGE(OFFSET($AM$3,0,0,'Données projet'!$E$10+1,1))-AVERAGE(OFFSET($H$3,0,0,'Données projet'!$E$10+1,1))</f>
        <v>311.44572917773388</v>
      </c>
      <c r="AO107" s="59">
        <f t="shared" si="90"/>
        <v>190.00559730122654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0.44044937653458616</v>
      </c>
      <c r="AW107" s="21">
        <f>EXP(-LN(2)/2)*AW106+(1-EXP(-LN(2)/2))/(LN(2)/2)*AQ107*AT107*VLOOKUP('Données projet'!$B$10,Paramètres!$A$1:$I$89,3,0)*0.475*44/12</f>
        <v>4.9692063611871322E-11</v>
      </c>
      <c r="AX107" s="21">
        <f t="shared" si="60"/>
        <v>0.44044937658427824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0</v>
      </c>
      <c r="BJ107" s="59">
        <f t="shared" si="92"/>
        <v>0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175.9108689482207</v>
      </c>
      <c r="T108" s="59">
        <f t="shared" si="88"/>
        <v>359.8073445551853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0.37795845345808243</v>
      </c>
      <c r="AA108" s="21">
        <f>EXP(-LN(2)/25)*AA107+(1-EXP(-LN(2)/25))/(LN(2)/25)*Calculateur!V108*Calculateur!X108*VLOOKUP('Données projet'!$B$9,Paramètres!$A$1:$I$89,3,0)*0.475*44/12</f>
        <v>1.348874154259557</v>
      </c>
      <c r="AB108" s="21">
        <f>EXP(-LN(2)/2)*AB107+(1-EXP(-LN(2)/2))/(LN(2)/2)*V108*Y108*VLOOKUP('Données projet'!$B$9,Paramètres!$A$1:$I$89,3,0)*0.475*44/12</f>
        <v>3.0235417864232533E-12</v>
      </c>
      <c r="AC108" s="22">
        <f t="shared" si="57"/>
        <v>1.726832607720663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282.54720000000015</v>
      </c>
      <c r="AK108" s="13">
        <f t="shared" si="89"/>
        <v>67.505021421533669</v>
      </c>
      <c r="AL108" s="20">
        <f t="shared" si="58"/>
        <v>609.67428564250474</v>
      </c>
      <c r="AM108" s="59">
        <f t="shared" si="59"/>
        <v>903.00761897583811</v>
      </c>
      <c r="AN108" s="59">
        <f ca="1">AVERAGE(OFFSET($AM$3,0,0,'Données projet'!$E$10+1,1))-AVERAGE(OFFSET($H$3,0,0,'Données projet'!$E$10+1,1))</f>
        <v>311.44572917773388</v>
      </c>
      <c r="AO108" s="59">
        <f t="shared" si="90"/>
        <v>190.00559730122654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0.42840526517102184</v>
      </c>
      <c r="AW108" s="21">
        <f>EXP(-LN(2)/2)*AW107+(1-EXP(-LN(2)/2))/(LN(2)/2)*AQ108*AT108*VLOOKUP('Données projet'!$B$10,Paramètres!$A$1:$I$89,3,0)*0.475*44/12</f>
        <v>3.5137595151107495E-11</v>
      </c>
      <c r="AX108" s="21">
        <f t="shared" si="60"/>
        <v>0.42840526520615946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0</v>
      </c>
      <c r="BJ108" s="59">
        <f t="shared" si="92"/>
        <v>0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175.9108689482207</v>
      </c>
      <c r="T109" s="59">
        <f t="shared" si="88"/>
        <v>359.8073445551853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0.37054691871766293</v>
      </c>
      <c r="AA109" s="21">
        <f>EXP(-LN(2)/25)*AA108+(1-EXP(-LN(2)/25))/(LN(2)/25)*Calculateur!V109*Calculateur!X109*VLOOKUP('Données projet'!$B$9,Paramètres!$A$1:$I$89,3,0)*0.475*44/12</f>
        <v>1.3119891195771205</v>
      </c>
      <c r="AB109" s="21">
        <f>EXP(-LN(2)/2)*AB108+(1-EXP(-LN(2)/2))/(LN(2)/2)*V109*Y109*VLOOKUP('Données projet'!$B$9,Paramètres!$A$1:$I$89,3,0)*0.475*44/12</f>
        <v>2.1379669003807703E-12</v>
      </c>
      <c r="AC109" s="22">
        <f t="shared" si="57"/>
        <v>1.6825360382969214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286.94016000000011</v>
      </c>
      <c r="AK109" s="13">
        <f t="shared" si="89"/>
        <v>68.431567717259313</v>
      </c>
      <c r="AL109" s="20">
        <f t="shared" si="58"/>
        <v>618.93909244089343</v>
      </c>
      <c r="AM109" s="59">
        <f t="shared" si="59"/>
        <v>912.2724257742268</v>
      </c>
      <c r="AN109" s="59">
        <f ca="1">AVERAGE(OFFSET($AM$3,0,0,'Données projet'!$E$10+1,1))-AVERAGE(OFFSET($H$3,0,0,'Données projet'!$E$10+1,1))</f>
        <v>311.44572917773388</v>
      </c>
      <c r="AO109" s="59">
        <f t="shared" si="90"/>
        <v>190.00559730122654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0.4166905006660665</v>
      </c>
      <c r="AW109" s="21">
        <f>EXP(-LN(2)/2)*AW108+(1-EXP(-LN(2)/2))/(LN(2)/2)*AQ109*AT109*VLOOKUP('Données projet'!$B$10,Paramètres!$A$1:$I$89,3,0)*0.475*44/12</f>
        <v>2.4846031805935661E-11</v>
      </c>
      <c r="AX109" s="21">
        <f t="shared" si="60"/>
        <v>0.41669050069091251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0</v>
      </c>
      <c r="BJ109" s="59">
        <f t="shared" si="92"/>
        <v>0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175.9108689482207</v>
      </c>
      <c r="T110" s="59">
        <f t="shared" si="88"/>
        <v>359.8073445551853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0.3632807196529132</v>
      </c>
      <c r="AA110" s="21">
        <f>EXP(-LN(2)/25)*AA109+(1-EXP(-LN(2)/25))/(LN(2)/25)*Calculateur!V110*Calculateur!X110*VLOOKUP('Données projet'!$B$9,Paramètres!$A$1:$I$89,3,0)*0.475*44/12</f>
        <v>1.276112708107775</v>
      </c>
      <c r="AB110" s="21">
        <f>EXP(-LN(2)/2)*AB109+(1-EXP(-LN(2)/2))/(LN(2)/2)*V110*Y110*VLOOKUP('Données projet'!$B$9,Paramètres!$A$1:$I$89,3,0)*0.475*44/12</f>
        <v>1.5117708932116266E-12</v>
      </c>
      <c r="AC110" s="22">
        <f t="shared" si="57"/>
        <v>1.6393934277622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291.33312000000006</v>
      </c>
      <c r="AK110" s="13">
        <f t="shared" si="89"/>
        <v>69.356464267127777</v>
      </c>
      <c r="AL110" s="20">
        <f t="shared" si="58"/>
        <v>628.20102593191427</v>
      </c>
      <c r="AM110" s="59">
        <f t="shared" si="59"/>
        <v>921.53435926524753</v>
      </c>
      <c r="AN110" s="59">
        <f ca="1">AVERAGE(OFFSET($AM$3,0,0,'Données projet'!$E$10+1,1))-AVERAGE(OFFSET($H$3,0,0,'Données projet'!$E$10+1,1))</f>
        <v>311.44572917773388</v>
      </c>
      <c r="AO110" s="59">
        <f t="shared" si="90"/>
        <v>190.00559730122654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0.40529607701255183</v>
      </c>
      <c r="AW110" s="21">
        <f>EXP(-LN(2)/2)*AW109+(1-EXP(-LN(2)/2))/(LN(2)/2)*AQ110*AT110*VLOOKUP('Données projet'!$B$10,Paramètres!$A$1:$I$89,3,0)*0.475*44/12</f>
        <v>1.7568797575553748E-11</v>
      </c>
      <c r="AX110" s="21">
        <f t="shared" si="60"/>
        <v>0.40529607703012061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0</v>
      </c>
      <c r="BJ110" s="59">
        <f t="shared" si="92"/>
        <v>0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175.9108689482207</v>
      </c>
      <c r="T111" s="59">
        <f t="shared" si="88"/>
        <v>359.8073445551853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0.3561570063198794</v>
      </c>
      <c r="AA111" s="21">
        <f>EXP(-LN(2)/25)*AA110+(1-EXP(-LN(2)/25))/(LN(2)/25)*Calculateur!V111*Calculateur!X111*VLOOKUP('Données projet'!$B$9,Paramètres!$A$1:$I$89,3,0)*0.475*44/12</f>
        <v>1.2412173389967172</v>
      </c>
      <c r="AB111" s="21">
        <f>EXP(-LN(2)/2)*AB110+(1-EXP(-LN(2)/2))/(LN(2)/2)*V111*Y111*VLOOKUP('Données projet'!$B$9,Paramètres!$A$1:$I$89,3,0)*0.475*44/12</f>
        <v>1.0689834501903852E-12</v>
      </c>
      <c r="AC111" s="22">
        <f t="shared" si="57"/>
        <v>1.5973743453176654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295.72608000000008</v>
      </c>
      <c r="AK111" s="13">
        <f t="shared" si="89"/>
        <v>70.279738820713561</v>
      </c>
      <c r="AL111" s="20">
        <f t="shared" si="58"/>
        <v>637.46013444607627</v>
      </c>
      <c r="AM111" s="59">
        <f t="shared" si="59"/>
        <v>930.79346777940964</v>
      </c>
      <c r="AN111" s="59">
        <f ca="1">AVERAGE(OFFSET($AM$3,0,0,'Données projet'!$E$10+1,1))-AVERAGE(OFFSET($H$3,0,0,'Données projet'!$E$10+1,1))</f>
        <v>311.44572917773388</v>
      </c>
      <c r="AO111" s="59">
        <f t="shared" si="90"/>
        <v>190.00559730122654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0.39421323447304923</v>
      </c>
      <c r="AW111" s="21">
        <f>EXP(-LN(2)/2)*AW110+(1-EXP(-LN(2)/2))/(LN(2)/2)*AQ111*AT111*VLOOKUP('Données projet'!$B$10,Paramètres!$A$1:$I$89,3,0)*0.475*44/12</f>
        <v>1.2423015902967831E-11</v>
      </c>
      <c r="AX111" s="21">
        <f t="shared" si="60"/>
        <v>0.39421323448547224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0</v>
      </c>
      <c r="BJ111" s="59">
        <f t="shared" si="92"/>
        <v>0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175.9108689482207</v>
      </c>
      <c r="T112" s="59">
        <f t="shared" si="88"/>
        <v>359.8073445551853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0.3491729846602703</v>
      </c>
      <c r="AA112" s="21">
        <f>EXP(-LN(2)/25)*AA111+(1-EXP(-LN(2)/25))/(LN(2)/25)*Calculateur!V112*Calculateur!X112*VLOOKUP('Données projet'!$B$9,Paramètres!$A$1:$I$89,3,0)*0.475*44/12</f>
        <v>1.207276185589069</v>
      </c>
      <c r="AB112" s="21">
        <f>EXP(-LN(2)/2)*AB111+(1-EXP(-LN(2)/2))/(LN(2)/2)*V112*Y112*VLOOKUP('Données projet'!$B$9,Paramètres!$A$1:$I$89,3,0)*0.475*44/12</f>
        <v>7.5588544660581332E-13</v>
      </c>
      <c r="AC112" s="22">
        <f t="shared" si="57"/>
        <v>1.5564491702500951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300.11904000000004</v>
      </c>
      <c r="AK112" s="13">
        <f t="shared" si="89"/>
        <v>71.20141825583724</v>
      </c>
      <c r="AL112" s="20">
        <f t="shared" si="58"/>
        <v>646.71646479558319</v>
      </c>
      <c r="AM112" s="59">
        <f t="shared" si="59"/>
        <v>940.04979812891656</v>
      </c>
      <c r="AN112" s="59">
        <f ca="1">AVERAGE(OFFSET($AM$3,0,0,'Données projet'!$E$10+1,1))-AVERAGE(OFFSET($H$3,0,0,'Données projet'!$E$10+1,1))</f>
        <v>311.44572917773388</v>
      </c>
      <c r="AO112" s="59">
        <f t="shared" si="90"/>
        <v>190.00559730122654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0.3834334528456107</v>
      </c>
      <c r="AW112" s="21">
        <f>EXP(-LN(2)/2)*AW111+(1-EXP(-LN(2)/2))/(LN(2)/2)*AQ112*AT112*VLOOKUP('Données projet'!$B$10,Paramètres!$A$1:$I$89,3,0)*0.475*44/12</f>
        <v>8.7843987877768738E-12</v>
      </c>
      <c r="AX112" s="21">
        <f t="shared" si="60"/>
        <v>0.38343345285439512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0</v>
      </c>
      <c r="BJ112" s="59">
        <f t="shared" si="92"/>
        <v>0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175.9108689482207</v>
      </c>
      <c r="T113" s="59">
        <f t="shared" si="88"/>
        <v>359.8073445551853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0.34232591540557356</v>
      </c>
      <c r="AA113" s="21">
        <f>EXP(-LN(2)/25)*AA112+(1-EXP(-LN(2)/25))/(LN(2)/25)*Calculateur!V113*Calculateur!X113*VLOOKUP('Données projet'!$B$9,Paramètres!$A$1:$I$89,3,0)*0.475*44/12</f>
        <v>1.1742631548062405</v>
      </c>
      <c r="AB113" s="21">
        <f>EXP(-LN(2)/2)*AB112+(1-EXP(-LN(2)/2))/(LN(2)/2)*V113*Y113*VLOOKUP('Données projet'!$B$9,Paramètres!$A$1:$I$89,3,0)*0.475*44/12</f>
        <v>5.3449172509519258E-13</v>
      </c>
      <c r="AC113" s="22">
        <f t="shared" si="57"/>
        <v>1.5165890702123486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304.51200000000006</v>
      </c>
      <c r="AK113" s="13">
        <f t="shared" si="89"/>
        <v>72.121528618302861</v>
      </c>
      <c r="AL113" s="20">
        <f t="shared" si="58"/>
        <v>655.97006234354433</v>
      </c>
      <c r="AM113" s="59">
        <f t="shared" si="59"/>
        <v>949.3033956768777</v>
      </c>
      <c r="AN113" s="59">
        <f ca="1">AVERAGE(OFFSET($AM$3,0,0,'Données projet'!$E$10+1,1))-AVERAGE(OFFSET($H$3,0,0,'Données projet'!$E$10+1,1))</f>
        <v>311.44572917773388</v>
      </c>
      <c r="AO113" s="59">
        <f t="shared" si="90"/>
        <v>190.00559730122654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0.37294844491365853</v>
      </c>
      <c r="AW113" s="21">
        <f>EXP(-LN(2)/2)*AW112+(1-EXP(-LN(2)/2))/(LN(2)/2)*AQ113*AT113*VLOOKUP('Données projet'!$B$10,Paramètres!$A$1:$I$89,3,0)*0.475*44/12</f>
        <v>6.2115079514839153E-12</v>
      </c>
      <c r="AX113" s="21">
        <f t="shared" si="60"/>
        <v>0.37294844491987006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0</v>
      </c>
      <c r="BJ113" s="59">
        <f t="shared" si="92"/>
        <v>0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175.9108689482207</v>
      </c>
      <c r="T114" s="59">
        <f t="shared" si="88"/>
        <v>359.8073445551853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0.33561311300266156</v>
      </c>
      <c r="AA114" s="21">
        <f>EXP(-LN(2)/25)*AA113+(1-EXP(-LN(2)/25))/(LN(2)/25)*Calculateur!V114*Calculateur!X114*VLOOKUP('Données projet'!$B$9,Paramètres!$A$1:$I$89,3,0)*0.475*44/12</f>
        <v>1.1421528670862484</v>
      </c>
      <c r="AB114" s="21">
        <f>EXP(-LN(2)/2)*AB113+(1-EXP(-LN(2)/2))/(LN(2)/2)*V114*Y114*VLOOKUP('Données projet'!$B$9,Paramètres!$A$1:$I$89,3,0)*0.475*44/12</f>
        <v>3.7794272330290666E-13</v>
      </c>
      <c r="AC114" s="22">
        <f t="shared" si="57"/>
        <v>1.4777659800892879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269.26848000000001</v>
      </c>
      <c r="AK114" s="13">
        <f t="shared" si="89"/>
        <v>64.693997776951235</v>
      </c>
      <c r="AL114" s="20">
        <f t="shared" si="58"/>
        <v>581.65131546152327</v>
      </c>
      <c r="AM114" s="59">
        <f t="shared" si="59"/>
        <v>874.98464879485664</v>
      </c>
      <c r="AN114" s="59">
        <f ca="1">AVERAGE(OFFSET($AM$3,0,0,'Données projet'!$E$10+1,1))-AVERAGE(OFFSET($H$3,0,0,'Données projet'!$E$10+1,1))</f>
        <v>311.44572917773388</v>
      </c>
      <c r="AO114" s="59">
        <f t="shared" si="90"/>
        <v>190.00559730122654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0.36275015007498818</v>
      </c>
      <c r="AW114" s="21">
        <f>EXP(-LN(2)/2)*AW113+(1-EXP(-LN(2)/2))/(LN(2)/2)*AQ114*AT114*VLOOKUP('Données projet'!$B$10,Paramètres!$A$1:$I$89,3,0)*0.475*44/12</f>
        <v>4.3921993938884369E-12</v>
      </c>
      <c r="AX114" s="21">
        <f t="shared" si="60"/>
        <v>0.36275015007938038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0</v>
      </c>
      <c r="BJ114" s="59">
        <f t="shared" si="92"/>
        <v>0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175.9108689482207</v>
      </c>
      <c r="T115" s="59">
        <f t="shared" si="88"/>
        <v>359.8073445551853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0.32903194456046547</v>
      </c>
      <c r="AA115" s="21">
        <f>EXP(-LN(2)/25)*AA114+(1-EXP(-LN(2)/25))/(LN(2)/25)*Calculateur!V115*Calculateur!X115*VLOOKUP('Données projet'!$B$9,Paramètres!$A$1:$I$89,3,0)*0.475*44/12</f>
        <v>1.1109206368725661</v>
      </c>
      <c r="AB115" s="21">
        <f>EXP(-LN(2)/2)*AB114+(1-EXP(-LN(2)/2))/(LN(2)/2)*V115*Y115*VLOOKUP('Données projet'!$B$9,Paramètres!$A$1:$I$89,3,0)*0.475*44/12</f>
        <v>2.6724586254759629E-13</v>
      </c>
      <c r="AC115" s="22">
        <f t="shared" si="57"/>
        <v>1.439952581433299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272.96256</v>
      </c>
      <c r="AK115" s="13">
        <f t="shared" si="89"/>
        <v>65.477599415179341</v>
      </c>
      <c r="AL115" s="20">
        <f t="shared" si="58"/>
        <v>589.44994431477073</v>
      </c>
      <c r="AM115" s="59">
        <f t="shared" si="59"/>
        <v>882.7832776481041</v>
      </c>
      <c r="AN115" s="59">
        <f ca="1">AVERAGE(OFFSET($AM$3,0,0,'Données projet'!$E$10+1,1))-AVERAGE(OFFSET($H$3,0,0,'Données projet'!$E$10+1,1))</f>
        <v>311.44572917773388</v>
      </c>
      <c r="AO115" s="59">
        <f t="shared" si="90"/>
        <v>190.00559730122654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0.35283072814498628</v>
      </c>
      <c r="AW115" s="21">
        <f>EXP(-LN(2)/2)*AW114+(1-EXP(-LN(2)/2))/(LN(2)/2)*AQ115*AT115*VLOOKUP('Données projet'!$B$10,Paramètres!$A$1:$I$89,3,0)*0.475*44/12</f>
        <v>3.1057539757419576E-12</v>
      </c>
      <c r="AX115" s="21">
        <f t="shared" si="60"/>
        <v>0.35283072814809202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0</v>
      </c>
      <c r="BJ115" s="59">
        <f t="shared" si="92"/>
        <v>0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175.9108689482207</v>
      </c>
      <c r="T116" s="59">
        <f t="shared" si="88"/>
        <v>359.8073445551853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0.32257982881730446</v>
      </c>
      <c r="AA116" s="21">
        <f>EXP(-LN(2)/25)*AA115+(1-EXP(-LN(2)/25))/(LN(2)/25)*Calculateur!V116*Calculateur!X116*VLOOKUP('Données projet'!$B$9,Paramètres!$A$1:$I$89,3,0)*0.475*44/12</f>
        <v>1.0805424536365085</v>
      </c>
      <c r="AB116" s="21">
        <f>EXP(-LN(2)/2)*AB115+(1-EXP(-LN(2)/2))/(LN(2)/2)*V116*Y116*VLOOKUP('Données projet'!$B$9,Paramètres!$A$1:$I$89,3,0)*0.475*44/12</f>
        <v>1.8897136165145333E-13</v>
      </c>
      <c r="AC116" s="22">
        <f t="shared" si="57"/>
        <v>1.4031222824540019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276.65663999999998</v>
      </c>
      <c r="AK116" s="13">
        <f t="shared" si="89"/>
        <v>66.259967597793249</v>
      </c>
      <c r="AL116" s="20">
        <f t="shared" si="58"/>
        <v>597.24642489948985</v>
      </c>
      <c r="AM116" s="59">
        <f t="shared" si="59"/>
        <v>890.57975823282322</v>
      </c>
      <c r="AN116" s="59">
        <f ca="1">AVERAGE(OFFSET($AM$3,0,0,'Données projet'!$E$10+1,1))-AVERAGE(OFFSET($H$3,0,0,'Données projet'!$E$10+1,1))</f>
        <v>311.44572917773388</v>
      </c>
      <c r="AO116" s="59">
        <f t="shared" si="90"/>
        <v>190.00559730122654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0.34318255332930003</v>
      </c>
      <c r="AW116" s="21">
        <f>EXP(-LN(2)/2)*AW115+(1-EXP(-LN(2)/2))/(LN(2)/2)*AQ116*AT116*VLOOKUP('Données projet'!$B$10,Paramètres!$A$1:$I$89,3,0)*0.475*44/12</f>
        <v>2.1960996969442184E-12</v>
      </c>
      <c r="AX116" s="21">
        <f t="shared" si="60"/>
        <v>0.34318255333149611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0</v>
      </c>
      <c r="BJ116" s="59">
        <f t="shared" si="92"/>
        <v>0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175.9108689482207</v>
      </c>
      <c r="T117" s="59">
        <f t="shared" si="88"/>
        <v>359.8073445551853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0.31625423512846484</v>
      </c>
      <c r="AA117" s="21">
        <f>EXP(-LN(2)/25)*AA116+(1-EXP(-LN(2)/25))/(LN(2)/25)*Calculateur!V117*Calculateur!X117*VLOOKUP('Données projet'!$B$9,Paramètres!$A$1:$I$89,3,0)*0.475*44/12</f>
        <v>1.05099496341856</v>
      </c>
      <c r="AB117" s="21">
        <f>EXP(-LN(2)/2)*AB116+(1-EXP(-LN(2)/2))/(LN(2)/2)*V117*Y117*VLOOKUP('Données projet'!$B$9,Paramètres!$A$1:$I$89,3,0)*0.475*44/12</f>
        <v>1.3362293127379814E-13</v>
      </c>
      <c r="AC117" s="22">
        <f t="shared" si="57"/>
        <v>1.3672491985471584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280.35071999999997</v>
      </c>
      <c r="AK117" s="13">
        <f t="shared" si="89"/>
        <v>67.041120698511818</v>
      </c>
      <c r="AL117" s="20">
        <f t="shared" si="58"/>
        <v>605.04078921657458</v>
      </c>
      <c r="AM117" s="59">
        <f t="shared" si="59"/>
        <v>898.37412254990795</v>
      </c>
      <c r="AN117" s="59">
        <f ca="1">AVERAGE(OFFSET($AM$3,0,0,'Données projet'!$E$10+1,1))-AVERAGE(OFFSET($H$3,0,0,'Données projet'!$E$10+1,1))</f>
        <v>311.44572917773388</v>
      </c>
      <c r="AO117" s="59">
        <f t="shared" si="90"/>
        <v>190.00559730122654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0.33379820836132418</v>
      </c>
      <c r="AW117" s="21">
        <f>EXP(-LN(2)/2)*AW116+(1-EXP(-LN(2)/2))/(LN(2)/2)*AQ117*AT117*VLOOKUP('Données projet'!$B$10,Paramètres!$A$1:$I$89,3,0)*0.475*44/12</f>
        <v>1.5528769878709788E-12</v>
      </c>
      <c r="AX117" s="21">
        <f t="shared" si="60"/>
        <v>0.33379820836287705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0</v>
      </c>
      <c r="BJ117" s="59">
        <f t="shared" si="92"/>
        <v>0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175.9108689482207</v>
      </c>
      <c r="T118" s="59">
        <f t="shared" si="88"/>
        <v>359.8073445551853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0.31005268247363216</v>
      </c>
      <c r="AA118" s="21">
        <f>EXP(-LN(2)/25)*AA117+(1-EXP(-LN(2)/25))/(LN(2)/25)*Calculateur!V118*Calculateur!X118*VLOOKUP('Données projet'!$B$9,Paramètres!$A$1:$I$89,3,0)*0.475*44/12</f>
        <v>1.0222554508744564</v>
      </c>
      <c r="AB118" s="21">
        <f>EXP(-LN(2)/2)*AB117+(1-EXP(-LN(2)/2))/(LN(2)/2)*V118*Y118*VLOOKUP('Données projet'!$B$9,Paramètres!$A$1:$I$89,3,0)*0.475*44/12</f>
        <v>9.4485680825726664E-14</v>
      </c>
      <c r="AC118" s="22">
        <f t="shared" si="57"/>
        <v>1.332308133348183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284.04479999999995</v>
      </c>
      <c r="AK118" s="13">
        <f t="shared" si="89"/>
        <v>67.821076579013621</v>
      </c>
      <c r="AL118" s="20">
        <f t="shared" si="58"/>
        <v>612.8330683751152</v>
      </c>
      <c r="AM118" s="59">
        <f t="shared" si="59"/>
        <v>906.16640170844857</v>
      </c>
      <c r="AN118" s="59">
        <f ca="1">AVERAGE(OFFSET($AM$3,0,0,'Données projet'!$E$10+1,1))-AVERAGE(OFFSET($H$3,0,0,'Données projet'!$E$10+1,1))</f>
        <v>311.44572917773388</v>
      </c>
      <c r="AO118" s="59">
        <f t="shared" si="90"/>
        <v>190.00559730122654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0.32467047879999889</v>
      </c>
      <c r="AW118" s="21">
        <f>EXP(-LN(2)/2)*AW117+(1-EXP(-LN(2)/2))/(LN(2)/2)*AQ118*AT118*VLOOKUP('Données projet'!$B$10,Paramètres!$A$1:$I$89,3,0)*0.475*44/12</f>
        <v>1.0980498484721092E-12</v>
      </c>
      <c r="AX118" s="21">
        <f t="shared" si="60"/>
        <v>0.32467047880109695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0</v>
      </c>
      <c r="BJ118" s="59">
        <f t="shared" si="92"/>
        <v>0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175.9108689482207</v>
      </c>
      <c r="T119" s="59">
        <f t="shared" si="88"/>
        <v>359.8073445551853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0.30397273848378714</v>
      </c>
      <c r="AA119" s="21">
        <f>EXP(-LN(2)/25)*AA118+(1-EXP(-LN(2)/25))/(LN(2)/25)*Calculateur!V119*Calculateur!X119*VLOOKUP('Données projet'!$B$9,Paramètres!$A$1:$I$89,3,0)*0.475*44/12</f>
        <v>0.9943018218122166</v>
      </c>
      <c r="AB119" s="21">
        <f>EXP(-LN(2)/2)*AB118+(1-EXP(-LN(2)/2))/(LN(2)/2)*V119*Y119*VLOOKUP('Données projet'!$B$9,Paramètres!$A$1:$I$89,3,0)*0.475*44/12</f>
        <v>6.6811465636899072E-14</v>
      </c>
      <c r="AC119" s="22">
        <f t="shared" si="57"/>
        <v>1.2982745602960706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287.73887999999994</v>
      </c>
      <c r="AK119" s="13">
        <f t="shared" si="89"/>
        <v>68.599852609676972</v>
      </c>
      <c r="AL119" s="20">
        <f t="shared" si="58"/>
        <v>620.62329262852063</v>
      </c>
      <c r="AM119" s="59">
        <f t="shared" si="59"/>
        <v>913.95662596185389</v>
      </c>
      <c r="AN119" s="59">
        <f ca="1">AVERAGE(OFFSET($AM$3,0,0,'Données projet'!$E$10+1,1))-AVERAGE(OFFSET($H$3,0,0,'Données projet'!$E$10+1,1))</f>
        <v>311.44572917773388</v>
      </c>
      <c r="AO119" s="59">
        <f t="shared" si="90"/>
        <v>190.00559730122654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0.31579234748353446</v>
      </c>
      <c r="AW119" s="21">
        <f>EXP(-LN(2)/2)*AW118+(1-EXP(-LN(2)/2))/(LN(2)/2)*AQ119*AT119*VLOOKUP('Données projet'!$B$10,Paramètres!$A$1:$I$89,3,0)*0.475*44/12</f>
        <v>7.7643849393548941E-13</v>
      </c>
      <c r="AX119" s="21">
        <f t="shared" si="60"/>
        <v>0.3157923474843109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0</v>
      </c>
      <c r="BJ119" s="59">
        <f t="shared" si="92"/>
        <v>0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175.9108689482207</v>
      </c>
      <c r="T120" s="59">
        <f t="shared" si="88"/>
        <v>359.8073445551853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0.29801201848718334</v>
      </c>
      <c r="AA120" s="21">
        <f>EXP(-LN(2)/25)*AA119+(1-EXP(-LN(2)/25))/(LN(2)/25)*Calculateur!V120*Calculateur!X120*VLOOKUP('Données projet'!$B$9,Paramètres!$A$1:$I$89,3,0)*0.475*44/12</f>
        <v>0.96711258620670126</v>
      </c>
      <c r="AB120" s="21">
        <f>EXP(-LN(2)/2)*AB119+(1-EXP(-LN(2)/2))/(LN(2)/2)*V120*Y120*VLOOKUP('Données projet'!$B$9,Paramètres!$A$1:$I$89,3,0)*0.475*44/12</f>
        <v>4.7242840412863332E-14</v>
      </c>
      <c r="AC120" s="22">
        <f t="shared" si="57"/>
        <v>1.265124604693932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291.43295999999992</v>
      </c>
      <c r="AK120" s="13">
        <f t="shared" si="89"/>
        <v>69.377465689223371</v>
      </c>
      <c r="AL120" s="20">
        <f t="shared" si="58"/>
        <v>628.41149140873051</v>
      </c>
      <c r="AM120" s="59">
        <f t="shared" si="59"/>
        <v>921.74482474206388</v>
      </c>
      <c r="AN120" s="59">
        <f ca="1">AVERAGE(OFFSET($AM$3,0,0,'Données projet'!$E$10+1,1))-AVERAGE(OFFSET($H$3,0,0,'Données projet'!$E$10+1,1))</f>
        <v>311.44572917773388</v>
      </c>
      <c r="AO120" s="59">
        <f t="shared" si="90"/>
        <v>190.00559730122654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0.30715698913479939</v>
      </c>
      <c r="AW120" s="21">
        <f>EXP(-LN(2)/2)*AW119+(1-EXP(-LN(2)/2))/(LN(2)/2)*AQ120*AT120*VLOOKUP('Données projet'!$B$10,Paramètres!$A$1:$I$89,3,0)*0.475*44/12</f>
        <v>5.4902492423605461E-13</v>
      </c>
      <c r="AX120" s="21">
        <f t="shared" si="60"/>
        <v>0.30715698913534839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0</v>
      </c>
      <c r="BJ120" s="59">
        <f t="shared" si="92"/>
        <v>0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175.9108689482207</v>
      </c>
      <c r="T121" s="59">
        <f t="shared" si="88"/>
        <v>359.8073445551853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0.29216818457403271</v>
      </c>
      <c r="AA121" s="21">
        <f>EXP(-LN(2)/25)*AA120+(1-EXP(-LN(2)/25))/(LN(2)/25)*Calculateur!V121*Calculateur!X121*VLOOKUP('Données projet'!$B$9,Paramètres!$A$1:$I$89,3,0)*0.475*44/12</f>
        <v>0.94066684167863845</v>
      </c>
      <c r="AB121" s="21">
        <f>EXP(-LN(2)/2)*AB120+(1-EXP(-LN(2)/2))/(LN(2)/2)*V121*Y121*VLOOKUP('Données projet'!$B$9,Paramètres!$A$1:$I$89,3,0)*0.475*44/12</f>
        <v>3.3405732818449536E-14</v>
      </c>
      <c r="AC121" s="22">
        <f t="shared" si="57"/>
        <v>1.2328350262527046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295.12703999999991</v>
      </c>
      <c r="AK121" s="13">
        <f t="shared" si="89"/>
        <v>70.15393226333768</v>
      </c>
      <c r="AL121" s="20">
        <f t="shared" si="58"/>
        <v>636.19769335864635</v>
      </c>
      <c r="AM121" s="59">
        <f t="shared" si="59"/>
        <v>929.5310266919796</v>
      </c>
      <c r="AN121" s="59">
        <f ca="1">AVERAGE(OFFSET($AM$3,0,0,'Données projet'!$E$10+1,1))-AVERAGE(OFFSET($H$3,0,0,'Données projet'!$E$10+1,1))</f>
        <v>311.44572917773388</v>
      </c>
      <c r="AO121" s="59">
        <f t="shared" si="90"/>
        <v>190.00559730122654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0.29875776511422425</v>
      </c>
      <c r="AW121" s="21">
        <f>EXP(-LN(2)/2)*AW120+(1-EXP(-LN(2)/2))/(LN(2)/2)*AQ121*AT121*VLOOKUP('Données projet'!$B$10,Paramètres!$A$1:$I$89,3,0)*0.475*44/12</f>
        <v>3.882192469677447E-13</v>
      </c>
      <c r="AX121" s="21">
        <f t="shared" si="60"/>
        <v>0.29875776511461249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0</v>
      </c>
      <c r="BJ121" s="59">
        <f t="shared" si="92"/>
        <v>0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175.9108689482207</v>
      </c>
      <c r="T122" s="59">
        <f t="shared" si="88"/>
        <v>359.8073445551853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0.28643894467953224</v>
      </c>
      <c r="AA122" s="21">
        <f>EXP(-LN(2)/25)*AA121+(1-EXP(-LN(2)/25))/(LN(2)/25)*Calculateur!V122*Calculateur!X122*VLOOKUP('Données projet'!$B$9,Paramètres!$A$1:$I$89,3,0)*0.475*44/12</f>
        <v>0.91494425742541685</v>
      </c>
      <c r="AB122" s="21">
        <f>EXP(-LN(2)/2)*AB121+(1-EXP(-LN(2)/2))/(LN(2)/2)*V122*Y122*VLOOKUP('Données projet'!$B$9,Paramètres!$A$1:$I$89,3,0)*0.475*44/12</f>
        <v>2.3621420206431666E-14</v>
      </c>
      <c r="AC122" s="22">
        <f t="shared" si="57"/>
        <v>1.2013832021049726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298.82111999999989</v>
      </c>
      <c r="AK122" s="13">
        <f t="shared" si="89"/>
        <v>70.929268342328783</v>
      </c>
      <c r="AL122" s="20">
        <f t="shared" si="58"/>
        <v>643.98192636288911</v>
      </c>
      <c r="AM122" s="59">
        <f t="shared" si="59"/>
        <v>937.31525969622248</v>
      </c>
      <c r="AN122" s="59">
        <f ca="1">AVERAGE(OFFSET($AM$3,0,0,'Données projet'!$E$10+1,1))-AVERAGE(OFFSET($H$3,0,0,'Données projet'!$E$10+1,1))</f>
        <v>311.44572917773388</v>
      </c>
      <c r="AO122" s="59">
        <f t="shared" si="90"/>
        <v>190.00559730122654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0.29058821831618775</v>
      </c>
      <c r="AW122" s="21">
        <f>EXP(-LN(2)/2)*AW121+(1-EXP(-LN(2)/2))/(LN(2)/2)*AQ122*AT122*VLOOKUP('Données projet'!$B$10,Paramètres!$A$1:$I$89,3,0)*0.475*44/12</f>
        <v>2.7451246211802731E-13</v>
      </c>
      <c r="AX122" s="21">
        <f t="shared" si="60"/>
        <v>0.29058821831646225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0</v>
      </c>
      <c r="BJ122" s="59">
        <f t="shared" si="92"/>
        <v>0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175.9108689482207</v>
      </c>
      <c r="T123" s="59">
        <f t="shared" si="88"/>
        <v>359.8073445551853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0.28082205168487162</v>
      </c>
      <c r="AA123" s="21">
        <f>EXP(-LN(2)/25)*AA122+(1-EXP(-LN(2)/25))/(LN(2)/25)*Calculateur!V123*Calculateur!X123*VLOOKUP('Données projet'!$B$9,Paramètres!$A$1:$I$89,3,0)*0.475*44/12</f>
        <v>0.88992505859129145</v>
      </c>
      <c r="AB123" s="21">
        <f>EXP(-LN(2)/2)*AB122+(1-EXP(-LN(2)/2))/(LN(2)/2)*V123*Y123*VLOOKUP('Données projet'!$B$9,Paramètres!$A$1:$I$89,3,0)*0.475*44/12</f>
        <v>1.6702866409224768E-14</v>
      </c>
      <c r="AC123" s="22">
        <f t="shared" si="57"/>
        <v>1.1707471102761797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302.51519999999988</v>
      </c>
      <c r="AK123" s="13">
        <f t="shared" si="89"/>
        <v>71.703489517892194</v>
      </c>
      <c r="AL123" s="20">
        <f t="shared" si="58"/>
        <v>651.76421757699529</v>
      </c>
      <c r="AM123" s="59">
        <f t="shared" si="59"/>
        <v>945.09755091032866</v>
      </c>
      <c r="AN123" s="59">
        <f ca="1">AVERAGE(OFFSET($AM$3,0,0,'Données projet'!$E$10+1,1))-AVERAGE(OFFSET($H$3,0,0,'Données projet'!$E$10+1,1))</f>
        <v>311.44572917773388</v>
      </c>
      <c r="AO123" s="59">
        <f t="shared" si="90"/>
        <v>190.00559730122654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0.28264206820496135</v>
      </c>
      <c r="AW123" s="21">
        <f>EXP(-LN(2)/2)*AW122+(1-EXP(-LN(2)/2))/(LN(2)/2)*AQ123*AT123*VLOOKUP('Données projet'!$B$10,Paramètres!$A$1:$I$89,3,0)*0.475*44/12</f>
        <v>1.9410962348387235E-13</v>
      </c>
      <c r="AX123" s="21">
        <f t="shared" si="60"/>
        <v>0.28264206820515547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0</v>
      </c>
      <c r="BJ123" s="59">
        <f t="shared" si="92"/>
        <v>0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175.9108689482207</v>
      </c>
      <c r="T124" s="59">
        <f t="shared" si="88"/>
        <v>359.8073445551853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0.27531530253586989</v>
      </c>
      <c r="AA124" s="21">
        <f>EXP(-LN(2)/25)*AA123+(1-EXP(-LN(2)/25))/(LN(2)/25)*Calculateur!V124*Calculateur!X124*VLOOKUP('Données projet'!$B$9,Paramètres!$A$1:$I$89,3,0)*0.475*44/12</f>
        <v>0.86559001106498767</v>
      </c>
      <c r="AB124" s="21">
        <f>EXP(-LN(2)/2)*AB123+(1-EXP(-LN(2)/2))/(LN(2)/2)*V124*Y124*VLOOKUP('Données projet'!$B$9,Paramètres!$A$1:$I$89,3,0)*0.475*44/12</f>
        <v>1.1810710103215833E-14</v>
      </c>
      <c r="AC124" s="22">
        <f t="shared" si="57"/>
        <v>1.1409053136008693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-1.1350493878126145E-13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311.44572917773388</v>
      </c>
      <c r="AO124" s="59">
        <f t="shared" si="90"/>
        <v>190.00559730122654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0.27491320598639629</v>
      </c>
      <c r="AW124" s="21">
        <f>EXP(-LN(2)/2)*AW123+(1-EXP(-LN(2)/2))/(LN(2)/2)*AQ124*AT124*VLOOKUP('Données projet'!$B$10,Paramètres!$A$1:$I$89,3,0)*0.475*44/12</f>
        <v>1.3725623105901365E-13</v>
      </c>
      <c r="AX124" s="21">
        <f t="shared" si="60"/>
        <v>0.27491320598653357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0</v>
      </c>
      <c r="BJ124" s="59">
        <f t="shared" si="92"/>
        <v>0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175.9108689482207</v>
      </c>
      <c r="T125" s="59">
        <f t="shared" si="88"/>
        <v>359.8073445551853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0.26991653737889476</v>
      </c>
      <c r="AA125" s="21">
        <f>EXP(-LN(2)/25)*AA124+(1-EXP(-LN(2)/25))/(LN(2)/25)*Calculateur!V125*Calculateur!X125*VLOOKUP('Données projet'!$B$9,Paramètres!$A$1:$I$89,3,0)*0.475*44/12</f>
        <v>0.84192040669301527</v>
      </c>
      <c r="AB125" s="21">
        <f>EXP(-LN(2)/2)*AB124+(1-EXP(-LN(2)/2))/(LN(2)/2)*V125*Y125*VLOOKUP('Données projet'!$B$9,Paramètres!$A$1:$I$89,3,0)*0.475*44/12</f>
        <v>8.351433204612384E-15</v>
      </c>
      <c r="AC125" s="22">
        <f t="shared" si="57"/>
        <v>1.1118369440719185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-1.1350493878126145E-13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311.44572917773388</v>
      </c>
      <c r="AO125" s="59">
        <f t="shared" si="90"/>
        <v>190.00559730122654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0.26739568991164109</v>
      </c>
      <c r="AW125" s="21">
        <f>EXP(-LN(2)/2)*AW124+(1-EXP(-LN(2)/2))/(LN(2)/2)*AQ125*AT125*VLOOKUP('Données projet'!$B$10,Paramètres!$A$1:$I$89,3,0)*0.475*44/12</f>
        <v>9.7054811741936176E-14</v>
      </c>
      <c r="AX125" s="21">
        <f t="shared" si="60"/>
        <v>0.26739568991173812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0</v>
      </c>
      <c r="BJ125" s="59">
        <f t="shared" si="92"/>
        <v>0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175.9108689482207</v>
      </c>
      <c r="T126" s="59">
        <f t="shared" si="88"/>
        <v>359.8073445551853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0.26462363871372629</v>
      </c>
      <c r="AA126" s="21">
        <f>EXP(-LN(2)/25)*AA125+(1-EXP(-LN(2)/25))/(LN(2)/25)*Calculateur!V126*Calculateur!X126*VLOOKUP('Données projet'!$B$9,Paramètres!$A$1:$I$89,3,0)*0.475*44/12</f>
        <v>0.81889804889732476</v>
      </c>
      <c r="AB126" s="21">
        <f>EXP(-LN(2)/2)*AB125+(1-EXP(-LN(2)/2))/(LN(2)/2)*V126*Y126*VLOOKUP('Données projet'!$B$9,Paramètres!$A$1:$I$89,3,0)*0.475*44/12</f>
        <v>5.9053550516079165E-15</v>
      </c>
      <c r="AC126" s="22">
        <f t="shared" si="57"/>
        <v>1.0835216876110569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-1.1350493878126145E-13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311.44572917773388</v>
      </c>
      <c r="AO126" s="59">
        <f t="shared" si="90"/>
        <v>190.00559730122654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0.26008374070927909</v>
      </c>
      <c r="AW126" s="21">
        <f>EXP(-LN(2)/2)*AW125+(1-EXP(-LN(2)/2))/(LN(2)/2)*AQ126*AT126*VLOOKUP('Données projet'!$B$10,Paramètres!$A$1:$I$89,3,0)*0.475*44/12</f>
        <v>6.8628115529506826E-14</v>
      </c>
      <c r="AX126" s="21">
        <f t="shared" si="60"/>
        <v>0.2600837407093477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0</v>
      </c>
      <c r="BJ126" s="59">
        <f t="shared" si="92"/>
        <v>0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175.9108689482207</v>
      </c>
      <c r="T127" s="59">
        <f t="shared" si="88"/>
        <v>359.8073445551853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0.2594345305630324</v>
      </c>
      <c r="AA127" s="21">
        <f>EXP(-LN(2)/25)*AA126+(1-EXP(-LN(2)/25))/(LN(2)/25)*Calculateur!V127*Calculateur!X127*VLOOKUP('Données projet'!$B$9,Paramètres!$A$1:$I$89,3,0)*0.475*44/12</f>
        <v>0.79650523868625067</v>
      </c>
      <c r="AB127" s="21">
        <f>EXP(-LN(2)/2)*AB126+(1-EXP(-LN(2)/2))/(LN(2)/2)*V127*Y127*VLOOKUP('Données projet'!$B$9,Paramètres!$A$1:$I$89,3,0)*0.475*44/12</f>
        <v>4.175716602306192E-15</v>
      </c>
      <c r="AC127" s="22">
        <f t="shared" si="57"/>
        <v>1.0559397692492873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-1.1350493878126145E-13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311.44572917773388</v>
      </c>
      <c r="AO127" s="59">
        <f t="shared" si="90"/>
        <v>190.00559730122654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0.25297173714237436</v>
      </c>
      <c r="AW127" s="21">
        <f>EXP(-LN(2)/2)*AW126+(1-EXP(-LN(2)/2))/(LN(2)/2)*AQ127*AT127*VLOOKUP('Données projet'!$B$10,Paramètres!$A$1:$I$89,3,0)*0.475*44/12</f>
        <v>4.8527405870968088E-14</v>
      </c>
      <c r="AX127" s="21">
        <f t="shared" si="60"/>
        <v>0.25297173714242288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0</v>
      </c>
      <c r="BJ127" s="59">
        <f t="shared" si="92"/>
        <v>0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175.9108689482207</v>
      </c>
      <c r="T128" s="59">
        <f t="shared" si="88"/>
        <v>359.8073445551853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0.25434717765813014</v>
      </c>
      <c r="AA128" s="21">
        <f>EXP(-LN(2)/25)*AA127+(1-EXP(-LN(2)/25))/(LN(2)/25)*Calculateur!V128*Calculateur!X128*VLOOKUP('Données projet'!$B$9,Paramètres!$A$1:$I$89,3,0)*0.475*44/12</f>
        <v>0.77472476104798504</v>
      </c>
      <c r="AB128" s="21">
        <f>EXP(-LN(2)/2)*AB127+(1-EXP(-LN(2)/2))/(LN(2)/2)*V128*Y128*VLOOKUP('Données projet'!$B$9,Paramètres!$A$1:$I$89,3,0)*0.475*44/12</f>
        <v>2.9526775258039583E-15</v>
      </c>
      <c r="AC128" s="22">
        <f t="shared" si="57"/>
        <v>1.029071938706118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-1.1350493878126145E-13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311.44572917773388</v>
      </c>
      <c r="AO128" s="59">
        <f t="shared" si="90"/>
        <v>190.00559730122654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0.24605421168701067</v>
      </c>
      <c r="AW128" s="21">
        <f>EXP(-LN(2)/2)*AW127+(1-EXP(-LN(2)/2))/(LN(2)/2)*AQ128*AT128*VLOOKUP('Données projet'!$B$10,Paramètres!$A$1:$I$89,3,0)*0.475*44/12</f>
        <v>3.4314057764753413E-14</v>
      </c>
      <c r="AX128" s="21">
        <f t="shared" si="60"/>
        <v>0.24605421168704497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0</v>
      </c>
      <c r="BJ128" s="59">
        <f t="shared" si="92"/>
        <v>0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175.9108689482207</v>
      </c>
      <c r="T129" s="59">
        <f t="shared" si="88"/>
        <v>359.8073445551853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0.24935958464071412</v>
      </c>
      <c r="AA129" s="21">
        <f>EXP(-LN(2)/25)*AA128+(1-EXP(-LN(2)/25))/(LN(2)/25)*Calculateur!V129*Calculateur!X129*VLOOKUP('Données projet'!$B$9,Paramètres!$A$1:$I$89,3,0)*0.475*44/12</f>
        <v>0.75353987171612336</v>
      </c>
      <c r="AB129" s="21">
        <f>EXP(-LN(2)/2)*AB128+(1-EXP(-LN(2)/2))/(LN(2)/2)*V129*Y129*VLOOKUP('Données projet'!$B$9,Paramètres!$A$1:$I$89,3,0)*0.475*44/12</f>
        <v>2.087858301153096E-15</v>
      </c>
      <c r="AC129" s="22">
        <f t="shared" si="57"/>
        <v>1.0028994563568394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-1.1350493878126145E-13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311.44572917773388</v>
      </c>
      <c r="AO129" s="59">
        <f t="shared" si="90"/>
        <v>190.00559730122654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0.23932584632900072</v>
      </c>
      <c r="AW129" s="21">
        <f>EXP(-LN(2)/2)*AW128+(1-EXP(-LN(2)/2))/(LN(2)/2)*AQ129*AT129*VLOOKUP('Données projet'!$B$10,Paramètres!$A$1:$I$89,3,0)*0.475*44/12</f>
        <v>2.4263702935484044E-14</v>
      </c>
      <c r="AX129" s="21">
        <f t="shared" si="60"/>
        <v>0.23932584632902498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0</v>
      </c>
      <c r="BJ129" s="59">
        <f t="shared" si="92"/>
        <v>0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175.9108689482207</v>
      </c>
      <c r="T130" s="59">
        <f t="shared" si="88"/>
        <v>359.8073445551853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0.24446979528023827</v>
      </c>
      <c r="AA130" s="21">
        <f>EXP(-LN(2)/25)*AA129+(1-EXP(-LN(2)/25))/(LN(2)/25)*Calculateur!V130*Calculateur!X130*VLOOKUP('Données projet'!$B$9,Paramètres!$A$1:$I$89,3,0)*0.475*44/12</f>
        <v>0.73293428429710639</v>
      </c>
      <c r="AB130" s="21">
        <f>EXP(-LN(2)/2)*AB129+(1-EXP(-LN(2)/2))/(LN(2)/2)*V130*Y130*VLOOKUP('Données projet'!$B$9,Paramètres!$A$1:$I$89,3,0)*0.475*44/12</f>
        <v>1.4763387629019791E-15</v>
      </c>
      <c r="AC130" s="22">
        <f t="shared" si="57"/>
        <v>0.9774040795773461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-1.1350493878126145E-13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311.44572917773388</v>
      </c>
      <c r="AO130" s="59">
        <f t="shared" si="90"/>
        <v>190.00559730122654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0.23278146847553494</v>
      </c>
      <c r="AW130" s="21">
        <f>EXP(-LN(2)/2)*AW129+(1-EXP(-LN(2)/2))/(LN(2)/2)*AQ130*AT130*VLOOKUP('Données projet'!$B$10,Paramètres!$A$1:$I$89,3,0)*0.475*44/12</f>
        <v>1.7157028882376707E-14</v>
      </c>
      <c r="AX130" s="21">
        <f t="shared" si="60"/>
        <v>0.23278146847555209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0</v>
      </c>
      <c r="BJ130" s="59">
        <f t="shared" si="92"/>
        <v>0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175.9108689482207</v>
      </c>
      <c r="T131" s="59">
        <f t="shared" si="88"/>
        <v>359.8073445551853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0.23967589170664436</v>
      </c>
      <c r="AA131" s="21">
        <f>EXP(-LN(2)/25)*AA130+(1-EXP(-LN(2)/25))/(LN(2)/25)*Calculateur!V131*Calculateur!X131*VLOOKUP('Données projet'!$B$9,Paramètres!$A$1:$I$89,3,0)*0.475*44/12</f>
        <v>0.71289215774966319</v>
      </c>
      <c r="AB131" s="21">
        <f>EXP(-LN(2)/2)*AB130+(1-EXP(-LN(2)/2))/(LN(2)/2)*V131*Y131*VLOOKUP('Données projet'!$B$9,Paramètres!$A$1:$I$89,3,0)*0.475*44/12</f>
        <v>1.043929150576548E-15</v>
      </c>
      <c r="AC131" s="22">
        <f t="shared" si="57"/>
        <v>0.95256804945630857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-1.1350493878126145E-13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311.44572917773388</v>
      </c>
      <c r="AO131" s="59">
        <f t="shared" si="90"/>
        <v>190.00559730122654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0.22641604697862602</v>
      </c>
      <c r="AW131" s="21">
        <f>EXP(-LN(2)/2)*AW130+(1-EXP(-LN(2)/2))/(LN(2)/2)*AQ131*AT131*VLOOKUP('Données projet'!$B$10,Paramètres!$A$1:$I$89,3,0)*0.475*44/12</f>
        <v>1.2131851467742022E-14</v>
      </c>
      <c r="AX131" s="21">
        <f t="shared" si="60"/>
        <v>0.22641604697863815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0</v>
      </c>
      <c r="BJ131" s="59">
        <f t="shared" si="92"/>
        <v>0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175.9108689482207</v>
      </c>
      <c r="T132" s="59">
        <f t="shared" si="88"/>
        <v>359.8073445551853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0.23497599365813615</v>
      </c>
      <c r="AA132" s="21">
        <f>EXP(-LN(2)/25)*AA131+(1-EXP(-LN(2)/25))/(LN(2)/25)*Calculateur!V132*Calculateur!X132*VLOOKUP('Données projet'!$B$9,Paramètres!$A$1:$I$89,3,0)*0.475*44/12</f>
        <v>0.69339808420662941</v>
      </c>
      <c r="AB132" s="21">
        <f>EXP(-LN(2)/2)*AB131+(1-EXP(-LN(2)/2))/(LN(2)/2)*V132*Y132*VLOOKUP('Données projet'!$B$9,Paramètres!$A$1:$I$89,3,0)*0.475*44/12</f>
        <v>7.3816938145098957E-16</v>
      </c>
      <c r="AC132" s="22">
        <f t="shared" ref="AC132:AC153" si="111">SUM(Z132:AB132)</f>
        <v>0.92837407786476633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-1.1350493878126145E-13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311.44572917773388</v>
      </c>
      <c r="AO132" s="59">
        <f t="shared" si="90"/>
        <v>190.00559730122654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0.22022468826729308</v>
      </c>
      <c r="AW132" s="21">
        <f>EXP(-LN(2)/2)*AW131+(1-EXP(-LN(2)/2))/(LN(2)/2)*AQ132*AT132*VLOOKUP('Données projet'!$B$10,Paramètres!$A$1:$I$89,3,0)*0.475*44/12</f>
        <v>8.5785144411883533E-15</v>
      </c>
      <c r="AX132" s="21">
        <f t="shared" ref="AX132:AX153" si="114">SUM(AU132:AW132)</f>
        <v>0.22022468826730165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0</v>
      </c>
      <c r="BJ132" s="59">
        <f t="shared" si="92"/>
        <v>0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175.9108689482207</v>
      </c>
      <c r="T133" s="59">
        <f t="shared" ref="T133:T196" si="142">$T$3</f>
        <v>359.8073445551853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0.23036825774370445</v>
      </c>
      <c r="AA133" s="21">
        <f>EXP(-LN(2)/25)*AA132+(1-EXP(-LN(2)/25))/(LN(2)/25)*Calculateur!V133*Calculateur!X133*VLOOKUP('Données projet'!$B$9,Paramètres!$A$1:$I$89,3,0)*0.475*44/12</f>
        <v>0.67443707712977863</v>
      </c>
      <c r="AB133" s="21">
        <f>EXP(-LN(2)/2)*AB132+(1-EXP(-LN(2)/2))/(LN(2)/2)*V133*Y133*VLOOKUP('Données projet'!$B$9,Paramètres!$A$1:$I$89,3,0)*0.475*44/12</f>
        <v>5.21964575288274E-16</v>
      </c>
      <c r="AC133" s="22">
        <f t="shared" si="111"/>
        <v>0.90480533487348358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-1.1350493878126145E-13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311.44572917773388</v>
      </c>
      <c r="AO133" s="59">
        <f t="shared" ref="AO133:AO196" si="144">$AO$3</f>
        <v>190.00559730122654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0.21420263258551092</v>
      </c>
      <c r="AW133" s="21">
        <f>EXP(-LN(2)/2)*AW132+(1-EXP(-LN(2)/2))/(LN(2)/2)*AQ133*AT133*VLOOKUP('Données projet'!$B$10,Paramètres!$A$1:$I$89,3,0)*0.475*44/12</f>
        <v>6.065925733871011E-15</v>
      </c>
      <c r="AX133" s="21">
        <f t="shared" si="114"/>
        <v>0.214202632585517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0</v>
      </c>
      <c r="BJ133" s="59">
        <f t="shared" ref="BJ133:BJ196" si="146">$BJ$3</f>
        <v>0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175.9108689482207</v>
      </c>
      <c r="T134" s="59">
        <f t="shared" si="142"/>
        <v>359.8073445551853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0.22585087672011334</v>
      </c>
      <c r="AA134" s="21">
        <f>EXP(-LN(2)/25)*AA133+(1-EXP(-LN(2)/25))/(LN(2)/25)*Calculateur!V134*Calculateur!X134*VLOOKUP('Données projet'!$B$9,Paramètres!$A$1:$I$89,3,0)*0.475*44/12</f>
        <v>0.65599455978856036</v>
      </c>
      <c r="AB134" s="21">
        <f>EXP(-LN(2)/2)*AB133+(1-EXP(-LN(2)/2))/(LN(2)/2)*V134*Y134*VLOOKUP('Données projet'!$B$9,Paramètres!$A$1:$I$89,3,0)*0.475*44/12</f>
        <v>3.6908469072549478E-16</v>
      </c>
      <c r="AC134" s="22">
        <f t="shared" si="111"/>
        <v>0.88184543650867397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-1.1350493878126145E-13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311.44572917773388</v>
      </c>
      <c r="AO134" s="59">
        <f t="shared" si="144"/>
        <v>190.00559730122654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0.20834525033303325</v>
      </c>
      <c r="AW134" s="21">
        <f>EXP(-LN(2)/2)*AW133+(1-EXP(-LN(2)/2))/(LN(2)/2)*AQ134*AT134*VLOOKUP('Données projet'!$B$10,Paramètres!$A$1:$I$89,3,0)*0.475*44/12</f>
        <v>4.2892572205941767E-15</v>
      </c>
      <c r="AX134" s="21">
        <f t="shared" si="114"/>
        <v>0.20834525033303755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0</v>
      </c>
      <c r="BJ134" s="59">
        <f t="shared" si="146"/>
        <v>0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175.9108689482207</v>
      </c>
      <c r="T135" s="59">
        <f t="shared" si="142"/>
        <v>359.8073445551853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0.2214220787830645</v>
      </c>
      <c r="AA135" s="21">
        <f>EXP(-LN(2)/25)*AA134+(1-EXP(-LN(2)/25))/(LN(2)/25)*Calculateur!V135*Calculateur!X135*VLOOKUP('Données projet'!$B$9,Paramètres!$A$1:$I$89,3,0)*0.475*44/12</f>
        <v>0.63805635405388761</v>
      </c>
      <c r="AB135" s="21">
        <f>EXP(-LN(2)/2)*AB134+(1-EXP(-LN(2)/2))/(LN(2)/2)*V135*Y135*VLOOKUP('Données projet'!$B$9,Paramètres!$A$1:$I$89,3,0)*0.475*44/12</f>
        <v>2.60982287644137E-16</v>
      </c>
      <c r="AC135" s="22">
        <f t="shared" si="111"/>
        <v>0.85947843283695236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-1.1350493878126145E-13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311.44572917773388</v>
      </c>
      <c r="AO135" s="59">
        <f t="shared" si="144"/>
        <v>190.00559730122654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0.20264803850627591</v>
      </c>
      <c r="AW135" s="21">
        <f>EXP(-LN(2)/2)*AW134+(1-EXP(-LN(2)/2))/(LN(2)/2)*AQ135*AT135*VLOOKUP('Données projet'!$B$10,Paramètres!$A$1:$I$89,3,0)*0.475*44/12</f>
        <v>3.0329628669355055E-15</v>
      </c>
      <c r="AX135" s="21">
        <f t="shared" si="114"/>
        <v>0.20264803850627894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0</v>
      </c>
      <c r="BJ135" s="59">
        <f t="shared" si="146"/>
        <v>0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175.9108689482207</v>
      </c>
      <c r="T136" s="59">
        <f t="shared" si="142"/>
        <v>359.8073445551853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0.21708012687226116</v>
      </c>
      <c r="AA136" s="21">
        <f>EXP(-LN(2)/25)*AA135+(1-EXP(-LN(2)/25))/(LN(2)/25)*Calculateur!V136*Calculateur!X136*VLOOKUP('Données projet'!$B$9,Paramètres!$A$1:$I$89,3,0)*0.475*44/12</f>
        <v>0.62060866949835869</v>
      </c>
      <c r="AB136" s="21">
        <f>EXP(-LN(2)/2)*AB135+(1-EXP(-LN(2)/2))/(LN(2)/2)*V136*Y136*VLOOKUP('Données projet'!$B$9,Paramètres!$A$1:$I$89,3,0)*0.475*44/12</f>
        <v>1.8454234536274739E-16</v>
      </c>
      <c r="AC136" s="22">
        <f t="shared" si="111"/>
        <v>0.8376887963706201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-1.1350493878126145E-13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311.44572917773388</v>
      </c>
      <c r="AO136" s="59">
        <f t="shared" si="144"/>
        <v>190.00559730122654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0.19710661723652462</v>
      </c>
      <c r="AW136" s="21">
        <f>EXP(-LN(2)/2)*AW135+(1-EXP(-LN(2)/2))/(LN(2)/2)*AQ136*AT136*VLOOKUP('Données projet'!$B$10,Paramètres!$A$1:$I$89,3,0)*0.475*44/12</f>
        <v>2.1446286102970883E-15</v>
      </c>
      <c r="AX136" s="21">
        <f t="shared" si="114"/>
        <v>0.19710661723652675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0</v>
      </c>
      <c r="BJ136" s="59">
        <f t="shared" si="146"/>
        <v>0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175.9108689482207</v>
      </c>
      <c r="T137" s="59">
        <f t="shared" si="142"/>
        <v>359.8073445551853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0.21282331799009951</v>
      </c>
      <c r="AA137" s="21">
        <f>EXP(-LN(2)/25)*AA136+(1-EXP(-LN(2)/25))/(LN(2)/25)*Calculateur!V137*Calculateur!X137*VLOOKUP('Données projet'!$B$9,Paramètres!$A$1:$I$89,3,0)*0.475*44/12</f>
        <v>0.60363809279453451</v>
      </c>
      <c r="AB137" s="21">
        <f>EXP(-LN(2)/2)*AB136+(1-EXP(-LN(2)/2))/(LN(2)/2)*V137*Y137*VLOOKUP('Données projet'!$B$9,Paramètres!$A$1:$I$89,3,0)*0.475*44/12</f>
        <v>1.304911438220685E-16</v>
      </c>
      <c r="AC137" s="22">
        <f t="shared" si="111"/>
        <v>0.81646141078463408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-1.1350493878126145E-13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311.44572917773388</v>
      </c>
      <c r="AO137" s="59">
        <f t="shared" si="144"/>
        <v>190.00559730122654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0.19171672642280535</v>
      </c>
      <c r="AW137" s="21">
        <f>EXP(-LN(2)/2)*AW136+(1-EXP(-LN(2)/2))/(LN(2)/2)*AQ137*AT137*VLOOKUP('Données projet'!$B$10,Paramètres!$A$1:$I$89,3,0)*0.475*44/12</f>
        <v>1.5164814334677527E-15</v>
      </c>
      <c r="AX137" s="21">
        <f t="shared" si="114"/>
        <v>0.19171672642280688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0</v>
      </c>
      <c r="BJ137" s="59">
        <f t="shared" si="146"/>
        <v>0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175.9108689482207</v>
      </c>
      <c r="T138" s="59">
        <f t="shared" si="142"/>
        <v>359.8073445551853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0.20864998253372002</v>
      </c>
      <c r="AA138" s="21">
        <f>EXP(-LN(2)/25)*AA137+(1-EXP(-LN(2)/25))/(LN(2)/25)*Calculateur!V138*Calculateur!X138*VLOOKUP('Données projet'!$B$9,Paramètres!$A$1:$I$89,3,0)*0.475*44/12</f>
        <v>0.58713157740312027</v>
      </c>
      <c r="AB138" s="21">
        <f>EXP(-LN(2)/2)*AB137+(1-EXP(-LN(2)/2))/(LN(2)/2)*V138*Y138*VLOOKUP('Données projet'!$B$9,Paramètres!$A$1:$I$89,3,0)*0.475*44/12</f>
        <v>9.2271172681373696E-17</v>
      </c>
      <c r="AC138" s="22">
        <f t="shared" si="111"/>
        <v>0.79578155993684041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-1.1350493878126145E-13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311.44572917773388</v>
      </c>
      <c r="AO138" s="59">
        <f t="shared" si="144"/>
        <v>190.00559730122654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0.18647422245682926</v>
      </c>
      <c r="AW138" s="21">
        <f>EXP(-LN(2)/2)*AW137+(1-EXP(-LN(2)/2))/(LN(2)/2)*AQ138*AT138*VLOOKUP('Données projet'!$B$10,Paramètres!$A$1:$I$89,3,0)*0.475*44/12</f>
        <v>1.0723143051485442E-15</v>
      </c>
      <c r="AX138" s="21">
        <f t="shared" si="114"/>
        <v>0.18647422245683035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0</v>
      </c>
      <c r="BJ138" s="59">
        <f t="shared" si="146"/>
        <v>0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175.9108689482207</v>
      </c>
      <c r="T139" s="59">
        <f t="shared" si="142"/>
        <v>359.8073445551853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0.20455848364015686</v>
      </c>
      <c r="AA139" s="21">
        <f>EXP(-LN(2)/25)*AA138+(1-EXP(-LN(2)/25))/(LN(2)/25)*Calculateur!V139*Calculateur!X139*VLOOKUP('Données projet'!$B$9,Paramètres!$A$1:$I$89,3,0)*0.475*44/12</f>
        <v>0.57107643354312421</v>
      </c>
      <c r="AB139" s="21">
        <f>EXP(-LN(2)/2)*AB138+(1-EXP(-LN(2)/2))/(LN(2)/2)*V139*Y139*VLOOKUP('Données projet'!$B$9,Paramètres!$A$1:$I$89,3,0)*0.475*44/12</f>
        <v>6.524557191103425E-17</v>
      </c>
      <c r="AC139" s="22">
        <f t="shared" si="111"/>
        <v>0.77563491718328115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-1.1350493878126145E-13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311.44572917773388</v>
      </c>
      <c r="AO139" s="59">
        <f t="shared" si="144"/>
        <v>190.00559730122654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0.18137507503749409</v>
      </c>
      <c r="AW139" s="21">
        <f>EXP(-LN(2)/2)*AW138+(1-EXP(-LN(2)/2))/(LN(2)/2)*AQ139*AT139*VLOOKUP('Données projet'!$B$10,Paramètres!$A$1:$I$89,3,0)*0.475*44/12</f>
        <v>7.5824071673387637E-16</v>
      </c>
      <c r="AX139" s="21">
        <f t="shared" si="114"/>
        <v>0.18137507503749484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0</v>
      </c>
      <c r="BJ139" s="59">
        <f t="shared" si="146"/>
        <v>0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175.9108689482207</v>
      </c>
      <c r="T140" s="59">
        <f t="shared" si="142"/>
        <v>359.8073445551853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0.20054721654432855</v>
      </c>
      <c r="AA140" s="21">
        <f>EXP(-LN(2)/25)*AA139+(1-EXP(-LN(2)/25))/(LN(2)/25)*Calculateur!V140*Calculateur!X140*VLOOKUP('Données projet'!$B$9,Paramètres!$A$1:$I$89,3,0)*0.475*44/12</f>
        <v>0.55546031843628307</v>
      </c>
      <c r="AB140" s="21">
        <f>EXP(-LN(2)/2)*AB139+(1-EXP(-LN(2)/2))/(LN(2)/2)*V140*Y140*VLOOKUP('Données projet'!$B$9,Paramètres!$A$1:$I$89,3,0)*0.475*44/12</f>
        <v>4.6135586340686848E-17</v>
      </c>
      <c r="AC140" s="22">
        <f t="shared" si="111"/>
        <v>0.75600753498061168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-1.1350493878126145E-13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311.44572917773388</v>
      </c>
      <c r="AO140" s="59">
        <f t="shared" si="144"/>
        <v>190.00559730122654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0.17641536407249314</v>
      </c>
      <c r="AW140" s="21">
        <f>EXP(-LN(2)/2)*AW139+(1-EXP(-LN(2)/2))/(LN(2)/2)*AQ140*AT140*VLOOKUP('Données projet'!$B$10,Paramètres!$A$1:$I$89,3,0)*0.475*44/12</f>
        <v>5.3615715257427208E-16</v>
      </c>
      <c r="AX140" s="21">
        <f t="shared" si="114"/>
        <v>0.17641536407249367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0</v>
      </c>
      <c r="BJ140" s="59">
        <f t="shared" si="146"/>
        <v>0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175.9108689482207</v>
      </c>
      <c r="T141" s="59">
        <f t="shared" si="142"/>
        <v>359.8073445551853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0.1966146079496181</v>
      </c>
      <c r="AA141" s="21">
        <f>EXP(-LN(2)/25)*AA140+(1-EXP(-LN(2)/25))/(LN(2)/25)*Calculateur!V141*Calculateur!X141*VLOOKUP('Données projet'!$B$9,Paramètres!$A$1:$I$89,3,0)*0.475*44/12</f>
        <v>0.54027122681825424</v>
      </c>
      <c r="AB141" s="21">
        <f>EXP(-LN(2)/2)*AB140+(1-EXP(-LN(2)/2))/(LN(2)/2)*V141*Y141*VLOOKUP('Données projet'!$B$9,Paramètres!$A$1:$I$89,3,0)*0.475*44/12</f>
        <v>3.2622785955517125E-17</v>
      </c>
      <c r="AC141" s="22">
        <f t="shared" si="111"/>
        <v>0.73688583476787239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-1.1350493878126145E-13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311.44572917773388</v>
      </c>
      <c r="AO141" s="59">
        <f t="shared" si="144"/>
        <v>190.00559730122654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0.17159127666465002</v>
      </c>
      <c r="AW141" s="21">
        <f>EXP(-LN(2)/2)*AW140+(1-EXP(-LN(2)/2))/(LN(2)/2)*AQ141*AT141*VLOOKUP('Données projet'!$B$10,Paramètres!$A$1:$I$89,3,0)*0.475*44/12</f>
        <v>3.7912035836693819E-16</v>
      </c>
      <c r="AX141" s="21">
        <f t="shared" si="114"/>
        <v>0.17159127666465041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0</v>
      </c>
      <c r="BJ141" s="59">
        <f t="shared" si="146"/>
        <v>0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175.9108689482207</v>
      </c>
      <c r="T142" s="59">
        <f t="shared" si="142"/>
        <v>359.8073445551853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0.19275911541079552</v>
      </c>
      <c r="AA142" s="21">
        <f>EXP(-LN(2)/25)*AA141+(1-EXP(-LN(2)/25))/(LN(2)/25)*Calculateur!V142*Calculateur!X142*VLOOKUP('Données projet'!$B$9,Paramètres!$A$1:$I$89,3,0)*0.475*44/12</f>
        <v>0.52549748170928001</v>
      </c>
      <c r="AB142" s="21">
        <f>EXP(-LN(2)/2)*AB141+(1-EXP(-LN(2)/2))/(LN(2)/2)*V142*Y142*VLOOKUP('Données projet'!$B$9,Paramètres!$A$1:$I$89,3,0)*0.475*44/12</f>
        <v>2.3067793170343424E-17</v>
      </c>
      <c r="AC142" s="22">
        <f t="shared" si="111"/>
        <v>0.7182565971200755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-1.1350493878126145E-13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311.44572917773388</v>
      </c>
      <c r="AO142" s="59">
        <f t="shared" si="144"/>
        <v>190.00559730122654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0.16689910418066209</v>
      </c>
      <c r="AW142" s="21">
        <f>EXP(-LN(2)/2)*AW141+(1-EXP(-LN(2)/2))/(LN(2)/2)*AQ142*AT142*VLOOKUP('Données projet'!$B$10,Paramètres!$A$1:$I$89,3,0)*0.475*44/12</f>
        <v>2.6807857628713604E-16</v>
      </c>
      <c r="AX142" s="21">
        <f t="shared" si="114"/>
        <v>0.16689910418066237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0</v>
      </c>
      <c r="BJ142" s="59">
        <f t="shared" si="146"/>
        <v>0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175.9108689482207</v>
      </c>
      <c r="T143" s="59">
        <f t="shared" si="142"/>
        <v>359.8073445551853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0.18897922672904099</v>
      </c>
      <c r="AA143" s="21">
        <f>EXP(-LN(2)/25)*AA142+(1-EXP(-LN(2)/25))/(LN(2)/25)*Calculateur!V143*Calculateur!X143*VLOOKUP('Données projet'!$B$9,Paramètres!$A$1:$I$89,3,0)*0.475*44/12</f>
        <v>0.51112772543722818</v>
      </c>
      <c r="AB143" s="21">
        <f>EXP(-LN(2)/2)*AB142+(1-EXP(-LN(2)/2))/(LN(2)/2)*V143*Y143*VLOOKUP('Données projet'!$B$9,Paramètres!$A$1:$I$89,3,0)*0.475*44/12</f>
        <v>1.6311392977758563E-17</v>
      </c>
      <c r="AC143" s="22">
        <f t="shared" si="111"/>
        <v>0.70010695216626917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-1.1350493878126145E-13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311.44572917773388</v>
      </c>
      <c r="AO143" s="59">
        <f t="shared" si="144"/>
        <v>190.00559730122654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0.16233523939999944</v>
      </c>
      <c r="AW143" s="21">
        <f>EXP(-LN(2)/2)*AW142+(1-EXP(-LN(2)/2))/(LN(2)/2)*AQ143*AT143*VLOOKUP('Données projet'!$B$10,Paramètres!$A$1:$I$89,3,0)*0.475*44/12</f>
        <v>1.8956017918346909E-16</v>
      </c>
      <c r="AX143" s="21">
        <f t="shared" si="114"/>
        <v>0.16233523939999964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0</v>
      </c>
      <c r="BJ143" s="59">
        <f t="shared" si="146"/>
        <v>0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175.9108689482207</v>
      </c>
      <c r="T144" s="59">
        <f t="shared" si="142"/>
        <v>359.8073445551853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0.18527345935883124</v>
      </c>
      <c r="AA144" s="21">
        <f>EXP(-LN(2)/25)*AA143+(1-EXP(-LN(2)/25))/(LN(2)/25)*Calculateur!V144*Calculateur!X144*VLOOKUP('Données projet'!$B$9,Paramètres!$A$1:$I$89,3,0)*0.475*44/12</f>
        <v>0.4971509109061083</v>
      </c>
      <c r="AB144" s="21">
        <f>EXP(-LN(2)/2)*AB143+(1-EXP(-LN(2)/2))/(LN(2)/2)*V144*Y144*VLOOKUP('Données projet'!$B$9,Paramètres!$A$1:$I$89,3,0)*0.475*44/12</f>
        <v>1.1533896585171712E-17</v>
      </c>
      <c r="AC144" s="22">
        <f t="shared" si="111"/>
        <v>0.68242437026493952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-1.1350493878126145E-13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311.44572917773388</v>
      </c>
      <c r="AO144" s="59">
        <f t="shared" si="144"/>
        <v>190.00559730122654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0.15789617374176723</v>
      </c>
      <c r="AW144" s="21">
        <f>EXP(-LN(2)/2)*AW143+(1-EXP(-LN(2)/2))/(LN(2)/2)*AQ144*AT144*VLOOKUP('Données projet'!$B$10,Paramètres!$A$1:$I$89,3,0)*0.475*44/12</f>
        <v>1.3403928814356802E-16</v>
      </c>
      <c r="AX144" s="21">
        <f t="shared" si="114"/>
        <v>0.15789617374176737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0</v>
      </c>
      <c r="BJ144" s="59">
        <f t="shared" si="146"/>
        <v>0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175.9108689482207</v>
      </c>
      <c r="T145" s="59">
        <f t="shared" si="142"/>
        <v>359.8073445551853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0.1816403598264564</v>
      </c>
      <c r="AA145" s="21">
        <f>EXP(-LN(2)/25)*AA144+(1-EXP(-LN(2)/25))/(LN(2)/25)*Calculateur!V145*Calculateur!X145*VLOOKUP('Données projet'!$B$9,Paramètres!$A$1:$I$89,3,0)*0.475*44/12</f>
        <v>0.48355629310335063</v>
      </c>
      <c r="AB145" s="21">
        <f>EXP(-LN(2)/2)*AB144+(1-EXP(-LN(2)/2))/(LN(2)/2)*V145*Y145*VLOOKUP('Données projet'!$B$9,Paramètres!$A$1:$I$89,3,0)*0.475*44/12</f>
        <v>8.1556964888792813E-18</v>
      </c>
      <c r="AC145" s="22">
        <f t="shared" si="111"/>
        <v>0.66519665292980701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-1.1350493878126145E-13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311.44572917773388</v>
      </c>
      <c r="AO145" s="59">
        <f t="shared" si="144"/>
        <v>190.00559730122654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0.15357849456739969</v>
      </c>
      <c r="AW145" s="21">
        <f>EXP(-LN(2)/2)*AW144+(1-EXP(-LN(2)/2))/(LN(2)/2)*AQ145*AT145*VLOOKUP('Données projet'!$B$10,Paramètres!$A$1:$I$89,3,0)*0.475*44/12</f>
        <v>9.4780089591734547E-17</v>
      </c>
      <c r="AX145" s="21">
        <f t="shared" si="114"/>
        <v>0.15357849456739978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0</v>
      </c>
      <c r="BJ145" s="59">
        <f t="shared" si="146"/>
        <v>0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175.9108689482207</v>
      </c>
      <c r="T146" s="59">
        <f t="shared" si="142"/>
        <v>359.8073445551853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0.17807850315993951</v>
      </c>
      <c r="AA146" s="21">
        <f>EXP(-LN(2)/25)*AA145+(1-EXP(-LN(2)/25))/(LN(2)/25)*Calculateur!V146*Calculateur!X146*VLOOKUP('Données projet'!$B$9,Paramètres!$A$1:$I$89,3,0)*0.475*44/12</f>
        <v>0.47033342083931923</v>
      </c>
      <c r="AB146" s="21">
        <f>EXP(-LN(2)/2)*AB145+(1-EXP(-LN(2)/2))/(LN(2)/2)*V146*Y146*VLOOKUP('Données projet'!$B$9,Paramètres!$A$1:$I$89,3,0)*0.475*44/12</f>
        <v>5.766948292585856E-18</v>
      </c>
      <c r="AC146" s="22">
        <f t="shared" si="111"/>
        <v>0.64841192399925873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-1.1350493878126145E-13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311.44572917773388</v>
      </c>
      <c r="AO146" s="59">
        <f t="shared" si="144"/>
        <v>190.00559730122654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0.14937888255711212</v>
      </c>
      <c r="AW146" s="21">
        <f>EXP(-LN(2)/2)*AW145+(1-EXP(-LN(2)/2))/(LN(2)/2)*AQ146*AT146*VLOOKUP('Données projet'!$B$10,Paramètres!$A$1:$I$89,3,0)*0.475*44/12</f>
        <v>6.701964407178401E-17</v>
      </c>
      <c r="AX146" s="21">
        <f t="shared" si="114"/>
        <v>0.14937888255711218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0</v>
      </c>
      <c r="BJ146" s="59">
        <f t="shared" si="146"/>
        <v>0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175.9108689482207</v>
      </c>
      <c r="T147" s="59">
        <f t="shared" si="142"/>
        <v>359.8073445551853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0.17458649233013496</v>
      </c>
      <c r="AA147" s="21">
        <f>EXP(-LN(2)/25)*AA146+(1-EXP(-LN(2)/25))/(LN(2)/25)*Calculateur!V147*Calculateur!X147*VLOOKUP('Données projet'!$B$9,Paramètres!$A$1:$I$89,3,0)*0.475*44/12</f>
        <v>0.45747212871270843</v>
      </c>
      <c r="AB147" s="21">
        <f>EXP(-LN(2)/2)*AB146+(1-EXP(-LN(2)/2))/(LN(2)/2)*V147*Y147*VLOOKUP('Données projet'!$B$9,Paramètres!$A$1:$I$89,3,0)*0.475*44/12</f>
        <v>4.0778482444396406E-18</v>
      </c>
      <c r="AC147" s="22">
        <f t="shared" si="111"/>
        <v>0.63205862104284338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-1.1350493878126145E-13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311.44572917773388</v>
      </c>
      <c r="AO147" s="59">
        <f t="shared" si="144"/>
        <v>190.00559730122654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0.14529410915809388</v>
      </c>
      <c r="AW147" s="21">
        <f>EXP(-LN(2)/2)*AW146+(1-EXP(-LN(2)/2))/(LN(2)/2)*AQ147*AT147*VLOOKUP('Données projet'!$B$10,Paramètres!$A$1:$I$89,3,0)*0.475*44/12</f>
        <v>4.7390044795867273E-17</v>
      </c>
      <c r="AX147" s="21">
        <f t="shared" si="114"/>
        <v>0.14529410915809393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0</v>
      </c>
      <c r="BJ147" s="59">
        <f t="shared" si="146"/>
        <v>0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175.9108689482207</v>
      </c>
      <c r="T148" s="59">
        <f t="shared" si="142"/>
        <v>359.8073445551853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0.17116295770278658</v>
      </c>
      <c r="AA148" s="21">
        <f>EXP(-LN(2)/25)*AA147+(1-EXP(-LN(2)/25))/(LN(2)/25)*Calculateur!V148*Calculateur!X148*VLOOKUP('Données projet'!$B$9,Paramètres!$A$1:$I$89,3,0)*0.475*44/12</f>
        <v>0.44496252929564573</v>
      </c>
      <c r="AB148" s="21">
        <f>EXP(-LN(2)/2)*AB147+(1-EXP(-LN(2)/2))/(LN(2)/2)*V148*Y148*VLOOKUP('Données projet'!$B$9,Paramètres!$A$1:$I$89,3,0)*0.475*44/12</f>
        <v>2.883474146292928E-18</v>
      </c>
      <c r="AC148" s="22">
        <f t="shared" si="111"/>
        <v>0.61612548699843228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-1.1350493878126145E-13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311.44572917773388</v>
      </c>
      <c r="AO148" s="59">
        <f t="shared" si="144"/>
        <v>190.00559730122654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0.14132103410248067</v>
      </c>
      <c r="AW148" s="21">
        <f>EXP(-LN(2)/2)*AW147+(1-EXP(-LN(2)/2))/(LN(2)/2)*AQ148*AT148*VLOOKUP('Données projet'!$B$10,Paramètres!$A$1:$I$89,3,0)*0.475*44/12</f>
        <v>3.3509822035892005E-17</v>
      </c>
      <c r="AX148" s="21">
        <f t="shared" si="114"/>
        <v>0.1413210341024807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0</v>
      </c>
      <c r="BJ148" s="59">
        <f t="shared" si="146"/>
        <v>0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175.9108689482207</v>
      </c>
      <c r="T149" s="59">
        <f t="shared" si="142"/>
        <v>359.8073445551853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0.16780655650133058</v>
      </c>
      <c r="AA149" s="21">
        <f>EXP(-LN(2)/25)*AA148+(1-EXP(-LN(2)/25))/(LN(2)/25)*Calculateur!V149*Calculateur!X149*VLOOKUP('Données projet'!$B$9,Paramètres!$A$1:$I$89,3,0)*0.475*44/12</f>
        <v>0.43279500553249384</v>
      </c>
      <c r="AB149" s="21">
        <f>EXP(-LN(2)/2)*AB148+(1-EXP(-LN(2)/2))/(LN(2)/2)*V149*Y149*VLOOKUP('Données projet'!$B$9,Paramètres!$A$1:$I$89,3,0)*0.475*44/12</f>
        <v>2.0389241222198203E-18</v>
      </c>
      <c r="AC149" s="22">
        <f t="shared" si="111"/>
        <v>0.60060156203382442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-1.1350493878126145E-13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311.44572917773388</v>
      </c>
      <c r="AO149" s="59">
        <f t="shared" si="144"/>
        <v>190.00559730122654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0.13745660299319815</v>
      </c>
      <c r="AW149" s="21">
        <f>EXP(-LN(2)/2)*AW148+(1-EXP(-LN(2)/2))/(LN(2)/2)*AQ149*AT149*VLOOKUP('Données projet'!$B$10,Paramètres!$A$1:$I$89,3,0)*0.475*44/12</f>
        <v>2.3695022397933637E-17</v>
      </c>
      <c r="AX149" s="21">
        <f t="shared" si="114"/>
        <v>0.13745660299319817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0</v>
      </c>
      <c r="BJ149" s="59">
        <f t="shared" si="146"/>
        <v>0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175.9108689482207</v>
      </c>
      <c r="T150" s="59">
        <f t="shared" si="142"/>
        <v>359.8073445551853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0.16451597228023254</v>
      </c>
      <c r="AA150" s="21">
        <f>EXP(-LN(2)/25)*AA149+(1-EXP(-LN(2)/25))/(LN(2)/25)*Calculateur!V150*Calculateur!X150*VLOOKUP('Données projet'!$B$9,Paramètres!$A$1:$I$89,3,0)*0.475*44/12</f>
        <v>0.42096020334650763</v>
      </c>
      <c r="AB150" s="21">
        <f>EXP(-LN(2)/2)*AB149+(1-EXP(-LN(2)/2))/(LN(2)/2)*V150*Y150*VLOOKUP('Données projet'!$B$9,Paramètres!$A$1:$I$89,3,0)*0.475*44/12</f>
        <v>1.441737073146464E-18</v>
      </c>
      <c r="AC150" s="22">
        <f t="shared" si="111"/>
        <v>0.58547617562674015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-1.1350493878126145E-13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311.44572917773388</v>
      </c>
      <c r="AO150" s="59">
        <f t="shared" si="144"/>
        <v>190.00559730122654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0.13369784495582054</v>
      </c>
      <c r="AW150" s="21">
        <f>EXP(-LN(2)/2)*AW149+(1-EXP(-LN(2)/2))/(LN(2)/2)*AQ150*AT150*VLOOKUP('Données projet'!$B$10,Paramètres!$A$1:$I$89,3,0)*0.475*44/12</f>
        <v>1.6754911017946003E-17</v>
      </c>
      <c r="AX150" s="21">
        <f t="shared" si="114"/>
        <v>0.13369784495582057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0</v>
      </c>
      <c r="BJ150" s="59">
        <f t="shared" si="146"/>
        <v>0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175.9108689482207</v>
      </c>
      <c r="T151" s="59">
        <f t="shared" si="142"/>
        <v>359.8073445551853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0.16128991440865204</v>
      </c>
      <c r="AA151" s="21">
        <f>EXP(-LN(2)/25)*AA150+(1-EXP(-LN(2)/25))/(LN(2)/25)*Calculateur!V151*Calculateur!X151*VLOOKUP('Données projet'!$B$9,Paramètres!$A$1:$I$89,3,0)*0.475*44/12</f>
        <v>0.40944902444866238</v>
      </c>
      <c r="AB151" s="21">
        <f>EXP(-LN(2)/2)*AB150+(1-EXP(-LN(2)/2))/(LN(2)/2)*V151*Y151*VLOOKUP('Données projet'!$B$9,Paramètres!$A$1:$I$89,3,0)*0.475*44/12</f>
        <v>1.0194620611099102E-18</v>
      </c>
      <c r="AC151" s="22">
        <f t="shared" si="111"/>
        <v>0.57073893885731442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-1.1350493878126145E-13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311.44572917773388</v>
      </c>
      <c r="AO151" s="59">
        <f t="shared" si="144"/>
        <v>190.00559730122654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0.13004187035463954</v>
      </c>
      <c r="AW151" s="21">
        <f>EXP(-LN(2)/2)*AW150+(1-EXP(-LN(2)/2))/(LN(2)/2)*AQ151*AT151*VLOOKUP('Données projet'!$B$10,Paramètres!$A$1:$I$89,3,0)*0.475*44/12</f>
        <v>1.1847511198966818E-17</v>
      </c>
      <c r="AX151" s="21">
        <f t="shared" si="114"/>
        <v>0.13004187035463954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0</v>
      </c>
      <c r="BJ151" s="59">
        <f t="shared" si="146"/>
        <v>0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175.9108689482207</v>
      </c>
      <c r="T152" s="59">
        <f t="shared" si="142"/>
        <v>359.8073445551853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0.15812711756423223</v>
      </c>
      <c r="AA152" s="21">
        <f>EXP(-LN(2)/25)*AA151+(1-EXP(-LN(2)/25))/(LN(2)/25)*Calculateur!V152*Calculateur!X152*VLOOKUP('Données projet'!$B$9,Paramètres!$A$1:$I$89,3,0)*0.475*44/12</f>
        <v>0.39825261934312534</v>
      </c>
      <c r="AB152" s="21">
        <f>EXP(-LN(2)/2)*AB151+(1-EXP(-LN(2)/2))/(LN(2)/2)*V152*Y152*VLOOKUP('Données projet'!$B$9,Paramètres!$A$1:$I$89,3,0)*0.475*44/12</f>
        <v>7.20868536573232E-19</v>
      </c>
      <c r="AC152" s="22">
        <f t="shared" si="111"/>
        <v>0.55637973690735754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-1.1350493878126145E-13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311.44572917773388</v>
      </c>
      <c r="AO152" s="59">
        <f t="shared" si="144"/>
        <v>190.00559730122654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0.12648586857118718</v>
      </c>
      <c r="AW152" s="21">
        <f>EXP(-LN(2)/2)*AW151+(1-EXP(-LN(2)/2))/(LN(2)/2)*AQ152*AT152*VLOOKUP('Données projet'!$B$10,Paramètres!$A$1:$I$89,3,0)*0.475*44/12</f>
        <v>8.3774555089730013E-18</v>
      </c>
      <c r="AX152" s="21">
        <f t="shared" si="114"/>
        <v>0.12648586857118718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0</v>
      </c>
      <c r="BJ152" s="59">
        <f t="shared" si="146"/>
        <v>0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175.9108689482207</v>
      </c>
      <c r="T153" s="59">
        <f t="shared" si="142"/>
        <v>359.8073445551853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0.15502634123681588</v>
      </c>
      <c r="AA153" s="21">
        <f>EXP(-LN(2)/25)*AA152+(1-EXP(-LN(2)/25))/(LN(2)/25)*Calculateur!V153*Calculateur!X153*VLOOKUP('Données projet'!$B$9,Paramètres!$A$1:$I$89,3,0)*0.475*44/12</f>
        <v>0.38736238052399252</v>
      </c>
      <c r="AB153" s="21">
        <f>EXP(-LN(2)/2)*AB152+(1-EXP(-LN(2)/2))/(LN(2)/2)*V153*Y153*VLOOKUP('Données projet'!$B$9,Paramètres!$A$1:$I$89,3,0)*0.475*44/12</f>
        <v>5.0973103055495508E-19</v>
      </c>
      <c r="AC153" s="22">
        <f t="shared" si="111"/>
        <v>0.54238872176080843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-1.1350493878126145E-13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311.44572917773388</v>
      </c>
      <c r="AO153" s="59">
        <f t="shared" si="144"/>
        <v>190.00559730122654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0.12302710584350533</v>
      </c>
      <c r="AW153" s="21">
        <f>EXP(-LN(2)/2)*AW152+(1-EXP(-LN(2)/2))/(LN(2)/2)*AQ153*AT153*VLOOKUP('Données projet'!$B$10,Paramètres!$A$1:$I$89,3,0)*0.475*44/12</f>
        <v>5.9237555994834092E-18</v>
      </c>
      <c r="AX153" s="21">
        <f t="shared" si="114"/>
        <v>0.12302710584350533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0</v>
      </c>
      <c r="BJ153" s="59">
        <f t="shared" si="146"/>
        <v>0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175.9108689482207</v>
      </c>
      <c r="T154" s="59">
        <f t="shared" si="142"/>
        <v>359.8073445551853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0.15198636924189338</v>
      </c>
      <c r="AA154" s="21">
        <f>EXP(-LN(2)/25)*AA153+(1-EXP(-LN(2)/25))/(LN(2)/25)*Calculateur!V154*Calculateur!X154*VLOOKUP('Données projet'!$B$9,Paramètres!$A$1:$I$89,3,0)*0.475*44/12</f>
        <v>0.37676993585806168</v>
      </c>
      <c r="AB154" s="21">
        <f>EXP(-LN(2)/2)*AB153+(1-EXP(-LN(2)/2))/(LN(2)/2)*V154*Y154*VLOOKUP('Données projet'!$B$9,Paramètres!$A$1:$I$89,3,0)*0.475*44/12</f>
        <v>3.60434268286616E-19</v>
      </c>
      <c r="AC154" s="22">
        <f t="shared" ref="AC154:AC203" si="163">SUM(Z154:AB154)</f>
        <v>0.52875630509995508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-1.1350493878126145E-13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311.44572917773388</v>
      </c>
      <c r="AO154" s="59">
        <f t="shared" si="144"/>
        <v>190.00559730122654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0.11966292316450036</v>
      </c>
      <c r="AW154" s="21">
        <f>EXP(-LN(2)/2)*AW153+(1-EXP(-LN(2)/2))/(LN(2)/2)*AQ154*AT154*VLOOKUP('Données projet'!$B$10,Paramètres!$A$1:$I$89,3,0)*0.475*44/12</f>
        <v>4.1887277544865006E-18</v>
      </c>
      <c r="AX154" s="21">
        <f t="shared" ref="AX154:AX203" si="166">SUM(AU154:AW154)</f>
        <v>0.11966292316450036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0</v>
      </c>
      <c r="BJ154" s="59">
        <f t="shared" si="146"/>
        <v>0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175.9108689482207</v>
      </c>
      <c r="T155" s="59">
        <f t="shared" si="142"/>
        <v>359.8073445551853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0.14900600924359148</v>
      </c>
      <c r="AA155" s="21">
        <f>EXP(-LN(2)/25)*AA154+(1-EXP(-LN(2)/25))/(LN(2)/25)*Calculateur!V155*Calculateur!X155*VLOOKUP('Données projet'!$B$9,Paramètres!$A$1:$I$89,3,0)*0.475*44/12</f>
        <v>0.36646714214855319</v>
      </c>
      <c r="AB155" s="21">
        <f>EXP(-LN(2)/2)*AB154+(1-EXP(-LN(2)/2))/(LN(2)/2)*V155*Y155*VLOOKUP('Données projet'!$B$9,Paramètres!$A$1:$I$89,3,0)*0.475*44/12</f>
        <v>2.5486551527747754E-19</v>
      </c>
      <c r="AC155" s="22">
        <f t="shared" si="163"/>
        <v>0.51547315139214467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-1.1350493878126145E-13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311.44572917773388</v>
      </c>
      <c r="AO155" s="59">
        <f t="shared" si="144"/>
        <v>190.00559730122654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0.11639073423776747</v>
      </c>
      <c r="AW155" s="21">
        <f>EXP(-LN(2)/2)*AW154+(1-EXP(-LN(2)/2))/(LN(2)/2)*AQ155*AT155*VLOOKUP('Données projet'!$B$10,Paramètres!$A$1:$I$89,3,0)*0.475*44/12</f>
        <v>2.9618777997417046E-18</v>
      </c>
      <c r="AX155" s="21">
        <f t="shared" si="166"/>
        <v>0.11639073423776747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0</v>
      </c>
      <c r="BJ155" s="59">
        <f t="shared" si="146"/>
        <v>0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175.9108689482207</v>
      </c>
      <c r="T156" s="59">
        <f t="shared" si="142"/>
        <v>359.8073445551853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0.14608409228701616</v>
      </c>
      <c r="AA156" s="21">
        <f>EXP(-LN(2)/25)*AA155+(1-EXP(-LN(2)/25))/(LN(2)/25)*Calculateur!V156*Calculateur!X156*VLOOKUP('Données projet'!$B$9,Paramètres!$A$1:$I$89,3,0)*0.475*44/12</f>
        <v>0.3564460788748316</v>
      </c>
      <c r="AB156" s="21">
        <f>EXP(-LN(2)/2)*AB155+(1-EXP(-LN(2)/2))/(LN(2)/2)*V156*Y156*VLOOKUP('Données projet'!$B$9,Paramètres!$A$1:$I$89,3,0)*0.475*44/12</f>
        <v>1.80217134143308E-19</v>
      </c>
      <c r="AC156" s="22">
        <f t="shared" si="163"/>
        <v>0.50253017116184773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-1.1350493878126145E-13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311.44572917773388</v>
      </c>
      <c r="AO156" s="59">
        <f t="shared" si="144"/>
        <v>190.00559730122654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0.11320802348931301</v>
      </c>
      <c r="AW156" s="21">
        <f>EXP(-LN(2)/2)*AW155+(1-EXP(-LN(2)/2))/(LN(2)/2)*AQ156*AT156*VLOOKUP('Données projet'!$B$10,Paramètres!$A$1:$I$89,3,0)*0.475*44/12</f>
        <v>2.0943638772432503E-18</v>
      </c>
      <c r="AX156" s="21">
        <f t="shared" si="166"/>
        <v>0.11320802348931301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0</v>
      </c>
      <c r="BJ156" s="59">
        <f t="shared" si="146"/>
        <v>0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175.9108689482207</v>
      </c>
      <c r="T157" s="59">
        <f t="shared" si="142"/>
        <v>359.8073445551853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0.14321947233976592</v>
      </c>
      <c r="AA157" s="21">
        <f>EXP(-LN(2)/25)*AA156+(1-EXP(-LN(2)/25))/(LN(2)/25)*Calculateur!V157*Calculateur!X157*VLOOKUP('Données projet'!$B$9,Paramètres!$A$1:$I$89,3,0)*0.475*44/12</f>
        <v>0.3466990421033147</v>
      </c>
      <c r="AB157" s="21">
        <f>EXP(-LN(2)/2)*AB156+(1-EXP(-LN(2)/2))/(LN(2)/2)*V157*Y157*VLOOKUP('Données projet'!$B$9,Paramètres!$A$1:$I$89,3,0)*0.475*44/12</f>
        <v>1.2743275763873877E-19</v>
      </c>
      <c r="AC157" s="22">
        <f t="shared" si="163"/>
        <v>0.48991851444308065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-1.1350493878126145E-13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311.44572917773388</v>
      </c>
      <c r="AO157" s="59">
        <f t="shared" si="144"/>
        <v>190.00559730122654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0.11011234413364654</v>
      </c>
      <c r="AW157" s="21">
        <f>EXP(-LN(2)/2)*AW156+(1-EXP(-LN(2)/2))/(LN(2)/2)*AQ157*AT157*VLOOKUP('Données projet'!$B$10,Paramètres!$A$1:$I$89,3,0)*0.475*44/12</f>
        <v>1.4809388998708523E-18</v>
      </c>
      <c r="AX157" s="21">
        <f t="shared" si="166"/>
        <v>0.11011234413364654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0</v>
      </c>
      <c r="BJ157" s="59">
        <f t="shared" si="146"/>
        <v>0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175.9108689482207</v>
      </c>
      <c r="T158" s="59">
        <f t="shared" si="142"/>
        <v>359.8073445551853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0.14041102584243562</v>
      </c>
      <c r="AA158" s="21">
        <f>EXP(-LN(2)/25)*AA157+(1-EXP(-LN(2)/25))/(LN(2)/25)*Calculateur!V158*Calculateur!X158*VLOOKUP('Données projet'!$B$9,Paramètres!$A$1:$I$89,3,0)*0.475*44/12</f>
        <v>0.33721853856488931</v>
      </c>
      <c r="AB158" s="21">
        <f>EXP(-LN(2)/2)*AB157+(1-EXP(-LN(2)/2))/(LN(2)/2)*V158*Y158*VLOOKUP('Données projet'!$B$9,Paramètres!$A$1:$I$89,3,0)*0.475*44/12</f>
        <v>9.0108567071654E-20</v>
      </c>
      <c r="AC158" s="22">
        <f t="shared" si="163"/>
        <v>0.47762956440732496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-1.1350493878126145E-13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311.44572917773388</v>
      </c>
      <c r="AO158" s="59">
        <f t="shared" si="144"/>
        <v>190.00559730122654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0.10710131629275546</v>
      </c>
      <c r="AW158" s="21">
        <f>EXP(-LN(2)/2)*AW157+(1-EXP(-LN(2)/2))/(LN(2)/2)*AQ158*AT158*VLOOKUP('Données projet'!$B$10,Paramètres!$A$1:$I$89,3,0)*0.475*44/12</f>
        <v>1.0471819386216252E-18</v>
      </c>
      <c r="AX158" s="21">
        <f t="shared" si="166"/>
        <v>0.10710131629275546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0</v>
      </c>
      <c r="BJ158" s="59">
        <f t="shared" si="146"/>
        <v>0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175.9108689482207</v>
      </c>
      <c r="T159" s="59">
        <f t="shared" si="142"/>
        <v>359.8073445551853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0.13765765126793475</v>
      </c>
      <c r="AA159" s="21">
        <f>EXP(-LN(2)/25)*AA158+(1-EXP(-LN(2)/25))/(LN(2)/25)*Calculateur!V159*Calculateur!X159*VLOOKUP('Données projet'!$B$9,Paramètres!$A$1:$I$89,3,0)*0.475*44/12</f>
        <v>0.32799727989428018</v>
      </c>
      <c r="AB159" s="21">
        <f>EXP(-LN(2)/2)*AB158+(1-EXP(-LN(2)/2))/(LN(2)/2)*V159*Y159*VLOOKUP('Données projet'!$B$9,Paramètres!$A$1:$I$89,3,0)*0.475*44/12</f>
        <v>6.3716378819369385E-20</v>
      </c>
      <c r="AC159" s="22">
        <f t="shared" si="163"/>
        <v>0.4656549311622149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-1.1350493878126145E-13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311.44572917773388</v>
      </c>
      <c r="AO159" s="59">
        <f t="shared" si="144"/>
        <v>190.00559730122654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0.10417262516651662</v>
      </c>
      <c r="AW159" s="21">
        <f>EXP(-LN(2)/2)*AW158+(1-EXP(-LN(2)/2))/(LN(2)/2)*AQ159*AT159*VLOOKUP('Données projet'!$B$10,Paramètres!$A$1:$I$89,3,0)*0.475*44/12</f>
        <v>7.4046944993542615E-19</v>
      </c>
      <c r="AX159" s="21">
        <f t="shared" si="166"/>
        <v>0.10417262516651662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0</v>
      </c>
      <c r="BJ159" s="59">
        <f t="shared" si="146"/>
        <v>0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175.9108689482207</v>
      </c>
      <c r="T160" s="59">
        <f t="shared" si="142"/>
        <v>359.8073445551853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0.13495826868944719</v>
      </c>
      <c r="AA160" s="21">
        <f>EXP(-LN(2)/25)*AA159+(1-EXP(-LN(2)/25))/(LN(2)/25)*Calculateur!V160*Calculateur!X160*VLOOKUP('Données projet'!$B$9,Paramètres!$A$1:$I$89,3,0)*0.475*44/12</f>
        <v>0.3190281770269438</v>
      </c>
      <c r="AB160" s="21">
        <f>EXP(-LN(2)/2)*AB159+(1-EXP(-LN(2)/2))/(LN(2)/2)*V160*Y160*VLOOKUP('Données projet'!$B$9,Paramètres!$A$1:$I$89,3,0)*0.475*44/12</f>
        <v>4.5054283535827E-20</v>
      </c>
      <c r="AC160" s="22">
        <f t="shared" si="163"/>
        <v>0.45398644571639102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-1.1350493878126145E-13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311.44572917773388</v>
      </c>
      <c r="AO160" s="59">
        <f t="shared" si="144"/>
        <v>190.00559730122654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0.10132401925313796</v>
      </c>
      <c r="AW160" s="21">
        <f>EXP(-LN(2)/2)*AW159+(1-EXP(-LN(2)/2))/(LN(2)/2)*AQ160*AT160*VLOOKUP('Données projet'!$B$10,Paramètres!$A$1:$I$89,3,0)*0.475*44/12</f>
        <v>5.2359096931081258E-19</v>
      </c>
      <c r="AX160" s="21">
        <f t="shared" si="166"/>
        <v>0.10132401925313796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0</v>
      </c>
      <c r="BJ160" s="59">
        <f t="shared" si="146"/>
        <v>0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175.9108689482207</v>
      </c>
      <c r="T161" s="59">
        <f t="shared" si="142"/>
        <v>359.8073445551853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0.13231181935686295</v>
      </c>
      <c r="AA161" s="21">
        <f>EXP(-LN(2)/25)*AA160+(1-EXP(-LN(2)/25))/(LN(2)/25)*Calculateur!V161*Calculateur!X161*VLOOKUP('Données projet'!$B$9,Paramètres!$A$1:$I$89,3,0)*0.475*44/12</f>
        <v>0.31030433474917934</v>
      </c>
      <c r="AB161" s="21">
        <f>EXP(-LN(2)/2)*AB160+(1-EXP(-LN(2)/2))/(LN(2)/2)*V161*Y161*VLOOKUP('Données projet'!$B$9,Paramètres!$A$1:$I$89,3,0)*0.475*44/12</f>
        <v>3.1858189409684693E-20</v>
      </c>
      <c r="AC161" s="22">
        <f t="shared" si="163"/>
        <v>0.44261615410604227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-1.1350493878126145E-13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311.44572917773388</v>
      </c>
      <c r="AO161" s="59">
        <f t="shared" si="144"/>
        <v>190.00559730122654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9.8553308618262309E-2</v>
      </c>
      <c r="AW161" s="21">
        <f>EXP(-LN(2)/2)*AW160+(1-EXP(-LN(2)/2))/(LN(2)/2)*AQ161*AT161*VLOOKUP('Données projet'!$B$10,Paramètres!$A$1:$I$89,3,0)*0.475*44/12</f>
        <v>3.7023472496771307E-19</v>
      </c>
      <c r="AX161" s="21">
        <f t="shared" si="166"/>
        <v>9.8553308618262309E-2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0</v>
      </c>
      <c r="BJ161" s="59">
        <f t="shared" si="146"/>
        <v>0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175.9108689482207</v>
      </c>
      <c r="T162" s="59">
        <f t="shared" si="142"/>
        <v>359.8073445551853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0.129717265281516</v>
      </c>
      <c r="AA162" s="21">
        <f>EXP(-LN(2)/25)*AA161+(1-EXP(-LN(2)/25))/(LN(2)/25)*Calculateur!V162*Calculateur!X162*VLOOKUP('Données projet'!$B$9,Paramètres!$A$1:$I$89,3,0)*0.475*44/12</f>
        <v>0.30181904639726725</v>
      </c>
      <c r="AB162" s="21">
        <f>EXP(-LN(2)/2)*AB161+(1-EXP(-LN(2)/2))/(LN(2)/2)*V162*Y162*VLOOKUP('Données projet'!$B$9,Paramètres!$A$1:$I$89,3,0)*0.475*44/12</f>
        <v>2.25271417679135E-20</v>
      </c>
      <c r="AC162" s="22">
        <f t="shared" si="163"/>
        <v>0.43153631167878326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-1.1350493878126145E-13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311.44572917773388</v>
      </c>
      <c r="AO162" s="59">
        <f t="shared" si="144"/>
        <v>190.00559730122654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9.5858363211402675E-2</v>
      </c>
      <c r="AW162" s="21">
        <f>EXP(-LN(2)/2)*AW161+(1-EXP(-LN(2)/2))/(LN(2)/2)*AQ162*AT162*VLOOKUP('Données projet'!$B$10,Paramètres!$A$1:$I$89,3,0)*0.475*44/12</f>
        <v>2.6179548465540629E-19</v>
      </c>
      <c r="AX162" s="21">
        <f t="shared" si="166"/>
        <v>9.5858363211402675E-2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0</v>
      </c>
      <c r="BJ162" s="59">
        <f t="shared" si="146"/>
        <v>0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175.9108689482207</v>
      </c>
      <c r="T163" s="59">
        <f t="shared" si="142"/>
        <v>359.8073445551853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0.12717358882906488</v>
      </c>
      <c r="AA163" s="21">
        <f>EXP(-LN(2)/25)*AA162+(1-EXP(-LN(2)/25))/(LN(2)/25)*Calculateur!V163*Calculateur!X163*VLOOKUP('Données projet'!$B$9,Paramètres!$A$1:$I$89,3,0)*0.475*44/12</f>
        <v>0.29356578870156014</v>
      </c>
      <c r="AB163" s="21">
        <f>EXP(-LN(2)/2)*AB162+(1-EXP(-LN(2)/2))/(LN(2)/2)*V163*Y163*VLOOKUP('Données projet'!$B$9,Paramètres!$A$1:$I$89,3,0)*0.475*44/12</f>
        <v>1.5929094704842346E-20</v>
      </c>
      <c r="AC163" s="22">
        <f t="shared" si="163"/>
        <v>0.42073937753062501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-1.1350493878126145E-13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311.44572917773388</v>
      </c>
      <c r="AO163" s="59">
        <f t="shared" si="144"/>
        <v>190.00559730122654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9.3237111228414632E-2</v>
      </c>
      <c r="AW163" s="21">
        <f>EXP(-LN(2)/2)*AW162+(1-EXP(-LN(2)/2))/(LN(2)/2)*AQ163*AT163*VLOOKUP('Données projet'!$B$10,Paramètres!$A$1:$I$89,3,0)*0.475*44/12</f>
        <v>1.8511736248385654E-19</v>
      </c>
      <c r="AX163" s="21">
        <f t="shared" si="166"/>
        <v>9.3237111228414632E-2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0</v>
      </c>
      <c r="BJ163" s="59">
        <f t="shared" si="146"/>
        <v>0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175.9108689482207</v>
      </c>
      <c r="T164" s="59">
        <f t="shared" si="142"/>
        <v>359.8073445551853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0.12467979232035688</v>
      </c>
      <c r="AA164" s="21">
        <f>EXP(-LN(2)/25)*AA163+(1-EXP(-LN(2)/25))/(LN(2)/25)*Calculateur!V164*Calculateur!X164*VLOOKUP('Données projet'!$B$9,Paramètres!$A$1:$I$89,3,0)*0.475*44/12</f>
        <v>0.2855382167715621</v>
      </c>
      <c r="AB164" s="21">
        <f>EXP(-LN(2)/2)*AB163+(1-EXP(-LN(2)/2))/(LN(2)/2)*V164*Y164*VLOOKUP('Données projet'!$B$9,Paramètres!$A$1:$I$89,3,0)*0.475*44/12</f>
        <v>1.126357088395675E-20</v>
      </c>
      <c r="AC164" s="22">
        <f t="shared" si="163"/>
        <v>0.41021800909191897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-1.1350493878126145E-13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311.44572917773388</v>
      </c>
      <c r="AO164" s="59">
        <f t="shared" si="144"/>
        <v>190.00559730122654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9.0687537518747044E-2</v>
      </c>
      <c r="AW164" s="21">
        <f>EXP(-LN(2)/2)*AW163+(1-EXP(-LN(2)/2))/(LN(2)/2)*AQ164*AT164*VLOOKUP('Données projet'!$B$10,Paramètres!$A$1:$I$89,3,0)*0.475*44/12</f>
        <v>1.3089774232770314E-19</v>
      </c>
      <c r="AX164" s="21">
        <f t="shared" si="166"/>
        <v>9.0687537518747044E-2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0</v>
      </c>
      <c r="BJ164" s="59">
        <f t="shared" si="146"/>
        <v>0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175.9108689482207</v>
      </c>
      <c r="T165" s="59">
        <f t="shared" si="142"/>
        <v>359.8073445551853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0.12223489764011897</v>
      </c>
      <c r="AA165" s="21">
        <f>EXP(-LN(2)/25)*AA164+(1-EXP(-LN(2)/25))/(LN(2)/25)*Calculateur!V165*Calculateur!X165*VLOOKUP('Données projet'!$B$9,Paramètres!$A$1:$I$89,3,0)*0.475*44/12</f>
        <v>0.27773015921814154</v>
      </c>
      <c r="AB165" s="21">
        <f>EXP(-LN(2)/2)*AB164+(1-EXP(-LN(2)/2))/(LN(2)/2)*V165*Y165*VLOOKUP('Données projet'!$B$9,Paramètres!$A$1:$I$89,3,0)*0.475*44/12</f>
        <v>7.9645473524211731E-21</v>
      </c>
      <c r="AC165" s="22">
        <f t="shared" si="163"/>
        <v>0.3999650568582605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-1.1350493878126145E-13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311.44572917773388</v>
      </c>
      <c r="AO165" s="59">
        <f t="shared" si="144"/>
        <v>190.00559730122654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8.8207682036246571E-2</v>
      </c>
      <c r="AW165" s="21">
        <f>EXP(-LN(2)/2)*AW164+(1-EXP(-LN(2)/2))/(LN(2)/2)*AQ165*AT165*VLOOKUP('Données projet'!$B$10,Paramètres!$A$1:$I$89,3,0)*0.475*44/12</f>
        <v>9.2558681241928268E-20</v>
      </c>
      <c r="AX165" s="21">
        <f t="shared" si="166"/>
        <v>8.8207682036246571E-2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0</v>
      </c>
      <c r="BJ165" s="59">
        <f t="shared" si="146"/>
        <v>0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175.9108689482207</v>
      </c>
      <c r="T166" s="59">
        <f t="shared" si="142"/>
        <v>359.8073445551853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0.11983794585332201</v>
      </c>
      <c r="AA166" s="21">
        <f>EXP(-LN(2)/25)*AA165+(1-EXP(-LN(2)/25))/(LN(2)/25)*Calculateur!V166*Calculateur!X166*VLOOKUP('Données projet'!$B$9,Paramètres!$A$1:$I$89,3,0)*0.475*44/12</f>
        <v>0.27013561340912712</v>
      </c>
      <c r="AB166" s="21">
        <f>EXP(-LN(2)/2)*AB165+(1-EXP(-LN(2)/2))/(LN(2)/2)*V166*Y166*VLOOKUP('Données projet'!$B$9,Paramètres!$A$1:$I$89,3,0)*0.475*44/12</f>
        <v>5.631785441978375E-21</v>
      </c>
      <c r="AC166" s="22">
        <f t="shared" si="163"/>
        <v>0.38997355926244914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-1.1350493878126145E-13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311.44572917773388</v>
      </c>
      <c r="AO166" s="59">
        <f t="shared" si="144"/>
        <v>190.00559730122654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8.5795638332325008E-2</v>
      </c>
      <c r="AW166" s="21">
        <f>EXP(-LN(2)/2)*AW165+(1-EXP(-LN(2)/2))/(LN(2)/2)*AQ166*AT166*VLOOKUP('Données projet'!$B$10,Paramètres!$A$1:$I$89,3,0)*0.475*44/12</f>
        <v>6.5448871163851572E-20</v>
      </c>
      <c r="AX166" s="21">
        <f t="shared" si="166"/>
        <v>8.5795638332325008E-2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0</v>
      </c>
      <c r="BJ166" s="59">
        <f t="shared" si="146"/>
        <v>0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175.9108689482207</v>
      </c>
      <c r="T167" s="59">
        <f t="shared" si="142"/>
        <v>359.8073445551853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0.11748799682906791</v>
      </c>
      <c r="AA167" s="21">
        <f>EXP(-LN(2)/25)*AA166+(1-EXP(-LN(2)/25))/(LN(2)/25)*Calculateur!V167*Calculateur!X167*VLOOKUP('Données projet'!$B$9,Paramètres!$A$1:$I$89,3,0)*0.475*44/12</f>
        <v>0.26274874085464001</v>
      </c>
      <c r="AB167" s="21">
        <f>EXP(-LN(2)/2)*AB166+(1-EXP(-LN(2)/2))/(LN(2)/2)*V167*Y167*VLOOKUP('Données projet'!$B$9,Paramètres!$A$1:$I$89,3,0)*0.475*44/12</f>
        <v>3.9822736762105866E-21</v>
      </c>
      <c r="AC167" s="22">
        <f t="shared" si="163"/>
        <v>0.38023673768370791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-1.1350493878126145E-13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311.44572917773388</v>
      </c>
      <c r="AO167" s="59">
        <f t="shared" si="144"/>
        <v>190.00559730122654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8.3449552090331044E-2</v>
      </c>
      <c r="AW167" s="21">
        <f>EXP(-LN(2)/2)*AW166+(1-EXP(-LN(2)/2))/(LN(2)/2)*AQ167*AT167*VLOOKUP('Données projet'!$B$10,Paramètres!$A$1:$I$89,3,0)*0.475*44/12</f>
        <v>4.6279340620964134E-20</v>
      </c>
      <c r="AX167" s="21">
        <f t="shared" si="166"/>
        <v>8.3449552090331044E-2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0</v>
      </c>
      <c r="BJ167" s="59">
        <f t="shared" si="146"/>
        <v>0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175.9108689482207</v>
      </c>
      <c r="T168" s="59">
        <f t="shared" si="142"/>
        <v>359.8073445551853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0.11518412887185206</v>
      </c>
      <c r="AA168" s="21">
        <f>EXP(-LN(2)/25)*AA167+(1-EXP(-LN(2)/25))/(LN(2)/25)*Calculateur!V168*Calculateur!X168*VLOOKUP('Données projet'!$B$9,Paramètres!$A$1:$I$89,3,0)*0.475*44/12</f>
        <v>0.25556386271861409</v>
      </c>
      <c r="AB168" s="21">
        <f>EXP(-LN(2)/2)*AB167+(1-EXP(-LN(2)/2))/(LN(2)/2)*V168*Y168*VLOOKUP('Données projet'!$B$9,Paramètres!$A$1:$I$89,3,0)*0.475*44/12</f>
        <v>2.8158927209891875E-21</v>
      </c>
      <c r="AC168" s="22">
        <f t="shared" si="163"/>
        <v>0.37074799159046612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-1.1350493878126145E-13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311.44572917773388</v>
      </c>
      <c r="AO168" s="59">
        <f t="shared" si="144"/>
        <v>190.00559730122654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8.1167619699999721E-2</v>
      </c>
      <c r="AW168" s="21">
        <f>EXP(-LN(2)/2)*AW167+(1-EXP(-LN(2)/2))/(LN(2)/2)*AQ168*AT168*VLOOKUP('Données projet'!$B$10,Paramètres!$A$1:$I$89,3,0)*0.475*44/12</f>
        <v>3.2724435581925786E-20</v>
      </c>
      <c r="AX168" s="21">
        <f t="shared" si="166"/>
        <v>8.1167619699999721E-2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0</v>
      </c>
      <c r="BJ168" s="59">
        <f t="shared" si="146"/>
        <v>0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175.9108689482207</v>
      </c>
      <c r="T169" s="59">
        <f t="shared" si="142"/>
        <v>359.8073445551853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0.11292543836005652</v>
      </c>
      <c r="AA169" s="21">
        <f>EXP(-LN(2)/25)*AA168+(1-EXP(-LN(2)/25))/(LN(2)/25)*Calculateur!V169*Calculateur!X169*VLOOKUP('Données projet'!$B$9,Paramètres!$A$1:$I$89,3,0)*0.475*44/12</f>
        <v>0.24857545545305415</v>
      </c>
      <c r="AB169" s="21">
        <f>EXP(-LN(2)/2)*AB168+(1-EXP(-LN(2)/2))/(LN(2)/2)*V169*Y169*VLOOKUP('Données projet'!$B$9,Paramètres!$A$1:$I$89,3,0)*0.475*44/12</f>
        <v>1.9911368381052933E-21</v>
      </c>
      <c r="AC169" s="22">
        <f t="shared" si="163"/>
        <v>0.36150089381311068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-1.1350493878126145E-13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311.44572917773388</v>
      </c>
      <c r="AO169" s="59">
        <f t="shared" si="144"/>
        <v>190.00559730122654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7.8948086870883616E-2</v>
      </c>
      <c r="AW169" s="21">
        <f>EXP(-LN(2)/2)*AW168+(1-EXP(-LN(2)/2))/(LN(2)/2)*AQ169*AT169*VLOOKUP('Données projet'!$B$10,Paramètres!$A$1:$I$89,3,0)*0.475*44/12</f>
        <v>2.3139670310482067E-20</v>
      </c>
      <c r="AX169" s="21">
        <f t="shared" si="166"/>
        <v>7.8948086870883616E-2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0</v>
      </c>
      <c r="BJ169" s="59">
        <f t="shared" si="146"/>
        <v>0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175.9108689482207</v>
      </c>
      <c r="T170" s="59">
        <f t="shared" si="142"/>
        <v>359.8073445551853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0.1107110393915321</v>
      </c>
      <c r="AA170" s="21">
        <f>EXP(-LN(2)/25)*AA169+(1-EXP(-LN(2)/25))/(LN(2)/25)*Calculateur!V170*Calculateur!X170*VLOOKUP('Données projet'!$B$9,Paramètres!$A$1:$I$89,3,0)*0.475*44/12</f>
        <v>0.24177814655167532</v>
      </c>
      <c r="AB170" s="21">
        <f>EXP(-LN(2)/2)*AB169+(1-EXP(-LN(2)/2))/(LN(2)/2)*V170*Y170*VLOOKUP('Données projet'!$B$9,Paramètres!$A$1:$I$89,3,0)*0.475*44/12</f>
        <v>1.4079463604945937E-21</v>
      </c>
      <c r="AC170" s="22">
        <f t="shared" si="163"/>
        <v>0.35248918594320744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-1.1350493878126145E-13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311.44572917773388</v>
      </c>
      <c r="AO170" s="59">
        <f t="shared" si="144"/>
        <v>190.00559730122654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7.6789247283699846E-2</v>
      </c>
      <c r="AW170" s="21">
        <f>EXP(-LN(2)/2)*AW169+(1-EXP(-LN(2)/2))/(LN(2)/2)*AQ170*AT170*VLOOKUP('Données projet'!$B$10,Paramètres!$A$1:$I$89,3,0)*0.475*44/12</f>
        <v>1.6362217790962893E-20</v>
      </c>
      <c r="AX170" s="21">
        <f t="shared" si="166"/>
        <v>7.6789247283699846E-2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0</v>
      </c>
      <c r="BJ170" s="59">
        <f t="shared" si="146"/>
        <v>0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175.9108689482207</v>
      </c>
      <c r="T171" s="59">
        <f t="shared" si="142"/>
        <v>359.8073445551853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0.10854006343613043</v>
      </c>
      <c r="AA171" s="21">
        <f>EXP(-LN(2)/25)*AA170+(1-EXP(-LN(2)/25))/(LN(2)/25)*Calculateur!V171*Calculateur!X171*VLOOKUP('Données projet'!$B$9,Paramètres!$A$1:$I$89,3,0)*0.475*44/12</f>
        <v>0.23516671041965961</v>
      </c>
      <c r="AB171" s="21">
        <f>EXP(-LN(2)/2)*AB170+(1-EXP(-LN(2)/2))/(LN(2)/2)*V171*Y171*VLOOKUP('Données projet'!$B$9,Paramètres!$A$1:$I$89,3,0)*0.475*44/12</f>
        <v>9.9556841905264664E-22</v>
      </c>
      <c r="AC171" s="22">
        <f t="shared" si="163"/>
        <v>0.34370677385579007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-1.1350493878126145E-13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311.44572917773388</v>
      </c>
      <c r="AO171" s="59">
        <f t="shared" si="144"/>
        <v>190.00559730122654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7.4689441278556062E-2</v>
      </c>
      <c r="AW171" s="21">
        <f>EXP(-LN(2)/2)*AW170+(1-EXP(-LN(2)/2))/(LN(2)/2)*AQ171*AT171*VLOOKUP('Données projet'!$B$10,Paramètres!$A$1:$I$89,3,0)*0.475*44/12</f>
        <v>1.1569835155241034E-20</v>
      </c>
      <c r="AX171" s="21">
        <f t="shared" si="166"/>
        <v>7.4689441278556062E-2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0</v>
      </c>
      <c r="BJ171" s="59">
        <f t="shared" si="146"/>
        <v>0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175.9108689482207</v>
      </c>
      <c r="T172" s="59">
        <f t="shared" si="142"/>
        <v>359.8073445551853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0.10641165899504962</v>
      </c>
      <c r="AA172" s="21">
        <f>EXP(-LN(2)/25)*AA171+(1-EXP(-LN(2)/25))/(LN(2)/25)*Calculateur!V172*Calculateur!X172*VLOOKUP('Données projet'!$B$9,Paramètres!$A$1:$I$89,3,0)*0.475*44/12</f>
        <v>0.22873606435635421</v>
      </c>
      <c r="AB172" s="21">
        <f>EXP(-LN(2)/2)*AB171+(1-EXP(-LN(2)/2))/(LN(2)/2)*V172*Y172*VLOOKUP('Données projet'!$B$9,Paramètres!$A$1:$I$89,3,0)*0.475*44/12</f>
        <v>7.0397318024729687E-22</v>
      </c>
      <c r="AC172" s="22">
        <f t="shared" si="163"/>
        <v>0.33514772335140386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-1.1350493878126145E-13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311.44572917773388</v>
      </c>
      <c r="AO172" s="59">
        <f t="shared" si="144"/>
        <v>190.00559730122654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7.2647054579046938E-2</v>
      </c>
      <c r="AW172" s="21">
        <f>EXP(-LN(2)/2)*AW171+(1-EXP(-LN(2)/2))/(LN(2)/2)*AQ172*AT172*VLOOKUP('Données projet'!$B$10,Paramètres!$A$1:$I$89,3,0)*0.475*44/12</f>
        <v>8.1811088954814466E-21</v>
      </c>
      <c r="AX172" s="21">
        <f t="shared" si="166"/>
        <v>7.2647054579046938E-2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0</v>
      </c>
      <c r="BJ172" s="59">
        <f t="shared" si="146"/>
        <v>0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175.9108689482207</v>
      </c>
      <c r="T173" s="59">
        <f t="shared" si="142"/>
        <v>359.8073445551853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0.10432499126685987</v>
      </c>
      <c r="AA173" s="21">
        <f>EXP(-LN(2)/25)*AA172+(1-EXP(-LN(2)/25))/(LN(2)/25)*Calculateur!V173*Calculateur!X173*VLOOKUP('Données projet'!$B$9,Paramètres!$A$1:$I$89,3,0)*0.475*44/12</f>
        <v>0.22248126464782286</v>
      </c>
      <c r="AB173" s="21">
        <f>EXP(-LN(2)/2)*AB172+(1-EXP(-LN(2)/2))/(LN(2)/2)*V173*Y173*VLOOKUP('Données projet'!$B$9,Paramètres!$A$1:$I$89,3,0)*0.475*44/12</f>
        <v>4.9778420952632332E-22</v>
      </c>
      <c r="AC173" s="22">
        <f t="shared" si="163"/>
        <v>0.32680625591468271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-1.1350493878126145E-13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311.44572917773388</v>
      </c>
      <c r="AO173" s="59">
        <f t="shared" si="144"/>
        <v>190.00559730122654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7.0660517051240337E-2</v>
      </c>
      <c r="AW173" s="21">
        <f>EXP(-LN(2)/2)*AW172+(1-EXP(-LN(2)/2))/(LN(2)/2)*AQ173*AT173*VLOOKUP('Données projet'!$B$10,Paramètres!$A$1:$I$89,3,0)*0.475*44/12</f>
        <v>5.7849175776205168E-21</v>
      </c>
      <c r="AX173" s="21">
        <f t="shared" si="166"/>
        <v>7.0660517051240337E-2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0</v>
      </c>
      <c r="BJ173" s="59">
        <f t="shared" si="146"/>
        <v>0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175.9108689482207</v>
      </c>
      <c r="T174" s="59">
        <f t="shared" si="142"/>
        <v>359.8073445551853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0.10227924182007829</v>
      </c>
      <c r="AA174" s="21">
        <f>EXP(-LN(2)/25)*AA173+(1-EXP(-LN(2)/25))/(LN(2)/25)*Calculateur!V174*Calculateur!X174*VLOOKUP('Données projet'!$B$9,Paramètres!$A$1:$I$89,3,0)*0.475*44/12</f>
        <v>0.21639750276624692</v>
      </c>
      <c r="AB174" s="21">
        <f>EXP(-LN(2)/2)*AB173+(1-EXP(-LN(2)/2))/(LN(2)/2)*V174*Y174*VLOOKUP('Données projet'!$B$9,Paramètres!$A$1:$I$89,3,0)*0.475*44/12</f>
        <v>3.5198659012364844E-22</v>
      </c>
      <c r="AC174" s="22">
        <f t="shared" si="163"/>
        <v>0.31867674458632522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-1.1350493878126145E-13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311.44572917773388</v>
      </c>
      <c r="AO174" s="59">
        <f t="shared" si="144"/>
        <v>190.00559730122654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6.8728301496599073E-2</v>
      </c>
      <c r="AW174" s="21">
        <f>EXP(-LN(2)/2)*AW173+(1-EXP(-LN(2)/2))/(LN(2)/2)*AQ174*AT174*VLOOKUP('Données projet'!$B$10,Paramètres!$A$1:$I$89,3,0)*0.475*44/12</f>
        <v>4.0905544477407233E-21</v>
      </c>
      <c r="AX174" s="21">
        <f t="shared" si="166"/>
        <v>6.8728301496599073E-2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0</v>
      </c>
      <c r="BJ174" s="59">
        <f t="shared" si="146"/>
        <v>0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175.9108689482207</v>
      </c>
      <c r="T175" s="59">
        <f t="shared" si="142"/>
        <v>359.8073445551853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0.10027360827216414</v>
      </c>
      <c r="AA175" s="21">
        <f>EXP(-LN(2)/25)*AA174+(1-EXP(-LN(2)/25))/(LN(2)/25)*Calculateur!V175*Calculateur!X175*VLOOKUP('Données projet'!$B$9,Paramètres!$A$1:$I$89,3,0)*0.475*44/12</f>
        <v>0.21048010167325382</v>
      </c>
      <c r="AB175" s="21">
        <f>EXP(-LN(2)/2)*AB174+(1-EXP(-LN(2)/2))/(LN(2)/2)*V175*Y175*VLOOKUP('Données projet'!$B$9,Paramètres!$A$1:$I$89,3,0)*0.475*44/12</f>
        <v>2.4889210476316166E-22</v>
      </c>
      <c r="AC175" s="22">
        <f t="shared" si="163"/>
        <v>0.31075370994541796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-1.1350493878126145E-13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311.44572917773388</v>
      </c>
      <c r="AO175" s="59">
        <f t="shared" si="144"/>
        <v>190.00559730122654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6.6848922477910272E-2</v>
      </c>
      <c r="AW175" s="21">
        <f>EXP(-LN(2)/2)*AW174+(1-EXP(-LN(2)/2))/(LN(2)/2)*AQ175*AT175*VLOOKUP('Données projet'!$B$10,Paramètres!$A$1:$I$89,3,0)*0.475*44/12</f>
        <v>2.8924587888102584E-21</v>
      </c>
      <c r="AX175" s="21">
        <f t="shared" si="166"/>
        <v>6.6848922477910272E-2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0</v>
      </c>
      <c r="BJ175" s="59">
        <f t="shared" si="146"/>
        <v>0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175.9108689482207</v>
      </c>
      <c r="T176" s="59">
        <f t="shared" si="142"/>
        <v>359.8073445551853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9.8307303974808913E-2</v>
      </c>
      <c r="AA176" s="21">
        <f>EXP(-LN(2)/25)*AA175+(1-EXP(-LN(2)/25))/(LN(2)/25)*Calculateur!V176*Calculateur!X176*VLOOKUP('Données projet'!$B$9,Paramètres!$A$1:$I$89,3,0)*0.475*44/12</f>
        <v>0.20472451222433119</v>
      </c>
      <c r="AB176" s="21">
        <f>EXP(-LN(2)/2)*AB175+(1-EXP(-LN(2)/2))/(LN(2)/2)*V176*Y176*VLOOKUP('Données projet'!$B$9,Paramètres!$A$1:$I$89,3,0)*0.475*44/12</f>
        <v>1.7599329506182422E-22</v>
      </c>
      <c r="AC176" s="22">
        <f t="shared" si="163"/>
        <v>0.3030318161991401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-1.1350493878126145E-13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311.44572917773388</v>
      </c>
      <c r="AO176" s="59">
        <f t="shared" si="144"/>
        <v>190.00559730122654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6.5020935177319772E-2</v>
      </c>
      <c r="AW176" s="21">
        <f>EXP(-LN(2)/2)*AW175+(1-EXP(-LN(2)/2))/(LN(2)/2)*AQ176*AT176*VLOOKUP('Données projet'!$B$10,Paramètres!$A$1:$I$89,3,0)*0.475*44/12</f>
        <v>2.0452772238703616E-21</v>
      </c>
      <c r="AX176" s="21">
        <f t="shared" si="166"/>
        <v>6.5020935177319772E-2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0</v>
      </c>
      <c r="BJ176" s="59">
        <f t="shared" si="146"/>
        <v>0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175.9108689482207</v>
      </c>
      <c r="T177" s="59">
        <f t="shared" si="142"/>
        <v>359.8073445551853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9.637955770539762E-2</v>
      </c>
      <c r="AA177" s="21">
        <f>EXP(-LN(2)/25)*AA176+(1-EXP(-LN(2)/25))/(LN(2)/25)*Calculateur!V177*Calculateur!X177*VLOOKUP('Données projet'!$B$9,Paramètres!$A$1:$I$89,3,0)*0.475*44/12</f>
        <v>0.19912630967156267</v>
      </c>
      <c r="AB177" s="21">
        <f>EXP(-LN(2)/2)*AB176+(1-EXP(-LN(2)/2))/(LN(2)/2)*V177*Y177*VLOOKUP('Données projet'!$B$9,Paramètres!$A$1:$I$89,3,0)*0.475*44/12</f>
        <v>1.2444605238158083E-22</v>
      </c>
      <c r="AC177" s="22">
        <f t="shared" si="163"/>
        <v>0.29550586737696027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-1.1350493878126145E-13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311.44572917773388</v>
      </c>
      <c r="AO177" s="59">
        <f t="shared" si="144"/>
        <v>190.00559730122654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6.3242934285593591E-2</v>
      </c>
      <c r="AW177" s="21">
        <f>EXP(-LN(2)/2)*AW176+(1-EXP(-LN(2)/2))/(LN(2)/2)*AQ177*AT177*VLOOKUP('Données projet'!$B$10,Paramètres!$A$1:$I$89,3,0)*0.475*44/12</f>
        <v>1.4462293944051292E-21</v>
      </c>
      <c r="AX177" s="21">
        <f t="shared" si="166"/>
        <v>6.3242934285593591E-2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0</v>
      </c>
      <c r="BJ177" s="59">
        <f t="shared" si="146"/>
        <v>0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175.9108689482207</v>
      </c>
      <c r="T178" s="59">
        <f t="shared" si="142"/>
        <v>359.8073445551853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9.4489613364520358E-2</v>
      </c>
      <c r="AA178" s="21">
        <f>EXP(-LN(2)/25)*AA177+(1-EXP(-LN(2)/25))/(LN(2)/25)*Calculateur!V178*Calculateur!X178*VLOOKUP('Données projet'!$B$9,Paramètres!$A$1:$I$89,3,0)*0.475*44/12</f>
        <v>0.19368119026199626</v>
      </c>
      <c r="AB178" s="21">
        <f>EXP(-LN(2)/2)*AB177+(1-EXP(-LN(2)/2))/(LN(2)/2)*V178*Y178*VLOOKUP('Données projet'!$B$9,Paramètres!$A$1:$I$89,3,0)*0.475*44/12</f>
        <v>8.7996647530912109E-23</v>
      </c>
      <c r="AC178" s="22">
        <f t="shared" si="163"/>
        <v>0.28817080362651659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-1.1350493878126145E-13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311.44572917773388</v>
      </c>
      <c r="AO178" s="59">
        <f t="shared" si="144"/>
        <v>190.00559730122654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6.1513552921752666E-2</v>
      </c>
      <c r="AW178" s="21">
        <f>EXP(-LN(2)/2)*AW177+(1-EXP(-LN(2)/2))/(LN(2)/2)*AQ178*AT178*VLOOKUP('Données projet'!$B$10,Paramètres!$A$1:$I$89,3,0)*0.475*44/12</f>
        <v>1.0226386119351808E-21</v>
      </c>
      <c r="AX178" s="21">
        <f t="shared" si="166"/>
        <v>6.1513552921752666E-2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0</v>
      </c>
      <c r="BJ178" s="59">
        <f t="shared" si="146"/>
        <v>0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175.9108689482207</v>
      </c>
      <c r="T179" s="59">
        <f t="shared" si="142"/>
        <v>359.8073445551853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9.2636729679415483E-2</v>
      </c>
      <c r="AA179" s="21">
        <f>EXP(-LN(2)/25)*AA178+(1-EXP(-LN(2)/25))/(LN(2)/25)*Calculateur!V179*Calculateur!X179*VLOOKUP('Données projet'!$B$9,Paramètres!$A$1:$I$89,3,0)*0.475*44/12</f>
        <v>0.18838496792903084</v>
      </c>
      <c r="AB179" s="21">
        <f>EXP(-LN(2)/2)*AB178+(1-EXP(-LN(2)/2))/(LN(2)/2)*V179*Y179*VLOOKUP('Données projet'!$B$9,Paramètres!$A$1:$I$89,3,0)*0.475*44/12</f>
        <v>6.2223026190790415E-23</v>
      </c>
      <c r="AC179" s="22">
        <f t="shared" si="163"/>
        <v>0.28102169760844631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-1.1350493878126145E-13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311.44572917773388</v>
      </c>
      <c r="AO179" s="59">
        <f t="shared" si="144"/>
        <v>190.00559730122654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5.9831461582250181E-2</v>
      </c>
      <c r="AW179" s="21">
        <f>EXP(-LN(2)/2)*AW178+(1-EXP(-LN(2)/2))/(LN(2)/2)*AQ179*AT179*VLOOKUP('Données projet'!$B$10,Paramètres!$A$1:$I$89,3,0)*0.475*44/12</f>
        <v>7.231146972025646E-22</v>
      </c>
      <c r="AX179" s="21">
        <f t="shared" si="166"/>
        <v>5.9831461582250181E-2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0</v>
      </c>
      <c r="BJ179" s="59">
        <f t="shared" si="146"/>
        <v>0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175.9108689482207</v>
      </c>
      <c r="T180" s="59">
        <f t="shared" si="142"/>
        <v>359.8073445551853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9.0820179913228063E-2</v>
      </c>
      <c r="AA180" s="21">
        <f>EXP(-LN(2)/25)*AA179+(1-EXP(-LN(2)/25))/(LN(2)/25)*Calculateur!V180*Calculateur!X180*VLOOKUP('Données projet'!$B$9,Paramètres!$A$1:$I$89,3,0)*0.475*44/12</f>
        <v>0.1832335710742766</v>
      </c>
      <c r="AB180" s="21">
        <f>EXP(-LN(2)/2)*AB179+(1-EXP(-LN(2)/2))/(LN(2)/2)*V180*Y180*VLOOKUP('Données projet'!$B$9,Paramètres!$A$1:$I$89,3,0)*0.475*44/12</f>
        <v>4.3998323765456055E-23</v>
      </c>
      <c r="AC180" s="22">
        <f t="shared" si="163"/>
        <v>0.27405375098750467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-1.1350493878126145E-13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311.44572917773388</v>
      </c>
      <c r="AO180" s="59">
        <f t="shared" si="144"/>
        <v>190.00559730122654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5.8195367118883734E-2</v>
      </c>
      <c r="AW180" s="21">
        <f>EXP(-LN(2)/2)*AW179+(1-EXP(-LN(2)/2))/(LN(2)/2)*AQ180*AT180*VLOOKUP('Données projet'!$B$10,Paramètres!$A$1:$I$89,3,0)*0.475*44/12</f>
        <v>5.1131930596759041E-22</v>
      </c>
      <c r="AX180" s="21">
        <f t="shared" si="166"/>
        <v>5.8195367118883734E-2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0</v>
      </c>
      <c r="BJ180" s="59">
        <f t="shared" si="146"/>
        <v>0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175.9108689482207</v>
      </c>
      <c r="T181" s="59">
        <f t="shared" si="142"/>
        <v>359.8073445551853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8.9039251579969628E-2</v>
      </c>
      <c r="AA181" s="21">
        <f>EXP(-LN(2)/25)*AA180+(1-EXP(-LN(2)/25))/(LN(2)/25)*Calculateur!V181*Calculateur!X181*VLOOKUP('Données projet'!$B$9,Paramètres!$A$1:$I$89,3,0)*0.475*44/12</f>
        <v>0.1782230394374158</v>
      </c>
      <c r="AB181" s="21">
        <f>EXP(-LN(2)/2)*AB180+(1-EXP(-LN(2)/2))/(LN(2)/2)*V181*Y181*VLOOKUP('Données projet'!$B$9,Paramètres!$A$1:$I$89,3,0)*0.475*44/12</f>
        <v>3.1111513095395208E-23</v>
      </c>
      <c r="AC181" s="22">
        <f t="shared" si="163"/>
        <v>0.26726229101738541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-1.1350493878126145E-13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311.44572917773388</v>
      </c>
      <c r="AO181" s="59">
        <f t="shared" si="144"/>
        <v>190.00559730122654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5.6604011744656506E-2</v>
      </c>
      <c r="AW181" s="21">
        <f>EXP(-LN(2)/2)*AW180+(1-EXP(-LN(2)/2))/(LN(2)/2)*AQ181*AT181*VLOOKUP('Données projet'!$B$10,Paramètres!$A$1:$I$89,3,0)*0.475*44/12</f>
        <v>3.615573486012823E-22</v>
      </c>
      <c r="AX181" s="21">
        <f t="shared" si="166"/>
        <v>5.6604011744656506E-2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0</v>
      </c>
      <c r="BJ181" s="59">
        <f t="shared" si="146"/>
        <v>0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175.9108689482207</v>
      </c>
      <c r="T182" s="59">
        <f t="shared" si="142"/>
        <v>359.8073445551853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8.7293246165067354E-2</v>
      </c>
      <c r="AA182" s="21">
        <f>EXP(-LN(2)/25)*AA181+(1-EXP(-LN(2)/25))/(LN(2)/25)*Calculateur!V182*Calculateur!X182*VLOOKUP('Données projet'!$B$9,Paramètres!$A$1:$I$89,3,0)*0.475*44/12</f>
        <v>0.17334952105165735</v>
      </c>
      <c r="AB182" s="21">
        <f>EXP(-LN(2)/2)*AB181+(1-EXP(-LN(2)/2))/(LN(2)/2)*V182*Y182*VLOOKUP('Données projet'!$B$9,Paramètres!$A$1:$I$89,3,0)*0.475*44/12</f>
        <v>2.1999161882728027E-23</v>
      </c>
      <c r="AC182" s="22">
        <f t="shared" si="163"/>
        <v>0.26064276721672469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-1.1350493878126145E-13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311.44572917773388</v>
      </c>
      <c r="AO182" s="59">
        <f t="shared" si="144"/>
        <v>190.00559730122654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5.505617206682327E-2</v>
      </c>
      <c r="AW182" s="21">
        <f>EXP(-LN(2)/2)*AW181+(1-EXP(-LN(2)/2))/(LN(2)/2)*AQ182*AT182*VLOOKUP('Données projet'!$B$10,Paramètres!$A$1:$I$89,3,0)*0.475*44/12</f>
        <v>2.556596529837952E-22</v>
      </c>
      <c r="AX182" s="21">
        <f t="shared" si="166"/>
        <v>5.505617206682327E-2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0</v>
      </c>
      <c r="BJ182" s="59">
        <f t="shared" si="146"/>
        <v>0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175.9108689482207</v>
      </c>
      <c r="T183" s="59">
        <f t="shared" si="142"/>
        <v>359.8073445551853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8.5581478851393167E-2</v>
      </c>
      <c r="AA183" s="21">
        <f>EXP(-LN(2)/25)*AA182+(1-EXP(-LN(2)/25))/(LN(2)/25)*Calculateur!V183*Calculateur!X183*VLOOKUP('Données projet'!$B$9,Paramètres!$A$1:$I$89,3,0)*0.475*44/12</f>
        <v>0.16860926928244466</v>
      </c>
      <c r="AB183" s="21">
        <f>EXP(-LN(2)/2)*AB182+(1-EXP(-LN(2)/2))/(LN(2)/2)*V183*Y183*VLOOKUP('Données projet'!$B$9,Paramètres!$A$1:$I$89,3,0)*0.475*44/12</f>
        <v>1.5555756547697604E-23</v>
      </c>
      <c r="AC183" s="22">
        <f t="shared" si="163"/>
        <v>0.2541907481338378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-1.1350493878126145E-13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311.44572917773388</v>
      </c>
      <c r="AO183" s="59">
        <f t="shared" si="144"/>
        <v>190.00559730122654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5.355065814637773E-2</v>
      </c>
      <c r="AW183" s="21">
        <f>EXP(-LN(2)/2)*AW182+(1-EXP(-LN(2)/2))/(LN(2)/2)*AQ183*AT183*VLOOKUP('Données projet'!$B$10,Paramètres!$A$1:$I$89,3,0)*0.475*44/12</f>
        <v>1.8077867430064115E-22</v>
      </c>
      <c r="AX183" s="21">
        <f t="shared" si="166"/>
        <v>5.355065814637773E-2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0</v>
      </c>
      <c r="BJ183" s="59">
        <f t="shared" si="146"/>
        <v>0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175.9108689482207</v>
      </c>
      <c r="T184" s="59">
        <f t="shared" si="142"/>
        <v>359.8073445551853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8.3903278250665167E-2</v>
      </c>
      <c r="AA184" s="21">
        <f>EXP(-LN(2)/25)*AA183+(1-EXP(-LN(2)/25))/(LN(2)/25)*Calculateur!V184*Calculateur!X184*VLOOKUP('Données projet'!$B$9,Paramètres!$A$1:$I$89,3,0)*0.475*44/12</f>
        <v>0.16399863994714009</v>
      </c>
      <c r="AB184" s="21">
        <f>EXP(-LN(2)/2)*AB183+(1-EXP(-LN(2)/2))/(LN(2)/2)*V184*Y184*VLOOKUP('Données projet'!$B$9,Paramètres!$A$1:$I$89,3,0)*0.475*44/12</f>
        <v>1.0999580941364014E-23</v>
      </c>
      <c r="AC184" s="22">
        <f t="shared" si="163"/>
        <v>0.24790191819780527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-1.1350493878126145E-13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311.44572917773388</v>
      </c>
      <c r="AO184" s="59">
        <f t="shared" si="144"/>
        <v>190.00559730122654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5.2086312583258312E-2</v>
      </c>
      <c r="AW184" s="21">
        <f>EXP(-LN(2)/2)*AW183+(1-EXP(-LN(2)/2))/(LN(2)/2)*AQ184*AT184*VLOOKUP('Données projet'!$B$10,Paramètres!$A$1:$I$89,3,0)*0.475*44/12</f>
        <v>1.278298264918976E-22</v>
      </c>
      <c r="AX184" s="21">
        <f t="shared" si="166"/>
        <v>5.2086312583258312E-2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0</v>
      </c>
      <c r="BJ184" s="59">
        <f t="shared" si="146"/>
        <v>0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175.9108689482207</v>
      </c>
      <c r="T185" s="59">
        <f t="shared" si="142"/>
        <v>359.8073445551853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8.2257986140116146E-2</v>
      </c>
      <c r="AA185" s="21">
        <f>EXP(-LN(2)/25)*AA184+(1-EXP(-LN(2)/25))/(LN(2)/25)*Calculateur!V185*Calculateur!X185*VLOOKUP('Données projet'!$B$9,Paramètres!$A$1:$I$89,3,0)*0.475*44/12</f>
        <v>0.1595140885134719</v>
      </c>
      <c r="AB185" s="21">
        <f>EXP(-LN(2)/2)*AB184+(1-EXP(-LN(2)/2))/(LN(2)/2)*V185*Y185*VLOOKUP('Données projet'!$B$9,Paramètres!$A$1:$I$89,3,0)*0.475*44/12</f>
        <v>7.7778782738488019E-24</v>
      </c>
      <c r="AC185" s="22">
        <f t="shared" si="163"/>
        <v>0.24177207465358805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-1.1350493878126145E-13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311.44572917773388</v>
      </c>
      <c r="AO185" s="59">
        <f t="shared" si="144"/>
        <v>190.00559730122654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5.0662009626568978E-2</v>
      </c>
      <c r="AW185" s="21">
        <f>EXP(-LN(2)/2)*AW184+(1-EXP(-LN(2)/2))/(LN(2)/2)*AQ185*AT185*VLOOKUP('Données projet'!$B$10,Paramètres!$A$1:$I$89,3,0)*0.475*44/12</f>
        <v>9.0389337150320574E-23</v>
      </c>
      <c r="AX185" s="21">
        <f t="shared" si="166"/>
        <v>5.0662009626568978E-2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0</v>
      </c>
      <c r="BJ185" s="59">
        <f t="shared" si="146"/>
        <v>0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175.9108689482207</v>
      </c>
      <c r="T186" s="59">
        <f t="shared" si="142"/>
        <v>359.8073445551853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8.0644957204325893E-2</v>
      </c>
      <c r="AA186" s="21">
        <f>EXP(-LN(2)/25)*AA185+(1-EXP(-LN(2)/25))/(LN(2)/25)*Calculateur!V186*Calculateur!X186*VLOOKUP('Données projet'!$B$9,Paramètres!$A$1:$I$89,3,0)*0.475*44/12</f>
        <v>0.15515216737458967</v>
      </c>
      <c r="AB186" s="21">
        <f>EXP(-LN(2)/2)*AB185+(1-EXP(-LN(2)/2))/(LN(2)/2)*V186*Y186*VLOOKUP('Données projet'!$B$9,Paramètres!$A$1:$I$89,3,0)*0.475*44/12</f>
        <v>5.4997904706820068E-24</v>
      </c>
      <c r="AC186" s="22">
        <f t="shared" si="163"/>
        <v>0.23579712457891555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-1.1350493878126145E-13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311.44572917773388</v>
      </c>
      <c r="AO186" s="59">
        <f t="shared" si="144"/>
        <v>190.00559730122654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4.9276654309131154E-2</v>
      </c>
      <c r="AW186" s="21">
        <f>EXP(-LN(2)/2)*AW185+(1-EXP(-LN(2)/2))/(LN(2)/2)*AQ186*AT186*VLOOKUP('Données projet'!$B$10,Paramètres!$A$1:$I$89,3,0)*0.475*44/12</f>
        <v>6.3914913245948801E-23</v>
      </c>
      <c r="AX186" s="21">
        <f t="shared" si="166"/>
        <v>4.9276654309131154E-2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0</v>
      </c>
      <c r="BJ186" s="59">
        <f t="shared" si="146"/>
        <v>0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175.9108689482207</v>
      </c>
      <c r="T187" s="59">
        <f t="shared" si="142"/>
        <v>359.8073445551853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7.9063558782115989E-2</v>
      </c>
      <c r="AA187" s="21">
        <f>EXP(-LN(2)/25)*AA186+(1-EXP(-LN(2)/25))/(LN(2)/25)*Calculateur!V187*Calculateur!X187*VLOOKUP('Données projet'!$B$9,Paramètres!$A$1:$I$89,3,0)*0.475*44/12</f>
        <v>0.15090952319863363</v>
      </c>
      <c r="AB187" s="21">
        <f>EXP(-LN(2)/2)*AB186+(1-EXP(-LN(2)/2))/(LN(2)/2)*V187*Y187*VLOOKUP('Données projet'!$B$9,Paramètres!$A$1:$I$89,3,0)*0.475*44/12</f>
        <v>3.8889391369244009E-24</v>
      </c>
      <c r="AC187" s="22">
        <f t="shared" si="163"/>
        <v>0.22997308198074962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-1.1350493878126145E-13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311.44572917773388</v>
      </c>
      <c r="AO187" s="59">
        <f t="shared" si="144"/>
        <v>190.00559730122654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4.7929181605701338E-2</v>
      </c>
      <c r="AW187" s="21">
        <f>EXP(-LN(2)/2)*AW186+(1-EXP(-LN(2)/2))/(LN(2)/2)*AQ187*AT187*VLOOKUP('Données projet'!$B$10,Paramètres!$A$1:$I$89,3,0)*0.475*44/12</f>
        <v>4.5194668575160287E-23</v>
      </c>
      <c r="AX187" s="21">
        <f t="shared" si="166"/>
        <v>4.7929181605701338E-2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0</v>
      </c>
      <c r="BJ187" s="59">
        <f t="shared" si="146"/>
        <v>0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175.9108689482207</v>
      </c>
      <c r="T188" s="59">
        <f t="shared" si="142"/>
        <v>359.8073445551853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7.7513170618407831E-2</v>
      </c>
      <c r="AA188" s="21">
        <f>EXP(-LN(2)/25)*AA187+(1-EXP(-LN(2)/25))/(LN(2)/25)*Calculateur!V188*Calculateur!X188*VLOOKUP('Données projet'!$B$9,Paramètres!$A$1:$I$89,3,0)*0.475*44/12</f>
        <v>0.14678289435078007</v>
      </c>
      <c r="AB188" s="21">
        <f>EXP(-LN(2)/2)*AB187+(1-EXP(-LN(2)/2))/(LN(2)/2)*V188*Y188*VLOOKUP('Données projet'!$B$9,Paramètres!$A$1:$I$89,3,0)*0.475*44/12</f>
        <v>2.7498952353410034E-24</v>
      </c>
      <c r="AC188" s="22">
        <f t="shared" si="163"/>
        <v>0.22429606496918791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-1.1350493878126145E-13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311.44572917773388</v>
      </c>
      <c r="AO188" s="59">
        <f t="shared" si="144"/>
        <v>190.00559730122654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4.6618555614207316E-2</v>
      </c>
      <c r="AW188" s="21">
        <f>EXP(-LN(2)/2)*AW187+(1-EXP(-LN(2)/2))/(LN(2)/2)*AQ188*AT188*VLOOKUP('Données projet'!$B$10,Paramètres!$A$1:$I$89,3,0)*0.475*44/12</f>
        <v>3.1957456622974401E-23</v>
      </c>
      <c r="AX188" s="21">
        <f t="shared" si="166"/>
        <v>4.6618555614207316E-2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0</v>
      </c>
      <c r="BJ188" s="59">
        <f t="shared" si="146"/>
        <v>0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175.9108689482207</v>
      </c>
      <c r="T189" s="59">
        <f t="shared" si="142"/>
        <v>359.8073445551853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7.5993184620946577E-2</v>
      </c>
      <c r="AA189" s="21">
        <f>EXP(-LN(2)/25)*AA188+(1-EXP(-LN(2)/25))/(LN(2)/25)*Calculateur!V189*Calculateur!X189*VLOOKUP('Données projet'!$B$9,Paramètres!$A$1:$I$89,3,0)*0.475*44/12</f>
        <v>0.14276910838578105</v>
      </c>
      <c r="AB189" s="21">
        <f>EXP(-LN(2)/2)*AB188+(1-EXP(-LN(2)/2))/(LN(2)/2)*V189*Y189*VLOOKUP('Données projet'!$B$9,Paramètres!$A$1:$I$89,3,0)*0.475*44/12</f>
        <v>1.9444695684622005E-24</v>
      </c>
      <c r="AC189" s="22">
        <f t="shared" si="163"/>
        <v>0.21876229300672762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-1.1350493878126145E-13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311.44572917773388</v>
      </c>
      <c r="AO189" s="59">
        <f t="shared" si="144"/>
        <v>190.00559730122654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4.5343768759373522E-2</v>
      </c>
      <c r="AW189" s="21">
        <f>EXP(-LN(2)/2)*AW188+(1-EXP(-LN(2)/2))/(LN(2)/2)*AQ189*AT189*VLOOKUP('Données projet'!$B$10,Paramètres!$A$1:$I$89,3,0)*0.475*44/12</f>
        <v>2.2597334287580144E-23</v>
      </c>
      <c r="AX189" s="21">
        <f t="shared" si="166"/>
        <v>4.5343768759373522E-2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0</v>
      </c>
      <c r="BJ189" s="59">
        <f t="shared" si="146"/>
        <v>0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175.9108689482207</v>
      </c>
      <c r="T190" s="59">
        <f t="shared" si="142"/>
        <v>359.8073445551853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7.4503004621795627E-2</v>
      </c>
      <c r="AA190" s="21">
        <f>EXP(-LN(2)/25)*AA189+(1-EXP(-LN(2)/25))/(LN(2)/25)*Calculateur!V190*Calculateur!X190*VLOOKUP('Données projet'!$B$9,Paramètres!$A$1:$I$89,3,0)*0.475*44/12</f>
        <v>0.13886507960907077</v>
      </c>
      <c r="AB190" s="21">
        <f>EXP(-LN(2)/2)*AB189+(1-EXP(-LN(2)/2))/(LN(2)/2)*V190*Y190*VLOOKUP('Données projet'!$B$9,Paramètres!$A$1:$I$89,3,0)*0.475*44/12</f>
        <v>1.3749476176705017E-24</v>
      </c>
      <c r="AC190" s="22">
        <f t="shared" si="163"/>
        <v>0.21336808423086639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-1.1350493878126145E-13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311.44572917773388</v>
      </c>
      <c r="AO190" s="59">
        <f t="shared" si="144"/>
        <v>190.00559730122654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4.4103841018123285E-2</v>
      </c>
      <c r="AW190" s="21">
        <f>EXP(-LN(2)/2)*AW189+(1-EXP(-LN(2)/2))/(LN(2)/2)*AQ190*AT190*VLOOKUP('Données projet'!$B$10,Paramètres!$A$1:$I$89,3,0)*0.475*44/12</f>
        <v>1.59787283114872E-23</v>
      </c>
      <c r="AX190" s="21">
        <f t="shared" si="166"/>
        <v>4.4103841018123285E-2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0</v>
      </c>
      <c r="BJ190" s="59">
        <f t="shared" si="146"/>
        <v>0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175.9108689482207</v>
      </c>
      <c r="T191" s="59">
        <f t="shared" si="142"/>
        <v>359.8073445551853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7.3042046143507969E-2</v>
      </c>
      <c r="AA191" s="21">
        <f>EXP(-LN(2)/25)*AA190+(1-EXP(-LN(2)/25))/(LN(2)/25)*Calculateur!V191*Calculateur!X191*VLOOKUP('Données projet'!$B$9,Paramètres!$A$1:$I$89,3,0)*0.475*44/12</f>
        <v>0.13506780670456356</v>
      </c>
      <c r="AB191" s="21">
        <f>EXP(-LN(2)/2)*AB190+(1-EXP(-LN(2)/2))/(LN(2)/2)*V191*Y191*VLOOKUP('Données projet'!$B$9,Paramètres!$A$1:$I$89,3,0)*0.475*44/12</f>
        <v>9.7223478423110024E-25</v>
      </c>
      <c r="AC191" s="22">
        <f t="shared" si="163"/>
        <v>0.20810985284807154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-1.1350493878126145E-13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311.44572917773388</v>
      </c>
      <c r="AO191" s="59">
        <f t="shared" si="144"/>
        <v>190.00559730122654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4.2897819166162504E-2</v>
      </c>
      <c r="AW191" s="21">
        <f>EXP(-LN(2)/2)*AW190+(1-EXP(-LN(2)/2))/(LN(2)/2)*AQ191*AT191*VLOOKUP('Données projet'!$B$10,Paramètres!$A$1:$I$89,3,0)*0.475*44/12</f>
        <v>1.1298667143790072E-23</v>
      </c>
      <c r="AX191" s="21">
        <f t="shared" si="166"/>
        <v>4.2897819166162504E-2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0</v>
      </c>
      <c r="BJ191" s="59">
        <f t="shared" si="146"/>
        <v>0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175.9108689482207</v>
      </c>
      <c r="T192" s="59">
        <f t="shared" si="142"/>
        <v>359.8073445551853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7.1609736169882851E-2</v>
      </c>
      <c r="AA192" s="21">
        <f>EXP(-LN(2)/25)*AA191+(1-EXP(-LN(2)/25))/(LN(2)/25)*Calculateur!V192*Calculateur!X192*VLOOKUP('Données projet'!$B$9,Paramètres!$A$1:$I$89,3,0)*0.475*44/12</f>
        <v>0.13137437042732</v>
      </c>
      <c r="AB192" s="21">
        <f>EXP(-LN(2)/2)*AB191+(1-EXP(-LN(2)/2))/(LN(2)/2)*V192*Y192*VLOOKUP('Données projet'!$B$9,Paramètres!$A$1:$I$89,3,0)*0.475*44/12</f>
        <v>6.8747380883525085E-25</v>
      </c>
      <c r="AC192" s="22">
        <f t="shared" si="163"/>
        <v>0.20298410659720284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-1.1350493878126145E-13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311.44572917773388</v>
      </c>
      <c r="AO192" s="59">
        <f t="shared" si="144"/>
        <v>190.00559730122654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4.1724776045165522E-2</v>
      </c>
      <c r="AW192" s="21">
        <f>EXP(-LN(2)/2)*AW191+(1-EXP(-LN(2)/2))/(LN(2)/2)*AQ192*AT192*VLOOKUP('Données projet'!$B$10,Paramètres!$A$1:$I$89,3,0)*0.475*44/12</f>
        <v>7.9893641557436002E-24</v>
      </c>
      <c r="AX192" s="21">
        <f t="shared" si="166"/>
        <v>4.1724776045165522E-2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0</v>
      </c>
      <c r="BJ192" s="59">
        <f t="shared" si="146"/>
        <v>0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175.9108689482207</v>
      </c>
      <c r="T193" s="59">
        <f t="shared" si="142"/>
        <v>359.8073445551853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7.0205512921217711E-2</v>
      </c>
      <c r="AA193" s="21">
        <f>EXP(-LN(2)/25)*AA192+(1-EXP(-LN(2)/25))/(LN(2)/25)*Calculateur!V193*Calculateur!X193*VLOOKUP('Données projet'!$B$9,Paramètres!$A$1:$I$89,3,0)*0.475*44/12</f>
        <v>0.12778193135930704</v>
      </c>
      <c r="AB193" s="21">
        <f>EXP(-LN(2)/2)*AB192+(1-EXP(-LN(2)/2))/(LN(2)/2)*V193*Y193*VLOOKUP('Données projet'!$B$9,Paramètres!$A$1:$I$89,3,0)*0.475*44/12</f>
        <v>4.8611739211555012E-25</v>
      </c>
      <c r="AC193" s="22">
        <f t="shared" si="163"/>
        <v>0.19798744428052475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-1.1350493878126145E-13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311.44572917773388</v>
      </c>
      <c r="AO193" s="59">
        <f t="shared" si="144"/>
        <v>190.00559730122654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4.0583809849999861E-2</v>
      </c>
      <c r="AW193" s="21">
        <f>EXP(-LN(2)/2)*AW192+(1-EXP(-LN(2)/2))/(LN(2)/2)*AQ193*AT193*VLOOKUP('Données projet'!$B$10,Paramètres!$A$1:$I$89,3,0)*0.475*44/12</f>
        <v>5.6493335718950359E-24</v>
      </c>
      <c r="AX193" s="21">
        <f t="shared" si="166"/>
        <v>4.0583809849999861E-2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0</v>
      </c>
      <c r="BJ193" s="59">
        <f t="shared" si="146"/>
        <v>0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175.9108689482207</v>
      </c>
      <c r="T194" s="59">
        <f t="shared" si="142"/>
        <v>359.8073445551853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6.8828825633967278E-2</v>
      </c>
      <c r="AA194" s="21">
        <f>EXP(-LN(2)/25)*AA193+(1-EXP(-LN(2)/25))/(LN(2)/25)*Calculateur!V194*Calculateur!X194*VLOOKUP('Données projet'!$B$9,Paramètres!$A$1:$I$89,3,0)*0.475*44/12</f>
        <v>0.12428772772652708</v>
      </c>
      <c r="AB194" s="21">
        <f>EXP(-LN(2)/2)*AB193+(1-EXP(-LN(2)/2))/(LN(2)/2)*V194*Y194*VLOOKUP('Données projet'!$B$9,Paramètres!$A$1:$I$89,3,0)*0.475*44/12</f>
        <v>3.4373690441762543E-25</v>
      </c>
      <c r="AC194" s="22">
        <f t="shared" si="163"/>
        <v>0.19311655336049435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-1.1350493878126145E-13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311.44572917773388</v>
      </c>
      <c r="AO194" s="59">
        <f t="shared" si="144"/>
        <v>190.00559730122654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3.9474043435441808E-2</v>
      </c>
      <c r="AW194" s="21">
        <f>EXP(-LN(2)/2)*AW193+(1-EXP(-LN(2)/2))/(LN(2)/2)*AQ194*AT194*VLOOKUP('Données projet'!$B$10,Paramètres!$A$1:$I$89,3,0)*0.475*44/12</f>
        <v>3.9946820778718001E-24</v>
      </c>
      <c r="AX194" s="21">
        <f t="shared" si="166"/>
        <v>3.9474043435441808E-2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0</v>
      </c>
      <c r="BJ194" s="59">
        <f t="shared" si="146"/>
        <v>0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175.9108689482207</v>
      </c>
      <c r="T195" s="59">
        <f t="shared" si="142"/>
        <v>359.8073445551853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6.7479134344723496E-2</v>
      </c>
      <c r="AA195" s="21">
        <f>EXP(-LN(2)/25)*AA194+(1-EXP(-LN(2)/25))/(LN(2)/25)*Calculateur!V195*Calculateur!X195*VLOOKUP('Données projet'!$B$9,Paramètres!$A$1:$I$89,3,0)*0.475*44/12</f>
        <v>0.12088907327583766</v>
      </c>
      <c r="AB195" s="21">
        <f>EXP(-LN(2)/2)*AB194+(1-EXP(-LN(2)/2))/(LN(2)/2)*V195*Y195*VLOOKUP('Données projet'!$B$9,Paramètres!$A$1:$I$89,3,0)*0.475*44/12</f>
        <v>2.4305869605777506E-25</v>
      </c>
      <c r="AC195" s="22">
        <f t="shared" si="163"/>
        <v>0.18836820762056117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-1.1350493878126145E-13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311.44572917773388</v>
      </c>
      <c r="AO195" s="59">
        <f t="shared" si="144"/>
        <v>190.00559730122654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3.8394623641849923E-2</v>
      </c>
      <c r="AW195" s="21">
        <f>EXP(-LN(2)/2)*AW194+(1-EXP(-LN(2)/2))/(LN(2)/2)*AQ195*AT195*VLOOKUP('Données projet'!$B$10,Paramètres!$A$1:$I$89,3,0)*0.475*44/12</f>
        <v>2.824666785947518E-24</v>
      </c>
      <c r="AX195" s="21">
        <f t="shared" si="166"/>
        <v>3.8394623641849923E-2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0</v>
      </c>
      <c r="BJ195" s="59">
        <f t="shared" si="146"/>
        <v>0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175.9108689482207</v>
      </c>
      <c r="T196" s="59">
        <f t="shared" si="142"/>
        <v>359.8073445551853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6.6155909678431379E-2</v>
      </c>
      <c r="AA196" s="21">
        <f>EXP(-LN(2)/25)*AA195+(1-EXP(-LN(2)/25))/(LN(2)/25)*Calculateur!V196*Calculateur!X196*VLOOKUP('Données projet'!$B$9,Paramètres!$A$1:$I$89,3,0)*0.475*44/12</f>
        <v>0.11758335520982981</v>
      </c>
      <c r="AB196" s="21">
        <f>EXP(-LN(2)/2)*AB195+(1-EXP(-LN(2)/2))/(LN(2)/2)*V196*Y196*VLOOKUP('Données projet'!$B$9,Paramètres!$A$1:$I$89,3,0)*0.475*44/12</f>
        <v>1.7186845220881271E-25</v>
      </c>
      <c r="AC196" s="22">
        <f t="shared" si="163"/>
        <v>0.1837392648882612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-1.1350493878126145E-13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311.44572917773388</v>
      </c>
      <c r="AO196" s="59">
        <f t="shared" si="144"/>
        <v>190.00559730122654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3.7344720639278031E-2</v>
      </c>
      <c r="AW196" s="21">
        <f>EXP(-LN(2)/2)*AW195+(1-EXP(-LN(2)/2))/(LN(2)/2)*AQ196*AT196*VLOOKUP('Données projet'!$B$10,Paramètres!$A$1:$I$89,3,0)*0.475*44/12</f>
        <v>1.9973410389359E-24</v>
      </c>
      <c r="AX196" s="21">
        <f t="shared" si="166"/>
        <v>3.7344720639278031E-2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0</v>
      </c>
      <c r="BJ196" s="59">
        <f t="shared" si="146"/>
        <v>0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175.9108689482207</v>
      </c>
      <c r="T197" s="59">
        <f t="shared" ref="T197:T203" si="204">$T$3</f>
        <v>359.8073445551853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6.4858632640757904E-2</v>
      </c>
      <c r="AA197" s="21">
        <f>EXP(-LN(2)/25)*AA196+(1-EXP(-LN(2)/25))/(LN(2)/25)*Calculateur!V197*Calculateur!X197*VLOOKUP('Données projet'!$B$9,Paramètres!$A$1:$I$89,3,0)*0.475*44/12</f>
        <v>0.11436803217817711</v>
      </c>
      <c r="AB197" s="21">
        <f>EXP(-LN(2)/2)*AB196+(1-EXP(-LN(2)/2))/(LN(2)/2)*V197*Y197*VLOOKUP('Données projet'!$B$9,Paramètres!$A$1:$I$89,3,0)*0.475*44/12</f>
        <v>1.2152934802888753E-25</v>
      </c>
      <c r="AC197" s="22">
        <f t="shared" si="163"/>
        <v>0.17922666481893501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-1.1350493878126145E-13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311.44572917773388</v>
      </c>
      <c r="AO197" s="59">
        <f t="shared" ref="AO197:AO203" si="205">$AO$3</f>
        <v>190.00559730122654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3.6323527289523469E-2</v>
      </c>
      <c r="AW197" s="21">
        <f>EXP(-LN(2)/2)*AW196+(1-EXP(-LN(2)/2))/(LN(2)/2)*AQ197*AT197*VLOOKUP('Données projet'!$B$10,Paramètres!$A$1:$I$89,3,0)*0.475*44/12</f>
        <v>1.412333392973759E-24</v>
      </c>
      <c r="AX197" s="21">
        <f t="shared" si="166"/>
        <v>3.6323527289523469E-2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0</v>
      </c>
      <c r="BJ197" s="59">
        <f t="shared" ref="BJ197:BJ203" si="206">$BJ$3</f>
        <v>0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175.9108689482207</v>
      </c>
      <c r="T198" s="59">
        <f t="shared" si="204"/>
        <v>359.8073445551853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6.3586794414532341E-2</v>
      </c>
      <c r="AA198" s="21">
        <f>EXP(-LN(2)/25)*AA197+(1-EXP(-LN(2)/25))/(LN(2)/25)*Calculateur!V198*Calculateur!X198*VLOOKUP('Données projet'!$B$9,Paramètres!$A$1:$I$89,3,0)*0.475*44/12</f>
        <v>0.11124063232391143</v>
      </c>
      <c r="AB198" s="21">
        <f>EXP(-LN(2)/2)*AB197+(1-EXP(-LN(2)/2))/(LN(2)/2)*V198*Y198*VLOOKUP('Données projet'!$B$9,Paramètres!$A$1:$I$89,3,0)*0.475*44/12</f>
        <v>8.5934226104406357E-26</v>
      </c>
      <c r="AC198" s="22">
        <f t="shared" si="163"/>
        <v>0.17482742673844376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-1.1350493878126145E-13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311.44572917773388</v>
      </c>
      <c r="AO198" s="59">
        <f t="shared" si="205"/>
        <v>190.00559730122654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3.5330258525620169E-2</v>
      </c>
      <c r="AW198" s="21">
        <f>EXP(-LN(2)/2)*AW197+(1-EXP(-LN(2)/2))/(LN(2)/2)*AQ198*AT198*VLOOKUP('Données projet'!$B$10,Paramètres!$A$1:$I$89,3,0)*0.475*44/12</f>
        <v>9.9867051946795002E-25</v>
      </c>
      <c r="AX198" s="21">
        <f t="shared" si="166"/>
        <v>3.5330258525620169E-2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0</v>
      </c>
      <c r="BJ198" s="59">
        <f t="shared" si="206"/>
        <v>0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175.9108689482207</v>
      </c>
      <c r="T199" s="59">
        <f t="shared" si="204"/>
        <v>359.8073445551853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6.2339896160178342E-2</v>
      </c>
      <c r="AA199" s="21">
        <f>EXP(-LN(2)/25)*AA198+(1-EXP(-LN(2)/25))/(LN(2)/25)*Calculateur!V199*Calculateur!X199*VLOOKUP('Données projet'!$B$9,Paramètres!$A$1:$I$89,3,0)*0.475*44/12</f>
        <v>0.10819875138312346</v>
      </c>
      <c r="AB199" s="21">
        <f>EXP(-LN(2)/2)*AB198+(1-EXP(-LN(2)/2))/(LN(2)/2)*V199*Y199*VLOOKUP('Données projet'!$B$9,Paramètres!$A$1:$I$89,3,0)*0.475*44/12</f>
        <v>6.0764674014443765E-26</v>
      </c>
      <c r="AC199" s="22">
        <f t="shared" si="163"/>
        <v>0.17053864754330181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-1.1350493878126145E-13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311.44572917773388</v>
      </c>
      <c r="AO199" s="59">
        <f t="shared" si="205"/>
        <v>190.00559730122654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3.4364150748299536E-2</v>
      </c>
      <c r="AW199" s="21">
        <f>EXP(-LN(2)/2)*AW198+(1-EXP(-LN(2)/2))/(LN(2)/2)*AQ199*AT199*VLOOKUP('Données projet'!$B$10,Paramètres!$A$1:$I$89,3,0)*0.475*44/12</f>
        <v>7.0616669648687949E-25</v>
      </c>
      <c r="AX199" s="21">
        <f t="shared" si="166"/>
        <v>3.4364150748299536E-2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0</v>
      </c>
      <c r="BJ199" s="59">
        <f t="shared" si="206"/>
        <v>0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175.9108689482207</v>
      </c>
      <c r="T200" s="59">
        <f t="shared" si="204"/>
        <v>359.8073445551853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6.1117448820059386E-2</v>
      </c>
      <c r="AA200" s="21">
        <f>EXP(-LN(2)/25)*AA199+(1-EXP(-LN(2)/25))/(LN(2)/25)*Calculateur!V200*Calculateur!X200*VLOOKUP('Données projet'!$B$9,Paramètres!$A$1:$I$89,3,0)*0.475*44/12</f>
        <v>0.10524005083662691</v>
      </c>
      <c r="AB200" s="21">
        <f>EXP(-LN(2)/2)*AB199+(1-EXP(-LN(2)/2))/(LN(2)/2)*V200*Y200*VLOOKUP('Données projet'!$B$9,Paramètres!$A$1:$I$89,3,0)*0.475*44/12</f>
        <v>4.2967113052203178E-26</v>
      </c>
      <c r="AC200" s="22">
        <f t="shared" si="163"/>
        <v>0.16635749965668628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-1.1350493878126145E-13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311.44572917773388</v>
      </c>
      <c r="AO200" s="59">
        <f t="shared" si="205"/>
        <v>190.00559730122654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3.3424461238955136E-2</v>
      </c>
      <c r="AW200" s="21">
        <f>EXP(-LN(2)/2)*AW199+(1-EXP(-LN(2)/2))/(LN(2)/2)*AQ200*AT200*VLOOKUP('Données projet'!$B$10,Paramètres!$A$1:$I$89,3,0)*0.475*44/12</f>
        <v>4.9933525973397501E-25</v>
      </c>
      <c r="AX200" s="21">
        <f t="shared" si="166"/>
        <v>3.3424461238955136E-2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0</v>
      </c>
      <c r="BJ200" s="59">
        <f t="shared" si="206"/>
        <v>0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175.9108689482207</v>
      </c>
      <c r="T201" s="59">
        <f t="shared" si="204"/>
        <v>359.8073445551853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5.9918972926660909E-2</v>
      </c>
      <c r="AA201" s="21">
        <f>EXP(-LN(2)/25)*AA200+(1-EXP(-LN(2)/25))/(LN(2)/25)*Calculateur!V201*Calculateur!X201*VLOOKUP('Données projet'!$B$9,Paramètres!$A$1:$I$89,3,0)*0.475*44/12</f>
        <v>0.10236225611216559</v>
      </c>
      <c r="AB201" s="21">
        <f>EXP(-LN(2)/2)*AB200+(1-EXP(-LN(2)/2))/(LN(2)/2)*V201*Y201*VLOOKUP('Données projet'!$B$9,Paramètres!$A$1:$I$89,3,0)*0.475*44/12</f>
        <v>3.0382337007221882E-26</v>
      </c>
      <c r="AC201" s="22">
        <f t="shared" si="163"/>
        <v>0.1622812290388265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-1.1350493878126145E-13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311.44572917773388</v>
      </c>
      <c r="AO201" s="59">
        <f t="shared" si="205"/>
        <v>190.00559730122654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3.2510467588659886E-2</v>
      </c>
      <c r="AW201" s="21">
        <f>EXP(-LN(2)/2)*AW200+(1-EXP(-LN(2)/2))/(LN(2)/2)*AQ201*AT201*VLOOKUP('Données projet'!$B$10,Paramètres!$A$1:$I$89,3,0)*0.475*44/12</f>
        <v>3.5308334824343974E-25</v>
      </c>
      <c r="AX201" s="21">
        <f t="shared" si="166"/>
        <v>3.2510467588659886E-2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0</v>
      </c>
      <c r="BJ201" s="59">
        <f t="shared" si="206"/>
        <v>0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175.9108689482207</v>
      </c>
      <c r="T202" s="59">
        <f t="shared" si="204"/>
        <v>359.8073445551853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5.8743998414533857E-2</v>
      </c>
      <c r="AA202" s="21">
        <f>EXP(-LN(2)/25)*AA201+(1-EXP(-LN(2)/25))/(LN(2)/25)*Calculateur!V202*Calculateur!X202*VLOOKUP('Données projet'!$B$9,Paramètres!$A$1:$I$89,3,0)*0.475*44/12</f>
        <v>9.9563154835781334E-2</v>
      </c>
      <c r="AB202" s="21">
        <f>EXP(-LN(2)/2)*AB201+(1-EXP(-LN(2)/2))/(LN(2)/2)*V202*Y202*VLOOKUP('Données projet'!$B$9,Paramètres!$A$1:$I$89,3,0)*0.475*44/12</f>
        <v>2.1483556526101589E-26</v>
      </c>
      <c r="AC202" s="22">
        <f t="shared" si="163"/>
        <v>0.15830715325031519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-1.1350493878126145E-13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311.44572917773388</v>
      </c>
      <c r="AO202" s="59">
        <f t="shared" si="205"/>
        <v>190.00559730122654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3.1621467142796796E-2</v>
      </c>
      <c r="AW202" s="21">
        <f>EXP(-LN(2)/2)*AW201+(1-EXP(-LN(2)/2))/(LN(2)/2)*AQ202*AT202*VLOOKUP('Données projet'!$B$10,Paramètres!$A$1:$I$89,3,0)*0.475*44/12</f>
        <v>2.496676298669875E-25</v>
      </c>
      <c r="AX202" s="21">
        <f t="shared" si="166"/>
        <v>3.1621467142796796E-2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0</v>
      </c>
      <c r="BJ202" s="59">
        <f t="shared" si="206"/>
        <v>0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175.9108689482207</v>
      </c>
      <c r="T203" s="59">
        <f t="shared" si="204"/>
        <v>359.8073445551853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5.7592064435925933E-2</v>
      </c>
      <c r="AA203" s="21">
        <f>EXP(-LN(2)/25)*AA202+(1-EXP(-LN(2)/25))/(LN(2)/25)*Calculateur!V203*Calculateur!X203*VLOOKUP('Données projet'!$B$9,Paramètres!$A$1:$I$89,3,0)*0.475*44/12</f>
        <v>9.6840595130998131E-2</v>
      </c>
      <c r="AB203" s="21">
        <f>EXP(-LN(2)/2)*AB202+(1-EXP(-LN(2)/2))/(LN(2)/2)*V203*Y203*VLOOKUP('Données projet'!$B$9,Paramètres!$A$1:$I$89,3,0)*0.475*44/12</f>
        <v>1.5191168503610941E-26</v>
      </c>
      <c r="AC203" s="22">
        <f t="shared" si="163"/>
        <v>0.15443265956692406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-1.1350493878126145E-13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311.44572917773388</v>
      </c>
      <c r="AO203" s="59">
        <f t="shared" si="205"/>
        <v>190.00559730122654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3.0756776460876333E-2</v>
      </c>
      <c r="AW203" s="21">
        <f>EXP(-LN(2)/2)*AW202+(1-EXP(-LN(2)/2))/(LN(2)/2)*AQ203*AT203*VLOOKUP('Données projet'!$B$10,Paramètres!$A$1:$I$89,3,0)*0.475*44/12</f>
        <v>1.7654167412171987E-25</v>
      </c>
      <c r="AX203" s="21">
        <f t="shared" si="166"/>
        <v>3.0756776460876333E-2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0</v>
      </c>
      <c r="BJ203" s="59">
        <f t="shared" si="206"/>
        <v>0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1.4093722046895278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O21" sqref="O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19.089000000000002</v>
      </c>
      <c r="C6" s="147">
        <f ca="1">IF(OR('Données projet'!B9="",'Données projet'!C9="",'Données projet'!C9=0%),0,Calculateur!S3)</f>
        <v>175.9108689482207</v>
      </c>
      <c r="D6" s="147">
        <f>IF(OR('Données projet'!B9="",'Données projet'!C9="",'Données projet'!C9=0%),0,Calculateur!T3)</f>
        <v>359.8073445551853</v>
      </c>
      <c r="E6" s="147">
        <f ca="1">MIN(C6,D6)</f>
        <v>175.9108689482207</v>
      </c>
      <c r="F6" s="147">
        <f ca="1">E6*B6</f>
        <v>3357.9625773525854</v>
      </c>
      <c r="G6" s="147">
        <f ca="1">F6*(100%-'Données projet'!$C$24)*(100%-'Données projet'!$C$25)*(100%-'Données projet'!$C$26)*(100%-'Données projet'!$C$27)</f>
        <v>2568.8413716747277</v>
      </c>
      <c r="H6" s="148">
        <f>IF(OR('Données projet'!B9="",'Données projet'!C9="",'Données projet'!C9=0%),0,AVERAGE(Calculateur!$AC$3:$AC$33)*B6)</f>
        <v>177.49095099997464</v>
      </c>
      <c r="I6" s="149">
        <f>H6*(100%-'Données projet'!$C$24)*(100%-'Données projet'!$C$25)*(100%-'Données projet'!$C$26)*(100%-'Données projet'!$C$27)</f>
        <v>135.78057751498062</v>
      </c>
      <c r="J6" s="150">
        <f>IF(OR('Données projet'!B9="",'Données projet'!C9="",'Données projet'!C9=0%),0,SUM(Calculateur!$V$3:$V$33)*VLOOKUP('Données projet'!$B$9,Paramètres!$A$1:$I$89,9,0)*B6)</f>
        <v>1024.88841</v>
      </c>
      <c r="K6" s="151">
        <f>J6*(100%-'Données projet'!$C$24)*(100%-'Données projet'!$C$25)*(100%-'Données projet'!$C$26)*(100%-'Données projet'!$C$27)</f>
        <v>784.03963365000004</v>
      </c>
      <c r="L6" s="152">
        <f ca="1">G6+I6+K6</f>
        <v>3488.661582839708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tauzin</v>
      </c>
      <c r="B7" s="154">
        <f>'Données projet'!D10</f>
        <v>1.0605</v>
      </c>
      <c r="C7" s="147">
        <f ca="1">IF(OR('Données projet'!B10="",'Données projet'!C10="",'Données projet'!C10=0%),0,Calculateur!AN3)</f>
        <v>311.44572917773388</v>
      </c>
      <c r="D7" s="147">
        <f>IF(OR('Données projet'!B10="",'Données projet'!C10="",'Données projet'!C10=0%),0,Calculateur!AO3)</f>
        <v>190.00559730122654</v>
      </c>
      <c r="E7" s="147">
        <f t="shared" ref="E7:E15" ca="1" si="0">MIN(C7,D7)</f>
        <v>190.00559730122654</v>
      </c>
      <c r="F7" s="147">
        <f t="shared" ref="F7:F15" ca="1" si="1">E7*B7</f>
        <v>201.50093593795074</v>
      </c>
      <c r="G7" s="147">
        <f ca="1">F7*(100%-'Données projet'!$C$24)*(100%-'Données projet'!$C$25)*(100%-'Données projet'!$C$26)*(100%-'Données projet'!$C$27)</f>
        <v>154.1482159925323</v>
      </c>
      <c r="H7" s="155">
        <f>IF(OR('Données projet'!B10="",'Données projet'!C10="",'Données projet'!C10=0%),0,AVERAGE(Calculateur!$AX$3:$AX$33)*B7)</f>
        <v>0.35088412303615185</v>
      </c>
      <c r="I7" s="149">
        <f>H7*(100%-'Données projet'!$C$24)*(100%-'Données projet'!$C$25)*(100%-'Données projet'!$C$26)*(100%-'Données projet'!$C$27)</f>
        <v>0.26842635412265614</v>
      </c>
      <c r="J7" s="150">
        <f>IF(OR('Données projet'!B10="",'Données projet'!C10="",'Données projet'!C10=0%),0,SUM(Calculateur!$AQ$3:$AQ$33)*VLOOKUP('Données projet'!$B$10,Paramètres!$A$1:$I$89,9,0)*B7)</f>
        <v>7.688625</v>
      </c>
      <c r="K7" s="151">
        <f>J7*(100%-'Données projet'!$C$24)*(100%-'Données projet'!$C$25)*(100%-'Données projet'!$C$26)*(100%-'Données projet'!$C$27)</f>
        <v>5.8817981249999995</v>
      </c>
      <c r="L7" s="152">
        <f t="shared" ref="L7:L15" ca="1" si="2">G7+I7+K7</f>
        <v>160.29844047165494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Chêne-liège</v>
      </c>
      <c r="B8" s="154">
        <f>'Données projet'!D11</f>
        <v>1.0605</v>
      </c>
      <c r="C8" s="147">
        <f ca="1"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ca="1" si="0"/>
        <v>0</v>
      </c>
      <c r="F8" s="147">
        <f t="shared" ca="1" si="1"/>
        <v>0</v>
      </c>
      <c r="G8" s="147">
        <f ca="1"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3559.463513290536</v>
      </c>
      <c r="G16" s="166">
        <f t="shared" ca="1" si="3"/>
        <v>2722.9895876672599</v>
      </c>
      <c r="H16" s="167">
        <f t="shared" si="3"/>
        <v>177.84183512301078</v>
      </c>
      <c r="I16" s="167">
        <f t="shared" si="3"/>
        <v>136.04900386910327</v>
      </c>
      <c r="J16" s="168">
        <f t="shared" si="3"/>
        <v>1032.577035</v>
      </c>
      <c r="K16" s="168">
        <f t="shared" si="3"/>
        <v>789.92143177500009</v>
      </c>
      <c r="L16" s="169">
        <f t="shared" ca="1" si="3"/>
        <v>3648.9600233113629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Chêne-liège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42" bottom="0.17" header="0.3" footer="0.3"/>
  <pageSetup paperSize="9" scale="1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opLeftCell="A8" zoomScale="80" zoomScaleNormal="80" workbookViewId="0">
      <selection activeCell="F32" sqref="F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4869.8590480989096</v>
      </c>
      <c r="U10" s="178">
        <f>'Données projet'!D9</f>
        <v>19.089000000000002</v>
      </c>
      <c r="V10" s="177">
        <f>U10*T10</f>
        <v>92960.739369160103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tauzin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1.0605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Chêne-liège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1.0605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34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1020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5100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470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110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14</v>
      </c>
      <c r="B23" s="181">
        <f>'Données projet'!D36</f>
        <v>34</v>
      </c>
      <c r="C23" s="193">
        <v>10</v>
      </c>
      <c r="D23" s="182">
        <f>B23*C23</f>
        <v>340</v>
      </c>
      <c r="E23" s="193"/>
      <c r="F23" s="230"/>
      <c r="H23" s="190">
        <v>3</v>
      </c>
      <c r="I23" s="191">
        <v>230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-58819.6086862909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57</v>
      </c>
      <c r="C24" s="193">
        <v>40</v>
      </c>
      <c r="D24" s="182">
        <f t="shared" ref="D24:D42" si="2">B24*C24</f>
        <v>2280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4843.8085011455814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388</v>
      </c>
      <c r="C25" s="193">
        <v>45</v>
      </c>
      <c r="D25" s="182">
        <f t="shared" si="2"/>
        <v>17460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-63663.417187436484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>
        <v>50</v>
      </c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300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300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300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300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tauzin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>
        <v>35</v>
      </c>
      <c r="I55" s="191">
        <v>300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Chêne-liège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8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cp:lastPrinted>2023-12-14T14:43:00Z</cp:lastPrinted>
  <dcterms:created xsi:type="dcterms:W3CDTF">2021-02-01T08:22:39Z</dcterms:created>
  <dcterms:modified xsi:type="dcterms:W3CDTF">2024-04-03T09:00:20Z</dcterms:modified>
</cp:coreProperties>
</file>