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40-R-CHAZAL-GES(70)-LOUVIERE-LionelRemyEURL-LaLongine&amp;LaMontagne-28,5ha /"/>
    </mc:Choice>
  </mc:AlternateContent>
  <xr:revisionPtr revIDLastSave="0" documentId="13_ncr:1_{6D2AD63A-7115-3449-9550-6581B4688514}" xr6:coauthVersionLast="47" xr6:coauthVersionMax="47" xr10:uidLastSave="{00000000-0000-0000-0000-000000000000}"/>
  <bookViews>
    <workbookView xWindow="-9660" yWindow="-28300" windowWidth="21940" windowHeight="28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I21" i="6"/>
  <c r="I22" i="6"/>
  <c r="I23" i="6"/>
  <c r="I24" i="6"/>
  <c r="I25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HG155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HG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FS164" i="2"/>
  <c r="HG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HH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EV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H178" i="2"/>
  <c r="FS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EV179" i="2"/>
  <c r="HI179" i="2"/>
  <c r="HH179" i="2"/>
  <c r="EA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DH195" i="2"/>
  <c r="EB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B201" i="2" l="1"/>
  <c r="FS201" i="2"/>
  <c r="HH201" i="2"/>
  <c r="HG201" i="2"/>
  <c r="EA201" i="2"/>
  <c r="ED201" i="2" s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H202" i="2" l="1"/>
  <c r="HG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144" i="2" a="1"/>
  <c r="FD14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59" i="2" l="1" a="1"/>
  <c r="FD59" i="2" s="1"/>
  <c r="FD21" i="2" a="1"/>
  <c r="FD21" i="2" s="1"/>
  <c r="BC18" i="2" a="1"/>
  <c r="BC18" i="2" s="1"/>
  <c r="BC32" i="2" a="1"/>
  <c r="BC32" i="2" s="1"/>
  <c r="BC38" i="2" a="1"/>
  <c r="BC38" i="2" s="1"/>
  <c r="BC164" i="2" a="1"/>
  <c r="BC164" i="2" s="1"/>
  <c r="BC151" i="2" a="1"/>
  <c r="BC151" i="2" s="1"/>
  <c r="BC65" i="2" a="1"/>
  <c r="BC65" i="2" s="1"/>
  <c r="BC126" i="2" a="1"/>
  <c r="BC126" i="2" s="1"/>
  <c r="BC83" i="2" a="1"/>
  <c r="BC83" i="2" s="1"/>
  <c r="BC82" i="2" a="1"/>
  <c r="BC82" i="2" s="1"/>
  <c r="BC185" i="2" a="1"/>
  <c r="BC185" i="2" s="1"/>
  <c r="BC7" i="2" a="1"/>
  <c r="BC7" i="2" s="1"/>
  <c r="BC143" i="2" a="1"/>
  <c r="BC143" i="2" s="1"/>
  <c r="BC68" i="2" a="1"/>
  <c r="BC68" i="2" s="1"/>
  <c r="BC47" i="2" a="1"/>
  <c r="BC47" i="2" s="1"/>
  <c r="BC31" i="2" a="1"/>
  <c r="BC31" i="2" s="1"/>
  <c r="BC192" i="2" a="1"/>
  <c r="BC192" i="2" s="1"/>
  <c r="BC84" i="2" a="1"/>
  <c r="BC84" i="2" s="1"/>
  <c r="BC130" i="2" a="1"/>
  <c r="BC130" i="2" s="1"/>
  <c r="BC58" i="2" a="1"/>
  <c r="BC58" i="2" s="1"/>
  <c r="BC55" i="2" a="1"/>
  <c r="BC55" i="2" s="1"/>
  <c r="BC181" i="2" a="1"/>
  <c r="BC181" i="2" s="1"/>
  <c r="BC34" i="2" a="1"/>
  <c r="BC34" i="2" s="1"/>
  <c r="BC117" i="2" a="1"/>
  <c r="BC117" i="2" s="1"/>
  <c r="BC114" i="2" a="1"/>
  <c r="BC114" i="2" s="1"/>
  <c r="DN177" i="2" a="1"/>
  <c r="DN177" i="2" s="1"/>
  <c r="HG203" i="2"/>
  <c r="AH151" i="2" a="1"/>
  <c r="AH151" i="2" s="1"/>
  <c r="AH166" i="2" a="1"/>
  <c r="AH166" i="2" s="1"/>
  <c r="FS203" i="2"/>
  <c r="DN115" i="2" a="1"/>
  <c r="DN115" i="2" s="1"/>
  <c r="AH163" i="2" a="1"/>
  <c r="AH163" i="2" s="1"/>
  <c r="DN29" i="2" a="1"/>
  <c r="DN29" i="2" s="1"/>
  <c r="AH62" i="2" a="1"/>
  <c r="AH62" i="2" s="1"/>
  <c r="DN41" i="2" a="1"/>
  <c r="DN41" i="2" s="1"/>
  <c r="GT121" i="2" a="1"/>
  <c r="GT121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/>
  <c r="FZ10" i="2" s="1"/>
  <c r="FZ11" i="2" s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<sst xmlns="http://schemas.openxmlformats.org/spreadsheetml/2006/main" count="1175" uniqueCount="327">
  <si>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</si>
  <si>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</si>
  <si>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</si>
  <si>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</si>
  <si>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</si>
  <si>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</si>
  <si>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</si>
  <si>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</si>
  <si>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</si>
  <si>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</si>
  <si>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</si>
  <si>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</si>
  <si>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</si>
  <si>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</si>
  <si>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</si>
  <si>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</si>
  <si>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</si>
  <si>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</si>
  <si>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</si>
  <si>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</si>
  <si>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</si>
  <si>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</si>
  <si>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</si>
  <si>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</si>
  <si>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</si>
  <si>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</si>
  <si>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</si>
  <si>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</si>
  <si>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</si>
  <si>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</si>
  <si>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</si>
  <si>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</si>
  <si>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</si>
  <si>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</si>
  <si>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</si>
  <si>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</si>
  <si>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</si>
  <si>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</si>
  <si>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</si>
  <si>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</si>
  <si>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</si>
  <si>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</si>
  <si>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</si>
  <si>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</si>
  <si>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</si>
  <si>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</si>
  <si>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</si>
  <si>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</si>
  <si>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</si>
  <si>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</si>
  <si>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</si>
  <si>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</si>
  <si>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</si>
  <si>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</si>
  <si>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</si>
  <si>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</si>
  <si>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</si>
  <si>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</si>
  <si>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</si>
  <si>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</si>
  <si>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</si>
  <si>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</si>
  <si>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</si>
  <si>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</si>
  <si>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</si>
  <si>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</si>
  <si>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</si>
  <si>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</si>
  <si>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</si>
  <si>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</si>
  <si>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</si>
  <si>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</si>
  <si>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</si>
  <si>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</si>
  <si>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</si>
  <si>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</si>
  <si>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</si>
  <si>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</si>
  <si>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</si>
  <si>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</si>
  <si>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</si>
  <si>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</si>
  <si>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</si>
  <si>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</si>
  <si>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</si>
  <si>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</si>
  <si>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</si>
  <si>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</si>
  <si>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</si>
  <si>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</si>
  <si>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</si>
  <si>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</si>
  <si>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</si>
  <si>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</si>
  <si>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</si>
  <si>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</si>
  <si>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</si>
  <si>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</si>
  <si>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</si>
  <si>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</si>
  <si>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</si>
  <si>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</si>
  <si>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</si>
  <si>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</si>
  <si>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</si>
  <si>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</si>
  <si>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</si>
  <si>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</si>
  <si>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</si>
  <si>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</si>
  <si>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</si>
  <si>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</si>
  <si>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</si>
  <si>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</si>
  <si>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</si>
  <si>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</si>
  <si>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</si>
  <si>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</si>
  <si>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</si>
  <si>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</si>
  <si>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</si>
  <si>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</si>
  <si>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</si>
  <si>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</si>
  <si>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</si>
  <si>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</si>
  <si>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</si>
  <si>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</si>
  <si>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</si>
  <si>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</si>
  <si>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</si>
  <si>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</si>
  <si>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</si>
  <si>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</si>
  <si>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</si>
  <si>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</si>
  <si>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</si>
  <si>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</si>
  <si>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</si>
  <si>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</si>
  <si>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</si>
  <si>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</si>
  <si>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</si>
  <si>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</si>
  <si>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</si>
  <si>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</si>
  <si>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</si>
  <si>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</si>
  <si>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</si>
  <si>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</si>
  <si>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</si>
  <si>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</si>
  <si>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</si>
  <si>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</si>
  <si>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</si>
  <si>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</si>
  <si>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</si>
  <si>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</si>
  <si>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</si>
  <si>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</si>
  <si>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</si>
  <si>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</si>
  <si>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</si>
  <si>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</si>
  <si>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</si>
  <si>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</si>
  <si>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</si>
  <si>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</si>
  <si>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</si>
  <si>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</si>
  <si>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</si>
  <si>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</si>
  <si>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</si>
  <si>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</si>
  <si>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</si>
  <si>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</si>
  <si>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</si>
  <si>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</si>
  <si>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</si>
  <si>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</si>
  <si>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</si>
  <si>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</si>
  <si>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</si>
  <si>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</si>
  <si>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</si>
  <si>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</si>
  <si>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</si>
  <si>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</si>
  <si>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</si>
  <si>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</si>
  <si>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</si>
  <si>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</si>
  <si>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</si>
  <si>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</si>
  <si>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</si>
  <si>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</si>
  <si>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</si>
  <si>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</si>
  <si>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</si>
  <si>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</si>
  <si>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</si>
  <si>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</si>
  <si>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</si>
  <si>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</si>
  <si>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</si>
  <si>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</si>
  <si>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</si>
  <si>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</si>
  <si>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</si>
  <si>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</si>
  <si>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</si>
  <si>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</si>
  <si>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</si>
  <si>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</si>
  <si>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</si>
  <si>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</si>
  <si>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</si>
  <si>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</si>
  <si>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</si>
  <si>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</si>
  <si>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</si>
  <si>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</si>
  <si>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</si>
  <si>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</si>
  <si>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</si>
  <si>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</si>
  <si>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</si>
  <si>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</si>
  <si>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</si>
  <si>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</si>
  <si>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</si>
  <si>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</si>
  <si>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</si>
  <si>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</si>
  <si>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</si>
  <si>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</si>
  <si>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</si>
  <si>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</si>
  <si>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</si>
  <si>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</si>
  <si>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</si>
  <si>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</si>
  <si>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</si>
  <si>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</si>
  <si>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</si>
  <si>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</si>
  <si>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</si>
  <si>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</si>
  <si>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</si>
  <si>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</si>
  <si>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</si>
  <si>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</si>
  <si>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</si>
  <si>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</si>
  <si>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</si>
  <si>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</si>
  <si>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</si>
  <si>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</si>
  <si>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</si>
  <si>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</si>
  <si>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</si>
  <si>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</si>
  <si>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</si>
  <si>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</si>
  <si>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</si>
  <si>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</si>
  <si>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</si>
  <si>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</si>
  <si>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</si>
  <si>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</si>
  <si>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</si>
  <si>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</si>
  <si>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</si>
  <si>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</si>
  <si>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</si>
  <si>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</si>
  <si>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</si>
  <si>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</si>
  <si>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</si>
  <si>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</si>
  <si>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</si>
  <si>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</si>
  <si>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</si>
  <si>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</si>
  <si>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</si>
  <si>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</si>
  <si>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</si>
  <si>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</si>
  <si>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</si>
  <si>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</si>
  <si>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</si>
  <si>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</si>
  <si>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</si>
  <si>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</si>
  <si>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</si>
  <si>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</si>
  <si>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</si>
  <si>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</si>
  <si>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</si>
  <si>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</si>
  <si>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</si>
  <si>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</si>
  <si>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</si>
  <si>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</si>
  <si>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</si>
  <si>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</si>
  <si>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</si>
  <si>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</si>
  <si>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</si>
  <si>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</si>
  <si>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</si>
  <si>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</si>
  <si>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</si>
  <si>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</si>
  <si>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</si>
  <si>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</si>
  <si>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</si>
  <si>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</si>
  <si>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</si>
  <si>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</si>
  <si>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</si>
  <si>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</si>
  <si>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</si>
  <si>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</si>
  <si>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J TOTH CLASSE 1 (=CLASSE MOY+)</t>
  </si>
  <si>
    <t>BRIT YC24 (CLASSE FORTE)</t>
  </si>
  <si>
    <t>ONF CLASSE 1 (FORTE)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</si>
</sst>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2.1011179483741005</c:v>
                </c:pt>
                <c:pt idx="2">
                  <c:v>3.0382037621669138</c:v>
                </c:pt>
                <c:pt idx="3">
                  <c:v>4.3950936117248345</c:v>
                </c:pt>
                <c:pt idx="4">
                  <c:v>6.3606421801540085</c:v>
                </c:pt>
                <c:pt idx="5">
                  <c:v>9.2089930039860075</c:v>
                </c:pt>
                <c:pt idx="6">
                  <c:v>13.338233587395647</c:v>
                </c:pt>
                <c:pt idx="7">
                  <c:v>19.326627283485298</c:v>
                </c:pt>
                <c:pt idx="8">
                  <c:v>28.014437957497069</c:v>
                </c:pt>
                <c:pt idx="9">
                  <c:v>40.623029009222428</c:v>
                </c:pt>
                <c:pt idx="10">
                  <c:v>58.928264117266451</c:v>
                </c:pt>
                <c:pt idx="11">
                  <c:v>82.479886156238749</c:v>
                </c:pt>
                <c:pt idx="12">
                  <c:v>105.85986329993615</c:v>
                </c:pt>
                <c:pt idx="13">
                  <c:v>129.11183417332219</c:v>
                </c:pt>
                <c:pt idx="14">
                  <c:v>152.26221351858666</c:v>
                </c:pt>
                <c:pt idx="15">
                  <c:v>175.32866141582917</c:v>
                </c:pt>
                <c:pt idx="16">
                  <c:v>149.34289291982446</c:v>
                </c:pt>
                <c:pt idx="17">
                  <c:v>181.6287079510835</c:v>
                </c:pt>
                <c:pt idx="18">
                  <c:v>213.77986970233792</c:v>
                </c:pt>
                <c:pt idx="19">
                  <c:v>245.81951201509912</c:v>
                </c:pt>
                <c:pt idx="20">
                  <c:v>277.76422078501889</c:v>
                </c:pt>
                <c:pt idx="21">
                  <c:v>221.98031532565332</c:v>
                </c:pt>
                <c:pt idx="22">
                  <c:v>258.80021288721645</c:v>
                </c:pt>
                <c:pt idx="23">
                  <c:v>295.50158284477192</c:v>
                </c:pt>
                <c:pt idx="24">
                  <c:v>332.10121351633137</c:v>
                </c:pt>
                <c:pt idx="25">
                  <c:v>368.61188489876849</c:v>
                </c:pt>
                <c:pt idx="26">
                  <c:v>315.12883381541212</c:v>
                </c:pt>
                <c:pt idx="27">
                  <c:v>353.58815776293591</c:v>
                </c:pt>
                <c:pt idx="28">
                  <c:v>391.9557970663318</c:v>
                </c:pt>
                <c:pt idx="29">
                  <c:v>430.24197662191642</c:v>
                </c:pt>
                <c:pt idx="30">
                  <c:v>468.45495339184208</c:v>
                </c:pt>
                <c:pt idx="31">
                  <c:v>414.08078566089245</c:v>
                </c:pt>
                <c:pt idx="32">
                  <c:v>451.13718003084023</c:v>
                </c:pt>
                <c:pt idx="33">
                  <c:v>488.12848932410321</c:v>
                </c:pt>
                <c:pt idx="34">
                  <c:v>525.06033086226023</c:v>
                </c:pt>
                <c:pt idx="35">
                  <c:v>561.93746814735709</c:v>
                </c:pt>
                <c:pt idx="36">
                  <c:v>505.18103819748262</c:v>
                </c:pt>
                <c:pt idx="37">
                  <c:v>539.48651121552155</c:v>
                </c:pt>
                <c:pt idx="38">
                  <c:v>573.74617221143433</c:v>
                </c:pt>
                <c:pt idx="39">
                  <c:v>607.96313661229726</c:v>
                </c:pt>
                <c:pt idx="40">
                  <c:v>642.1401410729178</c:v>
                </c:pt>
                <c:pt idx="41">
                  <c:v>582.9534332712168</c:v>
                </c:pt>
                <c:pt idx="42">
                  <c:v>614.56586809132807</c:v>
                </c:pt>
                <c:pt idx="43">
                  <c:v>646.14459791807587</c:v>
                </c:pt>
                <c:pt idx="44">
                  <c:v>677.6914989037457</c:v>
                </c:pt>
                <c:pt idx="45">
                  <c:v>709.20825855698513</c:v>
                </c:pt>
                <c:pt idx="46">
                  <c:v>648.49992135083914</c:v>
                </c:pt>
                <c:pt idx="47">
                  <c:v>677.22087519835145</c:v>
                </c:pt>
                <c:pt idx="48">
                  <c:v>705.91682651099427</c:v>
                </c:pt>
                <c:pt idx="49">
                  <c:v>734.58893303330581</c:v>
                </c:pt>
                <c:pt idx="50">
                  <c:v>763.23825490354545</c:v>
                </c:pt>
                <c:pt idx="51">
                  <c:v>716.73036198832654</c:v>
                </c:pt>
                <c:pt idx="52">
                  <c:v>743.0451557011271</c:v>
                </c:pt>
                <c:pt idx="53">
                  <c:v>769.34099718727805</c:v>
                </c:pt>
                <c:pt idx="54">
                  <c:v>795.61862440448965</c:v>
                </c:pt>
                <c:pt idx="55">
                  <c:v>821.87872266404338</c:v>
                </c:pt>
                <c:pt idx="56">
                  <c:v>783.88974646873021</c:v>
                </c:pt>
                <c:pt idx="57">
                  <c:v>808.04742277700814</c:v>
                </c:pt>
                <c:pt idx="58">
                  <c:v>832.19053465822856</c:v>
                </c:pt>
                <c:pt idx="59">
                  <c:v>856.31956350618145</c:v>
                </c:pt>
                <c:pt idx="60">
                  <c:v>880.43496141445814</c:v>
                </c:pt>
                <c:pt idx="61">
                  <c:v>845.77945750420213</c:v>
                </c:pt>
                <c:pt idx="62">
                  <c:v>867.32534176599859</c:v>
                </c:pt>
                <c:pt idx="63">
                  <c:v>888.86050881013819</c:v>
                </c:pt>
                <c:pt idx="64">
                  <c:v>910.38525449108658</c:v>
                </c:pt>
                <c:pt idx="65">
                  <c:v>931.89985955264456</c:v>
                </c:pt>
                <c:pt idx="66">
                  <c:v>900.09209300551754</c:v>
                </c:pt>
                <c:pt idx="67">
                  <c:v>919.74066063112696</c:v>
                </c:pt>
                <c:pt idx="68">
                  <c:v>939.38087276773058</c:v>
                </c:pt>
                <c:pt idx="69">
                  <c:v>959.01292847548109</c:v>
                </c:pt>
                <c:pt idx="70">
                  <c:v>978.63701801146169</c:v>
                </c:pt>
                <c:pt idx="71">
                  <c:v>948.02931952736469</c:v>
                </c:pt>
                <c:pt idx="72">
                  <c:v>966.48970137520098</c:v>
                </c:pt>
                <c:pt idx="73">
                  <c:v>984.94309941286235</c:v>
                </c:pt>
                <c:pt idx="74">
                  <c:v>1003.3896627393166</c:v>
                </c:pt>
                <c:pt idx="75">
                  <c:v>1021.8295345320286</c:v>
                </c:pt>
                <c:pt idx="76">
                  <c:v>991.24838251479957</c:v>
                </c:pt>
                <c:pt idx="77">
                  <c:v>1007.3582966706786</c:v>
                </c:pt>
                <c:pt idx="78">
                  <c:v>1023.463129154828</c:v>
                </c:pt>
                <c:pt idx="79">
                  <c:v>1039.5629710942774</c:v>
                </c:pt>
                <c:pt idx="80">
                  <c:v>1055.6579105670237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449.53102985794368</c:v>
                </c:pt>
                <c:pt idx="62">
                  <c:v>461.45007488733671</c:v>
                </c:pt>
                <c:pt idx="63">
                  <c:v>473.36255181121783</c:v>
                </c:pt>
                <c:pt idx="64">
                  <c:v>485.26864921222455</c:v>
                </c:pt>
                <c:pt idx="65">
                  <c:v>497.16854566479356</c:v>
                </c:pt>
                <c:pt idx="66">
                  <c:v>509.06241049820727</c:v>
                </c:pt>
                <c:pt idx="67">
                  <c:v>520.9504044846235</c:v>
                </c:pt>
                <c:pt idx="68">
                  <c:v>532.83268046104365</c:v>
                </c:pt>
                <c:pt idx="69">
                  <c:v>544.7093838929228</c:v>
                </c:pt>
                <c:pt idx="70">
                  <c:v>556.58065338607753</c:v>
                </c:pt>
                <c:pt idx="71">
                  <c:v>526.89224796595806</c:v>
                </c:pt>
                <c:pt idx="72">
                  <c:v>536.792193795402</c:v>
                </c:pt>
                <c:pt idx="73">
                  <c:v>546.68830251799864</c:v>
                </c:pt>
                <c:pt idx="74">
                  <c:v>556.58065338607753</c:v>
                </c:pt>
                <c:pt idx="75">
                  <c:v>566.46932260506071</c:v>
                </c:pt>
                <c:pt idx="76">
                  <c:v>576.35438350288371</c:v>
                </c:pt>
                <c:pt idx="77">
                  <c:v>586.23590668718828</c:v>
                </c:pt>
                <c:pt idx="78">
                  <c:v>596.11396019137055</c:v>
                </c:pt>
                <c:pt idx="79">
                  <c:v>605.98860961044409</c:v>
                </c:pt>
                <c:pt idx="80">
                  <c:v>615.85991822759104</c:v>
                </c:pt>
                <c:pt idx="81">
                  <c:v>592.16315090012722</c:v>
                </c:pt>
                <c:pt idx="82">
                  <c:v>598.0891603444137</c:v>
                </c:pt>
                <c:pt idx="83">
                  <c:v>604.01394898353078</c:v>
                </c:pt>
                <c:pt idx="84">
                  <c:v>609.93753048460792</c:v>
                </c:pt>
                <c:pt idx="85">
                  <c:v>615.85991822759104</c:v>
                </c:pt>
                <c:pt idx="86">
                  <c:v>621.78112531404156</c:v>
                </c:pt>
                <c:pt idx="87">
                  <c:v>627.70116457558152</c:v>
                </c:pt>
                <c:pt idx="88">
                  <c:v>633.62004858200532</c:v>
                </c:pt>
                <c:pt idx="89">
                  <c:v>639.53778964906996</c:v>
                </c:pt>
                <c:pt idx="90">
                  <c:v>645.4543998459859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1.9897619947882648</c:v>
                </c:pt>
                <c:pt idx="2">
                  <c:v>2.552996102096587</c:v>
                </c:pt>
                <c:pt idx="3">
                  <c:v>3.2763048074509658</c:v>
                </c:pt>
                <c:pt idx="4">
                  <c:v>4.2053545364457383</c:v>
                </c:pt>
                <c:pt idx="5">
                  <c:v>5.3988855456307512</c:v>
                </c:pt>
                <c:pt idx="6">
                  <c:v>6.9324670734462677</c:v>
                </c:pt>
                <c:pt idx="7">
                  <c:v>8.9033343180521864</c:v>
                </c:pt>
                <c:pt idx="8">
                  <c:v>11.436619765722265</c:v>
                </c:pt>
                <c:pt idx="9">
                  <c:v>14.693381903188557</c:v>
                </c:pt>
                <c:pt idx="10">
                  <c:v>18.880951128950827</c:v>
                </c:pt>
                <c:pt idx="11">
                  <c:v>24.266263373552302</c:v>
                </c:pt>
                <c:pt idx="12">
                  <c:v>31.193046415276033</c:v>
                </c:pt>
                <c:pt idx="13">
                  <c:v>40.10397488031095</c:v>
                </c:pt>
                <c:pt idx="14">
                  <c:v>51.569233906282783</c:v>
                </c:pt>
                <c:pt idx="15">
                  <c:v>66.323349688114789</c:v>
                </c:pt>
                <c:pt idx="16">
                  <c:v>92.52086174225677</c:v>
                </c:pt>
                <c:pt idx="17">
                  <c:v>118.53116912117031</c:v>
                </c:pt>
                <c:pt idx="18">
                  <c:v>144.4015398483165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206.35939041736609</c:v>
                </c:pt>
                <c:pt idx="26">
                  <c:v>233.2697466941612</c:v>
                </c:pt>
                <c:pt idx="27">
                  <c:v>260.10919155228936</c:v>
                </c:pt>
                <c:pt idx="28">
                  <c:v>286.8860689751682</c:v>
                </c:pt>
                <c:pt idx="29">
                  <c:v>313.60703674466691</c:v>
                </c:pt>
                <c:pt idx="30">
                  <c:v>340.27752501668795</c:v>
                </c:pt>
                <c:pt idx="31">
                  <c:v>278.36609264736131</c:v>
                </c:pt>
                <c:pt idx="32">
                  <c:v>302.23179355590872</c:v>
                </c:pt>
                <c:pt idx="33">
                  <c:v>329.55032341167646</c:v>
                </c:pt>
                <c:pt idx="34">
                  <c:v>356.81889117361993</c:v>
                </c:pt>
                <c:pt idx="35">
                  <c:v>384.04184826296768</c:v>
                </c:pt>
                <c:pt idx="36">
                  <c:v>411.22287909086322</c:v>
                </c:pt>
                <c:pt idx="37">
                  <c:v>438.36514154393308</c:v>
                </c:pt>
                <c:pt idx="38">
                  <c:v>394.20159315580548</c:v>
                </c:pt>
                <c:pt idx="39">
                  <c:v>419.98968010727327</c:v>
                </c:pt>
                <c:pt idx="40">
                  <c:v>445.74367122576996</c:v>
                </c:pt>
                <c:pt idx="41">
                  <c:v>471.46581141120981</c:v>
                </c:pt>
                <c:pt idx="42">
                  <c:v>497.59132076910754</c:v>
                </c:pt>
                <c:pt idx="43">
                  <c:v>523.68779015923326</c:v>
                </c:pt>
                <c:pt idx="44">
                  <c:v>549.75686849194506</c:v>
                </c:pt>
                <c:pt idx="45">
                  <c:v>575.80003571503119</c:v>
                </c:pt>
                <c:pt idx="46">
                  <c:v>601.81862713859357</c:v>
                </c:pt>
                <c:pt idx="47">
                  <c:v>506.5400029007132</c:v>
                </c:pt>
                <c:pt idx="48">
                  <c:v>528.83871919819615</c:v>
                </c:pt>
                <c:pt idx="49">
                  <c:v>551.11765041685078</c:v>
                </c:pt>
                <c:pt idx="50">
                  <c:v>573.37770811696282</c:v>
                </c:pt>
                <c:pt idx="51">
                  <c:v>596.09612790395624</c:v>
                </c:pt>
                <c:pt idx="52">
                  <c:v>618.79654510083196</c:v>
                </c:pt>
                <c:pt idx="53">
                  <c:v>641.47971233217879</c:v>
                </c:pt>
                <c:pt idx="54">
                  <c:v>664.14632471536174</c:v>
                </c:pt>
                <c:pt idx="55">
                  <c:v>686.79702610651418</c:v>
                </c:pt>
                <c:pt idx="56">
                  <c:v>709.43241448048059</c:v>
                </c:pt>
                <c:pt idx="57">
                  <c:v>632.23999168627631</c:v>
                </c:pt>
                <c:pt idx="58">
                  <c:v>652.00154138490313</c:v>
                </c:pt>
                <c:pt idx="59">
                  <c:v>671.75074866286002</c:v>
                </c:pt>
                <c:pt idx="60">
                  <c:v>691.27714232149219</c:v>
                </c:pt>
                <c:pt idx="61">
                  <c:v>710.79223670196086</c:v>
                </c:pt>
                <c:pt idx="62">
                  <c:v>730.2963853903326</c:v>
                </c:pt>
                <c:pt idx="63">
                  <c:v>749.78992156646348</c:v>
                </c:pt>
                <c:pt idx="64">
                  <c:v>769.2731596922963</c:v>
                </c:pt>
                <c:pt idx="65">
                  <c:v>788.74639702040906</c:v>
                </c:pt>
                <c:pt idx="66">
                  <c:v>808.20991494600241</c:v>
                </c:pt>
                <c:pt idx="67">
                  <c:v>714.72590161821392</c:v>
                </c:pt>
                <c:pt idx="68">
                  <c:v>730.5010493755093</c:v>
                </c:pt>
                <c:pt idx="69">
                  <c:v>746.69477779915371</c:v>
                </c:pt>
                <c:pt idx="70">
                  <c:v>762.88136676195211</c:v>
                </c:pt>
                <c:pt idx="71">
                  <c:v>779.06098894972001</c:v>
                </c:pt>
                <c:pt idx="72">
                  <c:v>795.23380929745065</c:v>
                </c:pt>
                <c:pt idx="73">
                  <c:v>811.39998549097754</c:v>
                </c:pt>
                <c:pt idx="74">
                  <c:v>827.55966842661417</c:v>
                </c:pt>
                <c:pt idx="75">
                  <c:v>843.71300263306648</c:v>
                </c:pt>
                <c:pt idx="76">
                  <c:v>859.86012665938733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7"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25.5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0.8</v>
      </c>
      <c r="D9" s="36">
        <f t="shared" ref="D9:D18" si="0">C9*$C$5</f>
        <v>20.400000000000002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164</v>
      </c>
      <c r="C10" s="35">
        <v>0.1</v>
      </c>
      <c r="D10" s="36">
        <f t="shared" si="0"/>
        <v>2.5500000000000003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35</v>
      </c>
      <c r="C11" s="35">
        <v>0.1</v>
      </c>
      <c r="D11" s="36">
        <f t="shared" si="0"/>
        <v>2.5500000000000003</v>
      </c>
      <c r="E11" s="37">
        <v>76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25.500000000000004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10</v>
      </c>
      <c r="B36" s="63">
        <v>46</v>
      </c>
      <c r="C36" s="63">
        <v>1</v>
      </c>
      <c r="D36" s="63">
        <v>0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4.5999999999999996</v>
      </c>
      <c r="J36" s="25" t="s">
        <v>325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15</v>
      </c>
      <c r="B37" s="63">
        <v>141</v>
      </c>
      <c r="C37" s="63">
        <v>2</v>
      </c>
      <c r="D37" s="63">
        <v>48</v>
      </c>
      <c r="E37" s="54">
        <v>0</v>
      </c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20</v>
      </c>
      <c r="B38" s="63">
        <v>226</v>
      </c>
      <c r="C38" s="63">
        <v>3</v>
      </c>
      <c r="D38" s="63">
        <v>77</v>
      </c>
      <c r="E38" s="54">
        <v>0.2</v>
      </c>
      <c r="F38" s="54">
        <v>0.45</v>
      </c>
      <c r="G38" s="54">
        <v>0.35</v>
      </c>
      <c r="H38" s="54"/>
      <c r="I38" s="56">
        <f t="shared" si="1"/>
        <v>26.6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25</v>
      </c>
      <c r="B39" s="63">
        <v>302</v>
      </c>
      <c r="C39" s="63">
        <v>4</v>
      </c>
      <c r="D39" s="63">
        <v>77</v>
      </c>
      <c r="E39" s="54">
        <v>0.2</v>
      </c>
      <c r="F39" s="54">
        <v>0.45</v>
      </c>
      <c r="G39" s="54">
        <v>0.35</v>
      </c>
      <c r="H39" s="54"/>
      <c r="I39" s="52">
        <f t="shared" si="1"/>
        <v>30.6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30</v>
      </c>
      <c r="B40" s="63">
        <v>386</v>
      </c>
      <c r="C40" s="63">
        <v>5</v>
      </c>
      <c r="D40" s="63">
        <v>77</v>
      </c>
      <c r="E40" s="54">
        <v>0.4</v>
      </c>
      <c r="F40" s="54">
        <v>0.34</v>
      </c>
      <c r="G40" s="54">
        <v>0.26</v>
      </c>
      <c r="H40" s="54"/>
      <c r="I40" s="52">
        <f t="shared" si="1"/>
        <v>32.200000000000003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35</v>
      </c>
      <c r="B41" s="63">
        <v>465</v>
      </c>
      <c r="C41" s="63">
        <v>6</v>
      </c>
      <c r="D41" s="63">
        <v>77</v>
      </c>
      <c r="E41" s="54">
        <v>0.5</v>
      </c>
      <c r="F41" s="54">
        <v>0.28000000000000003</v>
      </c>
      <c r="G41" s="54">
        <v>0.22</v>
      </c>
      <c r="H41" s="54"/>
      <c r="I41" s="56">
        <f t="shared" si="1"/>
        <v>31.2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40</v>
      </c>
      <c r="B42" s="63">
        <v>533</v>
      </c>
      <c r="C42" s="63">
        <v>7</v>
      </c>
      <c r="D42" s="63">
        <v>77</v>
      </c>
      <c r="E42" s="54">
        <v>0.6</v>
      </c>
      <c r="F42" s="54">
        <v>0.22</v>
      </c>
      <c r="G42" s="54">
        <v>0.18</v>
      </c>
      <c r="H42" s="54"/>
      <c r="I42" s="56">
        <f t="shared" si="1"/>
        <v>29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45</v>
      </c>
      <c r="B43" s="63">
        <v>590</v>
      </c>
      <c r="C43" s="63">
        <v>8</v>
      </c>
      <c r="D43" s="63">
        <v>76</v>
      </c>
      <c r="E43" s="54">
        <v>0.7</v>
      </c>
      <c r="F43" s="54">
        <v>0.17</v>
      </c>
      <c r="G43" s="54">
        <v>0.13</v>
      </c>
      <c r="H43" s="54"/>
      <c r="I43" s="52">
        <f t="shared" si="1"/>
        <v>26.8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50</v>
      </c>
      <c r="B44" s="63">
        <v>636</v>
      </c>
      <c r="C44" s="63">
        <v>9</v>
      </c>
      <c r="D44" s="63">
        <v>62</v>
      </c>
      <c r="E44" s="54">
        <v>0.8</v>
      </c>
      <c r="F44" s="54">
        <v>0.11</v>
      </c>
      <c r="G44" s="54">
        <v>0.09</v>
      </c>
      <c r="H44" s="54"/>
      <c r="I44" s="52">
        <f t="shared" si="1"/>
        <v>24.4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55</v>
      </c>
      <c r="B45" s="63">
        <v>686</v>
      </c>
      <c r="C45" s="63">
        <v>10</v>
      </c>
      <c r="D45" s="63">
        <v>53</v>
      </c>
      <c r="E45" s="54">
        <v>0.9</v>
      </c>
      <c r="F45" s="54">
        <v>0.06</v>
      </c>
      <c r="G45" s="54">
        <v>0.04</v>
      </c>
      <c r="H45" s="54"/>
      <c r="I45" s="52">
        <f t="shared" si="1"/>
        <v>22.4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60</v>
      </c>
      <c r="B46" s="63">
        <v>736</v>
      </c>
      <c r="C46" s="63">
        <v>11</v>
      </c>
      <c r="D46" s="63">
        <v>48</v>
      </c>
      <c r="E46" s="54">
        <v>0.9</v>
      </c>
      <c r="F46" s="54">
        <v>0.06</v>
      </c>
      <c r="G46" s="54">
        <v>0.04</v>
      </c>
      <c r="H46" s="54"/>
      <c r="I46" s="52">
        <f t="shared" si="1"/>
        <v>20.6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>
        <v>65</v>
      </c>
      <c r="B47" s="63">
        <v>780</v>
      </c>
      <c r="C47" s="63">
        <v>12</v>
      </c>
      <c r="D47" s="63">
        <v>44</v>
      </c>
      <c r="E47" s="54">
        <v>0.9</v>
      </c>
      <c r="F47" s="54">
        <v>0.06</v>
      </c>
      <c r="G47" s="54">
        <v>0.04</v>
      </c>
      <c r="H47" s="54"/>
      <c r="I47" s="52">
        <f t="shared" si="1"/>
        <v>18.399999999999999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>
        <v>70</v>
      </c>
      <c r="B48" s="63">
        <v>820</v>
      </c>
      <c r="C48" s="63">
        <v>13</v>
      </c>
      <c r="D48" s="63">
        <v>42</v>
      </c>
      <c r="E48" s="54">
        <v>0.9</v>
      </c>
      <c r="F48" s="54">
        <v>0.06</v>
      </c>
      <c r="G48" s="54">
        <v>0.04</v>
      </c>
      <c r="H48" s="54"/>
      <c r="I48" s="52">
        <f t="shared" si="1"/>
        <v>16.8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>
        <v>75</v>
      </c>
      <c r="B49" s="63">
        <v>857</v>
      </c>
      <c r="C49" s="63">
        <v>14</v>
      </c>
      <c r="D49" s="63">
        <v>40</v>
      </c>
      <c r="E49" s="54">
        <v>0.9</v>
      </c>
      <c r="F49" s="54">
        <v>0.06</v>
      </c>
      <c r="G49" s="54">
        <v>0.04</v>
      </c>
      <c r="H49" s="54"/>
      <c r="I49" s="52">
        <f t="shared" si="1"/>
        <v>15.8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>
        <v>80</v>
      </c>
      <c r="B50" s="53">
        <v>886</v>
      </c>
      <c r="C50" s="53">
        <v>15</v>
      </c>
      <c r="D50" s="53">
        <v>886</v>
      </c>
      <c r="E50" s="54">
        <v>0.9</v>
      </c>
      <c r="F50" s="54">
        <v>0.06</v>
      </c>
      <c r="G50" s="54">
        <v>0.04</v>
      </c>
      <c r="H50" s="54"/>
      <c r="I50" s="52">
        <f t="shared" si="1"/>
        <v>13.8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Cèdre de l'Atlas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20</v>
      </c>
      <c r="B62" s="63">
        <v>140</v>
      </c>
      <c r="C62" s="63">
        <v>1</v>
      </c>
      <c r="D62" s="63">
        <v>40</v>
      </c>
      <c r="E62" s="54">
        <v>0</v>
      </c>
      <c r="F62" s="54">
        <v>0.56000000000000005</v>
      </c>
      <c r="G62" s="54">
        <v>0.44</v>
      </c>
      <c r="H62" s="54"/>
      <c r="I62" s="56">
        <f>IFERROR(B62/A62,"")</f>
        <v>7</v>
      </c>
      <c r="J62" s="25" t="s">
        <v>324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30</v>
      </c>
      <c r="B63" s="63">
        <v>210</v>
      </c>
      <c r="C63" s="63">
        <v>2</v>
      </c>
      <c r="D63" s="63">
        <v>50</v>
      </c>
      <c r="E63" s="54">
        <v>0.2</v>
      </c>
      <c r="F63" s="54">
        <v>0.45</v>
      </c>
      <c r="G63" s="54">
        <v>0.35</v>
      </c>
      <c r="H63" s="54"/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40</v>
      </c>
      <c r="B64" s="63">
        <v>300</v>
      </c>
      <c r="C64" s="63">
        <v>3</v>
      </c>
      <c r="D64" s="63">
        <v>50</v>
      </c>
      <c r="E64" s="54">
        <v>0.3</v>
      </c>
      <c r="F64" s="54">
        <v>0.39</v>
      </c>
      <c r="G64" s="54">
        <v>0.31</v>
      </c>
      <c r="H64" s="54"/>
      <c r="I64" s="52">
        <f>IF(A64&lt;&gt;0,(B64-(B63-D63))/(A64-A63),"")</f>
        <v>14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50</v>
      </c>
      <c r="B65" s="63">
        <v>390</v>
      </c>
      <c r="C65" s="63">
        <v>4</v>
      </c>
      <c r="D65" s="63">
        <v>50</v>
      </c>
      <c r="E65" s="54">
        <v>0.4</v>
      </c>
      <c r="F65" s="54">
        <v>0.34</v>
      </c>
      <c r="G65" s="54">
        <v>0.26</v>
      </c>
      <c r="H65" s="54"/>
      <c r="I65" s="52">
        <f>IF(A65&lt;&gt;0,(B65-(B64-D64))/(A65-A64),"")</f>
        <v>14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60</v>
      </c>
      <c r="B66" s="63">
        <v>470</v>
      </c>
      <c r="C66" s="63">
        <v>5</v>
      </c>
      <c r="D66" s="63">
        <v>40</v>
      </c>
      <c r="E66" s="54">
        <v>0.5</v>
      </c>
      <c r="F66" s="54">
        <v>0.28000000000000003</v>
      </c>
      <c r="G66" s="54">
        <v>0.22</v>
      </c>
      <c r="H66" s="54"/>
      <c r="I66" s="52">
        <f t="shared" ref="I66:I81" si="2">IF(A66&lt;&gt;0,(B66-(B65-D65))/(A66-A65),"")</f>
        <v>13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70</v>
      </c>
      <c r="B67" s="63">
        <v>550</v>
      </c>
      <c r="C67" s="63">
        <v>6</v>
      </c>
      <c r="D67" s="63">
        <v>40</v>
      </c>
      <c r="E67" s="54">
        <v>0.6</v>
      </c>
      <c r="F67" s="54">
        <v>0.22</v>
      </c>
      <c r="G67" s="54">
        <v>0.18</v>
      </c>
      <c r="H67" s="54"/>
      <c r="I67" s="52">
        <f t="shared" si="2"/>
        <v>12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80</v>
      </c>
      <c r="B68" s="63">
        <v>610</v>
      </c>
      <c r="C68" s="63">
        <v>7</v>
      </c>
      <c r="D68" s="63">
        <v>30</v>
      </c>
      <c r="E68" s="54">
        <v>0.7</v>
      </c>
      <c r="F68" s="54">
        <v>0.17</v>
      </c>
      <c r="G68" s="54">
        <v>0.13</v>
      </c>
      <c r="H68" s="54"/>
      <c r="I68" s="52">
        <f t="shared" ref="I68:I75" si="3">IF(A68&lt;&gt;0,(B68-(B67-D67))/(A68-A67),"")</f>
        <v>10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90</v>
      </c>
      <c r="B69" s="53">
        <v>640</v>
      </c>
      <c r="C69" s="53">
        <v>8</v>
      </c>
      <c r="D69" s="53">
        <v>640</v>
      </c>
      <c r="E69" s="54">
        <v>0.8</v>
      </c>
      <c r="F69" s="54">
        <v>0.11</v>
      </c>
      <c r="G69" s="54">
        <v>0.09</v>
      </c>
      <c r="H69" s="54"/>
      <c r="I69" s="52">
        <f t="shared" si="3"/>
        <v>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3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3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3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Pin laricio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15</v>
      </c>
      <c r="B88" s="63">
        <v>48.56</v>
      </c>
      <c r="C88" s="63">
        <v>1</v>
      </c>
      <c r="D88" s="63">
        <v>0</v>
      </c>
      <c r="E88" s="54">
        <v>0</v>
      </c>
      <c r="F88" s="54">
        <v>0.56000000000000005</v>
      </c>
      <c r="G88" s="54">
        <v>0.44</v>
      </c>
      <c r="H88" s="93"/>
      <c r="I88" s="56">
        <f>IFERROR(B88/A88,"")</f>
        <v>3.2373333333333334</v>
      </c>
      <c r="J88" s="25" t="s">
        <v>326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19</v>
      </c>
      <c r="B89" s="63">
        <v>127.82</v>
      </c>
      <c r="C89" s="63">
        <v>2</v>
      </c>
      <c r="D89" s="63">
        <v>46.3</v>
      </c>
      <c r="E89" s="54">
        <v>0.2</v>
      </c>
      <c r="F89" s="54">
        <v>0.45</v>
      </c>
      <c r="G89" s="54">
        <v>0.35</v>
      </c>
      <c r="H89" s="93"/>
      <c r="I89" s="56">
        <f t="shared" ref="I89:I107" si="4">IF(A89&lt;&gt;0,(B89-(B88-D88))/(A89-A88),"")</f>
        <v>19.814999999999998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24</v>
      </c>
      <c r="B90" s="63">
        <v>179.92</v>
      </c>
      <c r="C90" s="63">
        <v>3</v>
      </c>
      <c r="D90" s="63">
        <v>45</v>
      </c>
      <c r="E90" s="54">
        <v>0.2</v>
      </c>
      <c r="F90" s="54">
        <v>0.45</v>
      </c>
      <c r="G90" s="54">
        <v>0.35</v>
      </c>
      <c r="H90" s="93"/>
      <c r="I90" s="56">
        <f t="shared" si="4"/>
        <v>19.68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30</v>
      </c>
      <c r="B91" s="63">
        <v>260.10000000000002</v>
      </c>
      <c r="C91" s="63">
        <v>4</v>
      </c>
      <c r="D91" s="63">
        <v>66.989999999999995</v>
      </c>
      <c r="E91" s="54">
        <v>0.4</v>
      </c>
      <c r="F91" s="54">
        <v>0.34</v>
      </c>
      <c r="G91" s="54">
        <v>0.26</v>
      </c>
      <c r="H91" s="93"/>
      <c r="I91" s="56">
        <f t="shared" si="4"/>
        <v>20.86333333333334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32</v>
      </c>
      <c r="B92" s="63">
        <v>230.35</v>
      </c>
      <c r="C92" s="63">
        <v>5</v>
      </c>
      <c r="D92" s="63">
        <v>0</v>
      </c>
      <c r="E92" s="54">
        <v>0.4</v>
      </c>
      <c r="F92" s="54">
        <v>0.34</v>
      </c>
      <c r="G92" s="54">
        <v>0.26</v>
      </c>
      <c r="H92" s="93"/>
      <c r="I92" s="56">
        <f t="shared" si="4"/>
        <v>18.61999999999999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37</v>
      </c>
      <c r="B93" s="63">
        <v>337.12</v>
      </c>
      <c r="C93" s="63">
        <v>6</v>
      </c>
      <c r="D93" s="63">
        <v>55</v>
      </c>
      <c r="E93" s="54">
        <v>0.5</v>
      </c>
      <c r="F93" s="54">
        <v>0.28000000000000003</v>
      </c>
      <c r="G93" s="54">
        <v>0.22</v>
      </c>
      <c r="H93" s="93"/>
      <c r="I93" s="56">
        <f t="shared" si="4"/>
        <v>21.354000000000003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41</v>
      </c>
      <c r="B94" s="63">
        <v>363.2</v>
      </c>
      <c r="C94" s="63">
        <v>8</v>
      </c>
      <c r="D94" s="63">
        <v>0</v>
      </c>
      <c r="E94" s="54">
        <v>0.6</v>
      </c>
      <c r="F94" s="54">
        <v>0.22</v>
      </c>
      <c r="G94" s="54">
        <v>0.18</v>
      </c>
      <c r="H94" s="93"/>
      <c r="I94" s="56">
        <f t="shared" si="4"/>
        <v>20.269999999999996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46</v>
      </c>
      <c r="B95" s="63">
        <v>466.26</v>
      </c>
      <c r="C95" s="63">
        <v>9</v>
      </c>
      <c r="D95" s="63">
        <v>93</v>
      </c>
      <c r="E95" s="54">
        <v>0.7</v>
      </c>
      <c r="F95" s="54">
        <v>0.17</v>
      </c>
      <c r="G95" s="54">
        <v>0.13</v>
      </c>
      <c r="H95" s="93"/>
      <c r="I95" s="56">
        <f t="shared" si="4"/>
        <v>20.612000000000002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50</v>
      </c>
      <c r="B96" s="63">
        <v>443.73</v>
      </c>
      <c r="C96" s="63">
        <v>10</v>
      </c>
      <c r="D96" s="63">
        <v>0</v>
      </c>
      <c r="E96" s="54">
        <v>0.8</v>
      </c>
      <c r="F96" s="54">
        <v>0.11</v>
      </c>
      <c r="G96" s="54">
        <v>0.09</v>
      </c>
      <c r="H96" s="93"/>
      <c r="I96" s="56">
        <f t="shared" si="4"/>
        <v>17.617500000000007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56</v>
      </c>
      <c r="B97" s="63">
        <v>551.70000000000005</v>
      </c>
      <c r="C97" s="63">
        <v>11</v>
      </c>
      <c r="D97" s="63">
        <v>77</v>
      </c>
      <c r="E97" s="54">
        <v>0.9</v>
      </c>
      <c r="F97" s="54">
        <v>0.06</v>
      </c>
      <c r="G97" s="54">
        <v>0.04</v>
      </c>
      <c r="H97" s="93"/>
      <c r="I97" s="56">
        <f t="shared" si="4"/>
        <v>17.995000000000005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59</v>
      </c>
      <c r="B98" s="63">
        <v>521.75</v>
      </c>
      <c r="C98" s="63">
        <v>12</v>
      </c>
      <c r="D98" s="63">
        <v>0</v>
      </c>
      <c r="E98" s="54">
        <v>0.9</v>
      </c>
      <c r="F98" s="54">
        <v>0.06</v>
      </c>
      <c r="G98" s="54">
        <v>0.04</v>
      </c>
      <c r="H98" s="93"/>
      <c r="I98" s="56">
        <f t="shared" si="4"/>
        <v>15.683333333333318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66</v>
      </c>
      <c r="B99" s="63">
        <v>630.36</v>
      </c>
      <c r="C99" s="63">
        <v>13</v>
      </c>
      <c r="D99" s="63">
        <v>87</v>
      </c>
      <c r="E99" s="54">
        <v>0.9</v>
      </c>
      <c r="F99" s="54">
        <v>0.06</v>
      </c>
      <c r="G99" s="54">
        <v>0.04</v>
      </c>
      <c r="H99" s="93"/>
      <c r="I99" s="56">
        <f t="shared" si="4"/>
        <v>15.515714285714287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68</v>
      </c>
      <c r="B100" s="63">
        <v>568.46</v>
      </c>
      <c r="C100" s="63">
        <v>14</v>
      </c>
      <c r="D100" s="63">
        <v>0</v>
      </c>
      <c r="E100" s="54">
        <v>0.9</v>
      </c>
      <c r="F100" s="54">
        <v>0.06</v>
      </c>
      <c r="G100" s="54">
        <v>0.04</v>
      </c>
      <c r="H100" s="68"/>
      <c r="I100" s="56">
        <f t="shared" si="4"/>
        <v>12.550000000000011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76</v>
      </c>
      <c r="B101" s="63">
        <v>671.57</v>
      </c>
      <c r="C101" s="63">
        <v>15</v>
      </c>
      <c r="D101" s="63">
        <v>671.57</v>
      </c>
      <c r="E101" s="54">
        <v>0.9</v>
      </c>
      <c r="F101" s="54">
        <v>0.06</v>
      </c>
      <c r="G101" s="54">
        <v>0.04</v>
      </c>
      <c r="H101" s="68"/>
      <c r="I101" s="56">
        <f t="shared" si="4"/>
        <v>12.888750000000002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39" sqref="G3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Douglas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Cèdre de l'Atlas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Pin laricio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500.52921520843432</v>
      </c>
      <c r="T3" s="62">
        <f>IF('Données projet'!E9&gt;30,$R$33-$H$33,LOOKUP('Données projet'!$E$9,$A$3:$A$203,R3:R203)-LOOKUP('Données projet'!$E$9,$A$3:$A$203,$H$3:$H$203))</f>
        <v>430.43167430170087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265.57412766850422</v>
      </c>
      <c r="AO3" s="62">
        <f>IF('Données projet'!E10&gt;30,$AM$33-$H$33,LOOKUP('Données projet'!$E$10,$A$3:$A$203,AM3:AM203)-LOOKUP('Données projet'!$E$10,$A$3:$A$203,$H$3:$H$203))</f>
        <v>179.39213799913273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361.81625684745416</v>
      </c>
      <c r="BJ3" s="62">
        <f>IF('Données projet'!E11&gt;30,$BH$33-$H$33,LOOKUP('Données projet'!$E$11,$A$3:$A$203,BH3:BH203)-LOOKUP('Données projet'!$E$11,$A$3:$A$203,$H$3:$H$203))</f>
        <v>302.25424592654684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4.5999999999999996</v>
      </c>
      <c r="N4" s="14">
        <f>IF('Données projet'!$A$36&gt;35,N3+M4-V3,IF(A4&lt;'Données projet'!$A$36,$K$205^A4,IF(A4='Données projet'!$A$36,'Données projet'!$B$36,N3+M4-V3)))</f>
        <v>1.466478780211681</v>
      </c>
      <c r="O4" s="14">
        <f>N4*VLOOKUP('Données projet'!$B$9,Paramètres!$A$1:$I$89,3,0)*VLOOKUP('Données projet'!$B$9,Paramètres!$A$1:$I$89,5,0)</f>
        <v>0.8197616381383297</v>
      </c>
      <c r="P4" s="14">
        <f>EXP(-1.0587+0.8836*LN(O4)+0.284)</f>
        <v>0.38662187288986211</v>
      </c>
      <c r="Q4" s="22">
        <f t="shared" ref="Q4:Q34" si="2">(O4+P4)*0.475*44/12</f>
        <v>2.1011179483741005</v>
      </c>
      <c r="R4" s="62">
        <f t="shared" si="0"/>
        <v>295.43445128170742</v>
      </c>
      <c r="S4" s="62">
        <f ca="1">AVERAGE(OFFSET($R$3,0,0,'Données projet'!$E$9+1,1))-AVERAGE(OFFSET($H$3,0,0,'Données projet'!$E$9+1,1))</f>
        <v>500.52921520843432</v>
      </c>
      <c r="T4" s="62">
        <f>$T$3</f>
        <v>430.43167430170087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</v>
      </c>
      <c r="AI4" s="14">
        <f>IF('Données projet'!$A$62&gt;35,AI3+AH4-AQ3,IF(A4&lt;'Données projet'!$A$62,$AF$205^A4,IF(A4='Données projet'!$A$62,'Données projet'!$B$62,AI3+AH4-AQ3)))</f>
        <v>1.2802842468510145</v>
      </c>
      <c r="AJ4" s="14">
        <f>AI4*VLOOKUP('Données projet'!$B$10,Paramètres!$A$1:$I$89,3,0)*VLOOKUP('Données projet'!$B$10,Paramètres!$A$1:$I$89,5,0)</f>
        <v>0.59917302752627477</v>
      </c>
      <c r="AK4" s="14">
        <f>EXP(-1.0587+0.8836*LN(AJ4)+0.284)</f>
        <v>0.29308746006107994</v>
      </c>
      <c r="AL4" s="22">
        <f t="shared" ref="AL4:AL67" si="4">(AJ4+AK4)*0.475*44/12</f>
        <v>1.5540203492146427</v>
      </c>
      <c r="AM4" s="62">
        <f t="shared" ref="AM4:AM67" si="5">AL4+(AD4+AE4)*44/12</f>
        <v>294.88735368254794</v>
      </c>
      <c r="AN4" s="62">
        <f ca="1">AVERAGE(OFFSET($AM$3,0,0,'Données projet'!$E$10+1,1))-AVERAGE(OFFSET($H$3,0,0,'Données projet'!$E$10+1,1))</f>
        <v>265.57412766850422</v>
      </c>
      <c r="AO4" s="62">
        <f>$AO$3</f>
        <v>179.39213799913273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3.2373333333333334</v>
      </c>
      <c r="BD4" s="13">
        <f>IF('Données projet'!$A$88&gt;35,BD3+BC4-BL3,IF(A4&lt;'Données projet'!$A$88,$BA$205^A4,IF(A4='Données projet'!$A$88,'Données projet'!$B$88,BD3+BC4-BL3)))</f>
        <v>1.2954438051451196</v>
      </c>
      <c r="BE4" s="14">
        <f>BD4*VLOOKUP('Données projet'!$B$11,Paramètres!$A$1:$I$89,3,0)*VLOOKUP('Données projet'!$B$11,Paramètres!$A$1:$I$89,5,0)</f>
        <v>0.77467539547678155</v>
      </c>
      <c r="BF4" s="14">
        <f>EXP(-1.0587+0.8836*LN(BE4)+0.284)</f>
        <v>0.36777168287054751</v>
      </c>
      <c r="BG4" s="22">
        <f t="shared" ref="BG4:BG67" si="7">(BE4+BF4)*0.475*44/12</f>
        <v>1.9897619947882648</v>
      </c>
      <c r="BH4" s="62">
        <f t="shared" ref="BH4:BH67" si="8">BG4+(AY4+AZ4)*44/12</f>
        <v>295.32309532812155</v>
      </c>
      <c r="BI4" s="62">
        <f ca="1">AVERAGE(OFFSET($BH$3,0,0,'Données projet'!$E$11+1,1))-AVERAGE(OFFSET($H$3,0,0,'Données projet'!$E$11+1,1))</f>
        <v>361.81625684745416</v>
      </c>
      <c r="BJ4" s="62">
        <f>$BJ$3</f>
        <v>302.25424592654684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4.5999999999999996</v>
      </c>
      <c r="N5" s="14">
        <f>IF('Données projet'!$A$36&gt;35,N4+M5-V4,IF(A5&lt;'Données projet'!$A$36,$K$205^A5,IF(A5='Données projet'!$A$36,'Données projet'!$B$36,N4+M5-V4)))</f>
        <v>2.1505600128111397</v>
      </c>
      <c r="O5" s="14">
        <f>N5*VLOOKUP('Données projet'!$B$9,Paramètres!$A$1:$I$89,3,0)*VLOOKUP('Données projet'!$B$9,Paramètres!$A$1:$I$89,5,0)</f>
        <v>1.2021630471614273</v>
      </c>
      <c r="P5" s="14">
        <f t="shared" ref="P5:P68" si="33">EXP(-1.0587+0.8836*LN(O5)+0.284)</f>
        <v>0.54226016556598744</v>
      </c>
      <c r="Q5" s="22">
        <f t="shared" si="2"/>
        <v>3.0382037621669138</v>
      </c>
      <c r="R5" s="62">
        <f t="shared" si="0"/>
        <v>296.37153709550023</v>
      </c>
      <c r="S5" s="62">
        <f ca="1">AVERAGE(OFFSET($R$3,0,0,'Données projet'!$E$9+1,1))-AVERAGE(OFFSET($H$3,0,0,'Données projet'!$E$9+1,1))</f>
        <v>500.52921520843432</v>
      </c>
      <c r="T5" s="62">
        <f t="shared" ref="T5:T68" si="34">$T$3</f>
        <v>430.43167430170087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</v>
      </c>
      <c r="AI5" s="14">
        <f>IF('Données projet'!$A$62&gt;35,AI4+AH5-AQ4,IF(A5&lt;'Données projet'!$A$62,$AF$205^A5,IF(A5='Données projet'!$A$62,'Données projet'!$B$62,AI4+AH5-AQ4)))</f>
        <v>1.6391277527348693</v>
      </c>
      <c r="AJ5" s="14">
        <f>AI5*VLOOKUP('Données projet'!$B$10,Paramètres!$A$1:$I$89,3,0)*VLOOKUP('Données projet'!$B$10,Paramètres!$A$1:$I$89,5,0)</f>
        <v>0.76711178827991888</v>
      </c>
      <c r="AK5" s="14">
        <f t="shared" ref="AK5:AK68" si="35">EXP(-1.0587+0.8836*LN(AJ5)+0.284)</f>
        <v>0.36459706970828532</v>
      </c>
      <c r="AL5" s="22">
        <f t="shared" si="4"/>
        <v>1.9710595943294553</v>
      </c>
      <c r="AM5" s="62">
        <f t="shared" si="5"/>
        <v>295.30439292766278</v>
      </c>
      <c r="AN5" s="62">
        <f ca="1">AVERAGE(OFFSET($AM$3,0,0,'Données projet'!$E$10+1,1))-AVERAGE(OFFSET($H$3,0,0,'Données projet'!$E$10+1,1))</f>
        <v>265.57412766850422</v>
      </c>
      <c r="AO5" s="62">
        <f t="shared" ref="AO5:AO68" si="36">$AO$3</f>
        <v>179.39213799913273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3.2373333333333334</v>
      </c>
      <c r="BD5" s="13">
        <f>IF('Données projet'!$A$88&gt;35,BD4+BC5-BL4,IF(A5&lt;'Données projet'!$A$88,$BA$205^A5,IF(A5='Données projet'!$A$88,'Données projet'!$B$88,BD4+BC5-BL4)))</f>
        <v>1.6781746522888665</v>
      </c>
      <c r="BE5" s="14">
        <f>BD5*VLOOKUP('Données projet'!$B$11,Paramètres!$A$1:$I$89,3,0)*VLOOKUP('Données projet'!$B$11,Paramètres!$A$1:$I$89,5,0)</f>
        <v>1.0035484420687422</v>
      </c>
      <c r="BF5" s="14">
        <f t="shared" ref="BF5:BF68" si="37">EXP(-1.0587+0.8836*LN(BE5)+0.284)</f>
        <v>0.46228664047475304</v>
      </c>
      <c r="BG5" s="22">
        <f t="shared" si="7"/>
        <v>2.552996102096587</v>
      </c>
      <c r="BH5" s="62">
        <f t="shared" si="8"/>
        <v>295.8863294354299</v>
      </c>
      <c r="BI5" s="62">
        <f ca="1">AVERAGE(OFFSET($BH$3,0,0,'Données projet'!$E$11+1,1))-AVERAGE(OFFSET($H$3,0,0,'Données projet'!$E$11+1,1))</f>
        <v>361.81625684745416</v>
      </c>
      <c r="BJ5" s="62">
        <f t="shared" ref="BJ5:BJ68" si="38">$BJ$3</f>
        <v>302.25424592654684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4.5999999999999996</v>
      </c>
      <c r="N6" s="14">
        <f>IF('Données projet'!$A$36&gt;35,N5+M6-V5,IF(A6&lt;'Données projet'!$A$36,$K$205^A6,IF(A6='Données projet'!$A$36,'Données projet'!$B$36,N5+M6-V5)))</f>
        <v>3.1537506243592972</v>
      </c>
      <c r="O6" s="14">
        <f>N6*VLOOKUP('Données projet'!$B$9,Paramètres!$A$1:$I$89,3,0)*VLOOKUP('Données projet'!$B$9,Paramètres!$A$1:$I$89,5,0)</f>
        <v>1.7629465990168471</v>
      </c>
      <c r="P6" s="14">
        <f t="shared" si="33"/>
        <v>0.76055212541846451</v>
      </c>
      <c r="Q6" s="22">
        <f t="shared" si="2"/>
        <v>4.3950936117248345</v>
      </c>
      <c r="R6" s="62">
        <f t="shared" si="0"/>
        <v>297.72842694505817</v>
      </c>
      <c r="S6" s="62">
        <f ca="1">AVERAGE(OFFSET($R$3,0,0,'Données projet'!$E$9+1,1))-AVERAGE(OFFSET($H$3,0,0,'Données projet'!$E$9+1,1))</f>
        <v>500.52921520843432</v>
      </c>
      <c r="T6" s="62">
        <f t="shared" si="34"/>
        <v>430.43167430170087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</v>
      </c>
      <c r="AI6" s="14">
        <f>IF('Données projet'!$A$62&gt;35,AI5+AH6-AQ5,IF(A6&lt;'Données projet'!$A$62,$AF$205^A6,IF(A6='Données projet'!$A$62,'Données projet'!$B$62,AI5+AH6-AQ5)))</f>
        <v>2.098549440402758</v>
      </c>
      <c r="AJ6" s="14">
        <f>AI6*VLOOKUP('Données projet'!$B$10,Paramètres!$A$1:$I$89,3,0)*VLOOKUP('Données projet'!$B$10,Paramètres!$A$1:$I$89,5,0)</f>
        <v>0.98212113810849078</v>
      </c>
      <c r="AK6" s="14">
        <f t="shared" si="35"/>
        <v>0.453554113888616</v>
      </c>
      <c r="AL6" s="22">
        <f t="shared" si="4"/>
        <v>2.5004677305616276</v>
      </c>
      <c r="AM6" s="62">
        <f t="shared" si="5"/>
        <v>295.83380106389495</v>
      </c>
      <c r="AN6" s="62">
        <f ca="1">AVERAGE(OFFSET($AM$3,0,0,'Données projet'!$E$10+1,1))-AVERAGE(OFFSET($H$3,0,0,'Données projet'!$E$10+1,1))</f>
        <v>265.57412766850422</v>
      </c>
      <c r="AO6" s="62">
        <f t="shared" si="36"/>
        <v>179.39213799913273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3.2373333333333334</v>
      </c>
      <c r="BD6" s="13">
        <f>IF('Données projet'!$A$88&gt;35,BD5+BC6-BL5,IF(A6&lt;'Données projet'!$A$88,$BA$205^A6,IF(A6='Données projet'!$A$88,'Données projet'!$B$88,BD5+BC6-BL5)))</f>
        <v>2.1739809572591771</v>
      </c>
      <c r="BE6" s="14">
        <f>BD6*VLOOKUP('Données projet'!$B$11,Paramètres!$A$1:$I$89,3,0)*VLOOKUP('Données projet'!$B$11,Paramètres!$A$1:$I$89,5,0)</f>
        <v>1.300040612440988</v>
      </c>
      <c r="BF6" s="14">
        <f t="shared" si="37"/>
        <v>0.58109133442081051</v>
      </c>
      <c r="BG6" s="22">
        <f t="shared" si="7"/>
        <v>3.2763048074509658</v>
      </c>
      <c r="BH6" s="62">
        <f t="shared" si="8"/>
        <v>296.60963814078428</v>
      </c>
      <c r="BI6" s="62">
        <f ca="1">AVERAGE(OFFSET($BH$3,0,0,'Données projet'!$E$11+1,1))-AVERAGE(OFFSET($H$3,0,0,'Données projet'!$E$11+1,1))</f>
        <v>361.81625684745416</v>
      </c>
      <c r="BJ6" s="62">
        <f t="shared" si="38"/>
        <v>302.25424592654684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4.5999999999999996</v>
      </c>
      <c r="N7" s="14">
        <f>IF('Données projet'!$A$36&gt;35,N6+M7-V6,IF(A7&lt;'Données projet'!$A$36,$K$205^A7,IF(A7='Données projet'!$A$36,'Données projet'!$B$36,N6+M7-V6)))</f>
        <v>4.6249083687022496</v>
      </c>
      <c r="O7" s="14">
        <f>N7*VLOOKUP('Données projet'!$B$9,Paramètres!$A$1:$I$89,3,0)*VLOOKUP('Données projet'!$B$9,Paramètres!$A$1:$I$89,5,0)</f>
        <v>2.5853237781045575</v>
      </c>
      <c r="P7" s="14">
        <f t="shared" si="33"/>
        <v>1.0667195789216675</v>
      </c>
      <c r="Q7" s="22">
        <f t="shared" si="2"/>
        <v>6.3606421801540085</v>
      </c>
      <c r="R7" s="62">
        <f t="shared" si="0"/>
        <v>299.69397551348732</v>
      </c>
      <c r="S7" s="62">
        <f ca="1">AVERAGE(OFFSET($R$3,0,0,'Données projet'!$E$9+1,1))-AVERAGE(OFFSET($H$3,0,0,'Données projet'!$E$9+1,1))</f>
        <v>500.52921520843432</v>
      </c>
      <c r="T7" s="62">
        <f t="shared" si="34"/>
        <v>430.43167430170087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</v>
      </c>
      <c r="AI7" s="14">
        <f>IF('Données projet'!$A$62&gt;35,AI6+AH7-AQ6,IF(A7&lt;'Données projet'!$A$62,$AF$205^A7,IF(A7='Données projet'!$A$62,'Données projet'!$B$62,AI6+AH7-AQ6)))</f>
        <v>2.6867397897856629</v>
      </c>
      <c r="AJ7" s="14">
        <f>AI7*VLOOKUP('Données projet'!$B$10,Paramètres!$A$1:$I$89,3,0)*VLOOKUP('Données projet'!$B$10,Paramètres!$A$1:$I$89,5,0)</f>
        <v>1.2573942216196903</v>
      </c>
      <c r="AK7" s="14">
        <f t="shared" si="35"/>
        <v>0.56421554454586698</v>
      </c>
      <c r="AL7" s="22">
        <f t="shared" si="4"/>
        <v>3.1726370094050123</v>
      </c>
      <c r="AM7" s="62">
        <f t="shared" si="5"/>
        <v>296.50597034273835</v>
      </c>
      <c r="AN7" s="62">
        <f ca="1">AVERAGE(OFFSET($AM$3,0,0,'Données projet'!$E$10+1,1))-AVERAGE(OFFSET($H$3,0,0,'Données projet'!$E$10+1,1))</f>
        <v>265.57412766850422</v>
      </c>
      <c r="AO7" s="62">
        <f t="shared" si="36"/>
        <v>179.39213799913273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3.2373333333333334</v>
      </c>
      <c r="BD7" s="13">
        <f>IF('Données projet'!$A$88&gt;35,BD6+BC7-BL6,IF(A7&lt;'Données projet'!$A$88,$BA$205^A7,IF(A7='Données projet'!$A$88,'Données projet'!$B$88,BD6+BC7-BL6)))</f>
        <v>2.8162701635848579</v>
      </c>
      <c r="BE7" s="14">
        <f>BD7*VLOOKUP('Données projet'!$B$11,Paramètres!$A$1:$I$89,3,0)*VLOOKUP('Données projet'!$B$11,Paramètres!$A$1:$I$89,5,0)</f>
        <v>1.6841295578237452</v>
      </c>
      <c r="BF7" s="14">
        <f t="shared" si="37"/>
        <v>0.73042807075753979</v>
      </c>
      <c r="BG7" s="22">
        <f t="shared" si="7"/>
        <v>4.2053545364457383</v>
      </c>
      <c r="BH7" s="62">
        <f t="shared" si="8"/>
        <v>297.53868786977904</v>
      </c>
      <c r="BI7" s="62">
        <f ca="1">AVERAGE(OFFSET($BH$3,0,0,'Données projet'!$E$11+1,1))-AVERAGE(OFFSET($H$3,0,0,'Données projet'!$E$11+1,1))</f>
        <v>361.81625684745416</v>
      </c>
      <c r="BJ7" s="62">
        <f t="shared" si="38"/>
        <v>302.25424592654684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4.5999999999999996</v>
      </c>
      <c r="N8" s="14">
        <f>IF('Données projet'!$A$36&gt;35,N7+M8-V7,IF(A8&lt;'Données projet'!$A$36,$K$205^A8,IF(A8='Données projet'!$A$36,'Données projet'!$B$36,N7+M8-V7)))</f>
        <v>6.7823299831252708</v>
      </c>
      <c r="O8" s="14">
        <f>N8*VLOOKUP('Données projet'!$B$9,Paramètres!$A$1:$I$89,3,0)*VLOOKUP('Données projet'!$B$9,Paramètres!$A$1:$I$89,5,0)</f>
        <v>3.7913224605670264</v>
      </c>
      <c r="P8" s="14">
        <f t="shared" si="33"/>
        <v>1.4961376374153703</v>
      </c>
      <c r="Q8" s="22">
        <f t="shared" si="2"/>
        <v>9.2089930039860075</v>
      </c>
      <c r="R8" s="62">
        <f t="shared" si="0"/>
        <v>302.54232633731931</v>
      </c>
      <c r="S8" s="62">
        <f ca="1">AVERAGE(OFFSET($R$3,0,0,'Données projet'!$E$9+1,1))-AVERAGE(OFFSET($H$3,0,0,'Données projet'!$E$9+1,1))</f>
        <v>500.52921520843432</v>
      </c>
      <c r="T8" s="62">
        <f t="shared" si="34"/>
        <v>430.43167430170087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</v>
      </c>
      <c r="AI8" s="14">
        <f>IF('Données projet'!$A$62&gt;35,AI7+AH8-AQ7,IF(A8&lt;'Données projet'!$A$62,$AF$205^A8,IF(A8='Données projet'!$A$62,'Données projet'!$B$62,AI7+AH8-AQ7)))</f>
        <v>3.4397906282503903</v>
      </c>
      <c r="AJ8" s="14">
        <f>AI8*VLOOKUP('Données projet'!$B$10,Paramètres!$A$1:$I$89,3,0)*VLOOKUP('Données projet'!$B$10,Paramètres!$A$1:$I$89,5,0)</f>
        <v>1.6098220140211825</v>
      </c>
      <c r="AK8" s="14">
        <f t="shared" si="35"/>
        <v>0.70187695571286812</v>
      </c>
      <c r="AL8" s="22">
        <f t="shared" si="4"/>
        <v>4.0262090389534713</v>
      </c>
      <c r="AM8" s="62">
        <f t="shared" si="5"/>
        <v>297.3595423722868</v>
      </c>
      <c r="AN8" s="62">
        <f ca="1">AVERAGE(OFFSET($AM$3,0,0,'Données projet'!$E$10+1,1))-AVERAGE(OFFSET($H$3,0,0,'Données projet'!$E$10+1,1))</f>
        <v>265.57412766850422</v>
      </c>
      <c r="AO8" s="62">
        <f t="shared" si="36"/>
        <v>179.39213799913273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3.2373333333333334</v>
      </c>
      <c r="BD8" s="13">
        <f>IF('Données projet'!$A$88&gt;35,BD7+BC8-BL7,IF(A8&lt;'Données projet'!$A$88,$BA$205^A8,IF(A8='Données projet'!$A$88,'Données projet'!$B$88,BD7+BC8-BL7)))</f>
        <v>3.648319737031037</v>
      </c>
      <c r="BE8" s="14">
        <f>BD8*VLOOKUP('Données projet'!$B$11,Paramètres!$A$1:$I$89,3,0)*VLOOKUP('Données projet'!$B$11,Paramètres!$A$1:$I$89,5,0)</f>
        <v>2.1816952027445602</v>
      </c>
      <c r="BF8" s="14">
        <f t="shared" si="37"/>
        <v>0.91814338804821549</v>
      </c>
      <c r="BG8" s="22">
        <f t="shared" si="7"/>
        <v>5.3988855456307512</v>
      </c>
      <c r="BH8" s="62">
        <f t="shared" si="8"/>
        <v>298.73221887896409</v>
      </c>
      <c r="BI8" s="62">
        <f ca="1">AVERAGE(OFFSET($BH$3,0,0,'Données projet'!$E$11+1,1))-AVERAGE(OFFSET($H$3,0,0,'Données projet'!$E$11+1,1))</f>
        <v>361.81625684745416</v>
      </c>
      <c r="BJ8" s="62">
        <f t="shared" si="38"/>
        <v>302.25424592654684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4.5999999999999996</v>
      </c>
      <c r="N9" s="14">
        <f>IF('Données projet'!$A$36&gt;35,N8+M9-V8,IF(A9&lt;'Données projet'!$A$36,$K$205^A9,IF(A9='Données projet'!$A$36,'Données projet'!$B$36,N8+M9-V8)))</f>
        <v>9.9461430006466571</v>
      </c>
      <c r="O9" s="14">
        <f>N9*VLOOKUP('Données projet'!$B$9,Paramètres!$A$1:$I$89,3,0)*VLOOKUP('Données projet'!$B$9,Paramètres!$A$1:$I$89,5,0)</f>
        <v>5.5598939373614815</v>
      </c>
      <c r="P9" s="14">
        <f t="shared" si="33"/>
        <v>2.098421997985302</v>
      </c>
      <c r="Q9" s="22">
        <f t="shared" si="2"/>
        <v>13.338233587395647</v>
      </c>
      <c r="R9" s="62">
        <f t="shared" si="0"/>
        <v>306.67156692072894</v>
      </c>
      <c r="S9" s="62">
        <f ca="1">AVERAGE(OFFSET($R$3,0,0,'Données projet'!$E$9+1,1))-AVERAGE(OFFSET($H$3,0,0,'Données projet'!$E$9+1,1))</f>
        <v>500.52921520843432</v>
      </c>
      <c r="T9" s="62">
        <f t="shared" si="34"/>
        <v>430.43167430170087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</v>
      </c>
      <c r="AI9" s="14">
        <f>IF('Données projet'!$A$62&gt;35,AI8+AH9-AQ8,IF(A9&lt;'Données projet'!$A$62,$AF$205^A9,IF(A9='Données projet'!$A$62,'Données projet'!$B$62,AI8+AH9-AQ8)))</f>
        <v>4.4039097538147285</v>
      </c>
      <c r="AJ9" s="14">
        <f>AI9*VLOOKUP('Données projet'!$B$10,Paramètres!$A$1:$I$89,3,0)*VLOOKUP('Données projet'!$B$10,Paramètres!$A$1:$I$89,5,0)</f>
        <v>2.0610297647852929</v>
      </c>
      <c r="AK9" s="14">
        <f t="shared" si="35"/>
        <v>0.87312599896069631</v>
      </c>
      <c r="AL9" s="22">
        <f t="shared" si="4"/>
        <v>5.1103212885242639</v>
      </c>
      <c r="AM9" s="62">
        <f t="shared" si="5"/>
        <v>298.4436546218576</v>
      </c>
      <c r="AN9" s="62">
        <f ca="1">AVERAGE(OFFSET($AM$3,0,0,'Données projet'!$E$10+1,1))-AVERAGE(OFFSET($H$3,0,0,'Données projet'!$E$10+1,1))</f>
        <v>265.57412766850422</v>
      </c>
      <c r="AO9" s="62">
        <f t="shared" si="36"/>
        <v>179.39213799913273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3.2373333333333334</v>
      </c>
      <c r="BD9" s="13">
        <f>IF('Données projet'!$A$88&gt;35,BD8+BC9-BL8,IF(A9&lt;'Données projet'!$A$88,$BA$205^A9,IF(A9='Données projet'!$A$88,'Données projet'!$B$88,BD8+BC9-BL8)))</f>
        <v>4.7261932025255282</v>
      </c>
      <c r="BE9" s="14">
        <f>BD9*VLOOKUP('Données projet'!$B$11,Paramètres!$A$1:$I$89,3,0)*VLOOKUP('Données projet'!$B$11,Paramètres!$A$1:$I$89,5,0)</f>
        <v>2.8262635351102658</v>
      </c>
      <c r="BF9" s="14">
        <f t="shared" si="37"/>
        <v>1.1541003348110361</v>
      </c>
      <c r="BG9" s="22">
        <f t="shared" si="7"/>
        <v>6.9324670734462677</v>
      </c>
      <c r="BH9" s="62">
        <f t="shared" si="8"/>
        <v>300.26580040677959</v>
      </c>
      <c r="BI9" s="62">
        <f ca="1">AVERAGE(OFFSET($BH$3,0,0,'Données projet'!$E$11+1,1))-AVERAGE(OFFSET($H$3,0,0,'Données projet'!$E$11+1,1))</f>
        <v>361.81625684745416</v>
      </c>
      <c r="BJ9" s="62">
        <f t="shared" si="38"/>
        <v>302.25424592654684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4.5999999999999996</v>
      </c>
      <c r="N10" s="14">
        <f>IF('Données projet'!$A$36&gt;35,N9+M10-V9,IF(A10&lt;'Données projet'!$A$36,$K$205^A10,IF(A10='Données projet'!$A$36,'Données projet'!$B$36,N9+M10-V9)))</f>
        <v>14.585807655399259</v>
      </c>
      <c r="O10" s="14">
        <f>N10*VLOOKUP('Données projet'!$B$9,Paramètres!$A$1:$I$89,3,0)*VLOOKUP('Données projet'!$B$9,Paramètres!$A$1:$I$89,5,0)</f>
        <v>8.1534664793681859</v>
      </c>
      <c r="P10" s="14">
        <f t="shared" si="33"/>
        <v>2.9431616259822255</v>
      </c>
      <c r="Q10" s="22">
        <f t="shared" si="2"/>
        <v>19.326627283485298</v>
      </c>
      <c r="R10" s="62">
        <f t="shared" si="0"/>
        <v>312.65996061681864</v>
      </c>
      <c r="S10" s="62">
        <f ca="1">AVERAGE(OFFSET($R$3,0,0,'Données projet'!$E$9+1,1))-AVERAGE(OFFSET($H$3,0,0,'Données projet'!$E$9+1,1))</f>
        <v>500.52921520843432</v>
      </c>
      <c r="T10" s="62">
        <f t="shared" si="34"/>
        <v>430.43167430170087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</v>
      </c>
      <c r="AI10" s="14">
        <f>IF('Données projet'!$A$62&gt;35,AI9+AH10-AQ9,IF(A10&lt;'Données projet'!$A$62,$AF$205^A10,IF(A10='Données projet'!$A$62,'Données projet'!$B$62,AI9+AH10-AQ9)))</f>
        <v>5.6382562823625264</v>
      </c>
      <c r="AJ10" s="14">
        <f>AI10*VLOOKUP('Données projet'!$B$10,Paramètres!$A$1:$I$89,3,0)*VLOOKUP('Données projet'!$B$10,Paramètres!$A$1:$I$89,5,0)</f>
        <v>2.6387039401456627</v>
      </c>
      <c r="AK10" s="14">
        <f t="shared" si="35"/>
        <v>1.0861576289918606</v>
      </c>
      <c r="AL10" s="22">
        <f t="shared" si="4"/>
        <v>6.4874672329145193</v>
      </c>
      <c r="AM10" s="62">
        <f t="shared" si="5"/>
        <v>299.82080056624784</v>
      </c>
      <c r="AN10" s="62">
        <f ca="1">AVERAGE(OFFSET($AM$3,0,0,'Données projet'!$E$10+1,1))-AVERAGE(OFFSET($H$3,0,0,'Données projet'!$E$10+1,1))</f>
        <v>265.57412766850422</v>
      </c>
      <c r="AO10" s="62">
        <f t="shared" si="36"/>
        <v>179.39213799913273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3.2373333333333334</v>
      </c>
      <c r="BD10" s="13">
        <f>IF('Données projet'!$A$88&gt;35,BD9+BC10-BL9,IF(A10&lt;'Données projet'!$A$88,$BA$205^A10,IF(A10='Données projet'!$A$88,'Données projet'!$B$88,BD9+BC10-BL9)))</f>
        <v>6.1225177061306688</v>
      </c>
      <c r="BE10" s="14">
        <f>BD10*VLOOKUP('Données projet'!$B$11,Paramètres!$A$1:$I$89,3,0)*VLOOKUP('Données projet'!$B$11,Paramètres!$A$1:$I$89,5,0)</f>
        <v>3.66126558826614</v>
      </c>
      <c r="BF10" s="14">
        <f t="shared" si="37"/>
        <v>1.4506966996107142</v>
      </c>
      <c r="BG10" s="22">
        <f t="shared" si="7"/>
        <v>8.9033343180521864</v>
      </c>
      <c r="BH10" s="62">
        <f t="shared" si="8"/>
        <v>302.23666765138552</v>
      </c>
      <c r="BI10" s="62">
        <f ca="1">AVERAGE(OFFSET($BH$3,0,0,'Données projet'!$E$11+1,1))-AVERAGE(OFFSET($H$3,0,0,'Données projet'!$E$11+1,1))</f>
        <v>361.81625684745416</v>
      </c>
      <c r="BJ10" s="62">
        <f t="shared" si="38"/>
        <v>302.25424592654684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4.5999999999999996</v>
      </c>
      <c r="N11" s="14">
        <f>IF('Données projet'!$A$36&gt;35,N10+M11-V10,IF(A11&lt;'Données projet'!$A$36,$K$205^A11,IF(A11='Données projet'!$A$36,'Données projet'!$B$36,N10+M11-V10)))</f>
        <v>21.389777418892105</v>
      </c>
      <c r="O11" s="14">
        <f>N11*VLOOKUP('Données projet'!$B$9,Paramètres!$A$1:$I$89,3,0)*VLOOKUP('Données projet'!$B$9,Paramètres!$A$1:$I$89,5,0)</f>
        <v>11.956885577160687</v>
      </c>
      <c r="P11" s="14">
        <f t="shared" si="33"/>
        <v>4.1279591831247142</v>
      </c>
      <c r="Q11" s="22">
        <f t="shared" si="2"/>
        <v>28.014437957497069</v>
      </c>
      <c r="R11" s="62">
        <f t="shared" si="0"/>
        <v>321.34777129083039</v>
      </c>
      <c r="S11" s="62">
        <f ca="1">AVERAGE(OFFSET($R$3,0,0,'Données projet'!$E$9+1,1))-AVERAGE(OFFSET($H$3,0,0,'Données projet'!$E$9+1,1))</f>
        <v>500.52921520843432</v>
      </c>
      <c r="T11" s="62">
        <f t="shared" si="34"/>
        <v>430.43167430170087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</v>
      </c>
      <c r="AI11" s="14">
        <f>IF('Données projet'!$A$62&gt;35,AI10+AH11-AQ10,IF(A11&lt;'Données projet'!$A$62,$AF$205^A11,IF(A11='Données projet'!$A$62,'Données projet'!$B$62,AI10+AH11-AQ10)))</f>
        <v>7.2185706980175075</v>
      </c>
      <c r="AJ11" s="14">
        <f>AI11*VLOOKUP('Données projet'!$B$10,Paramètres!$A$1:$I$89,3,0)*VLOOKUP('Données projet'!$B$10,Paramètres!$A$1:$I$89,5,0)</f>
        <v>3.3782910866721938</v>
      </c>
      <c r="AK11" s="14">
        <f t="shared" si="35"/>
        <v>1.3511662651455716</v>
      </c>
      <c r="AL11" s="22">
        <f t="shared" si="4"/>
        <v>8.2371382210826081</v>
      </c>
      <c r="AM11" s="62">
        <f t="shared" si="5"/>
        <v>301.57047155441592</v>
      </c>
      <c r="AN11" s="62">
        <f ca="1">AVERAGE(OFFSET($AM$3,0,0,'Données projet'!$E$10+1,1))-AVERAGE(OFFSET($H$3,0,0,'Données projet'!$E$10+1,1))</f>
        <v>265.57412766850422</v>
      </c>
      <c r="AO11" s="62">
        <f t="shared" si="36"/>
        <v>179.39213799913273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3.2373333333333334</v>
      </c>
      <c r="BD11" s="13">
        <f>IF('Données projet'!$A$88&gt;35,BD10+BC11-BL10,IF(A11&lt;'Données projet'!$A$88,$BA$205^A11,IF(A11='Données projet'!$A$88,'Données projet'!$B$88,BD10+BC11-BL10)))</f>
        <v>7.9313776342982827</v>
      </c>
      <c r="BE11" s="14">
        <f>BD11*VLOOKUP('Données projet'!$B$11,Paramètres!$A$1:$I$89,3,0)*VLOOKUP('Données projet'!$B$11,Paramètres!$A$1:$I$89,5,0)</f>
        <v>4.7429638253103734</v>
      </c>
      <c r="BF11" s="14">
        <f t="shared" si="37"/>
        <v>1.8235164229512146</v>
      </c>
      <c r="BG11" s="22">
        <f t="shared" si="7"/>
        <v>11.436619765722265</v>
      </c>
      <c r="BH11" s="62">
        <f t="shared" si="8"/>
        <v>304.76995309905556</v>
      </c>
      <c r="BI11" s="62">
        <f ca="1">AVERAGE(OFFSET($BH$3,0,0,'Données projet'!$E$11+1,1))-AVERAGE(OFFSET($H$3,0,0,'Données projet'!$E$11+1,1))</f>
        <v>361.81625684745416</v>
      </c>
      <c r="BJ11" s="62">
        <f t="shared" si="38"/>
        <v>302.25424592654684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4.5999999999999996</v>
      </c>
      <c r="N12" s="14">
        <f>IF('Données projet'!$A$36&gt;35,N11+M12-V11,IF(A12&lt;'Données projet'!$A$36,$K$205^A12,IF(A12='Données projet'!$A$36,'Données projet'!$B$36,N11+M12-V11)))</f>
        <v>31.367654698256253</v>
      </c>
      <c r="O12" s="14">
        <f>N12*VLOOKUP('Données projet'!$B$9,Paramètres!$A$1:$I$89,3,0)*VLOOKUP('Données projet'!$B$9,Paramètres!$A$1:$I$89,5,0)</f>
        <v>17.534518976325245</v>
      </c>
      <c r="P12" s="14">
        <f t="shared" si="33"/>
        <v>5.7897082060034206</v>
      </c>
      <c r="Q12" s="22">
        <f t="shared" si="2"/>
        <v>40.623029009222428</v>
      </c>
      <c r="R12" s="62">
        <f t="shared" si="0"/>
        <v>333.95636234255574</v>
      </c>
      <c r="S12" s="62">
        <f ca="1">AVERAGE(OFFSET($R$3,0,0,'Données projet'!$E$9+1,1))-AVERAGE(OFFSET($H$3,0,0,'Données projet'!$E$9+1,1))</f>
        <v>500.52921520843432</v>
      </c>
      <c r="T12" s="62">
        <f t="shared" si="34"/>
        <v>430.43167430170087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</v>
      </c>
      <c r="AI12" s="14">
        <f>IF('Données projet'!$A$62&gt;35,AI11+AH12-AQ11,IF(A12&lt;'Données projet'!$A$62,$AF$205^A12,IF(A12='Données projet'!$A$62,'Données projet'!$B$62,AI11+AH12-AQ11)))</f>
        <v>9.2418223494521463</v>
      </c>
      <c r="AJ12" s="14">
        <f>AI12*VLOOKUP('Données projet'!$B$10,Paramètres!$A$1:$I$89,3,0)*VLOOKUP('Données projet'!$B$10,Paramètres!$A$1:$I$89,5,0)</f>
        <v>4.3251728595436045</v>
      </c>
      <c r="AK12" s="14">
        <f t="shared" si="35"/>
        <v>1.6808336353186117</v>
      </c>
      <c r="AL12" s="22">
        <f t="shared" si="4"/>
        <v>10.460461311885025</v>
      </c>
      <c r="AM12" s="62">
        <f t="shared" si="5"/>
        <v>303.79379464521833</v>
      </c>
      <c r="AN12" s="62">
        <f ca="1">AVERAGE(OFFSET($AM$3,0,0,'Données projet'!$E$10+1,1))-AVERAGE(OFFSET($H$3,0,0,'Données projet'!$E$10+1,1))</f>
        <v>265.57412766850422</v>
      </c>
      <c r="AO12" s="62">
        <f t="shared" si="36"/>
        <v>179.39213799913273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3.2373333333333334</v>
      </c>
      <c r="BD12" s="13">
        <f>IF('Données projet'!$A$88&gt;35,BD11+BC12-BL11,IF(A12&lt;'Données projet'!$A$88,$BA$205^A12,IF(A12='Données projet'!$A$88,'Données projet'!$B$88,BD11+BC12-BL11)))</f>
        <v>10.274654022618265</v>
      </c>
      <c r="BE12" s="14">
        <f>BD12*VLOOKUP('Données projet'!$B$11,Paramètres!$A$1:$I$89,3,0)*VLOOKUP('Données projet'!$B$11,Paramètres!$A$1:$I$89,5,0)</f>
        <v>6.1442431055257218</v>
      </c>
      <c r="BF12" s="14">
        <f t="shared" si="37"/>
        <v>2.2921484178361289</v>
      </c>
      <c r="BG12" s="22">
        <f t="shared" si="7"/>
        <v>14.693381903188557</v>
      </c>
      <c r="BH12" s="62">
        <f t="shared" si="8"/>
        <v>308.02671523652185</v>
      </c>
      <c r="BI12" s="62">
        <f ca="1">AVERAGE(OFFSET($BH$3,0,0,'Données projet'!$E$11+1,1))-AVERAGE(OFFSET($H$3,0,0,'Données projet'!$E$11+1,1))</f>
        <v>361.81625684745416</v>
      </c>
      <c r="BJ12" s="62">
        <f t="shared" si="38"/>
        <v>302.25424592654684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46</v>
      </c>
      <c r="L13" s="13">
        <f>VLOOKUP(A13,'Données projet'!$A$35:$I$55,9,0)</f>
        <v>4.5999999999999996</v>
      </c>
      <c r="M13" s="13">
        <f t="array" ref="M13">INDEX(L:L,MIN(IF(ISNUMBER(L13:L209),ROW(L13:L209),"")))</f>
        <v>4.5999999999999996</v>
      </c>
      <c r="N13" s="14">
        <f>IF('Données projet'!$A$36&gt;35,N12+M13-V12,IF(A13&lt;'Données projet'!$A$36,$K$205^A13,IF(A13='Données projet'!$A$36,'Données projet'!$B$36,N12+M13-V12)))</f>
        <v>46</v>
      </c>
      <c r="O13" s="14">
        <f>N13*VLOOKUP('Données projet'!$B$9,Paramètres!$A$1:$I$89,3,0)*VLOOKUP('Données projet'!$B$9,Paramètres!$A$1:$I$89,5,0)</f>
        <v>25.714000000000002</v>
      </c>
      <c r="P13" s="14">
        <f t="shared" si="33"/>
        <v>8.1204100194831259</v>
      </c>
      <c r="Q13" s="22">
        <f t="shared" si="2"/>
        <v>58.928264117266451</v>
      </c>
      <c r="R13" s="62">
        <f t="shared" si="0"/>
        <v>352.26159745059977</v>
      </c>
      <c r="S13" s="62">
        <f ca="1">AVERAGE(OFFSET($R$3,0,0,'Données projet'!$E$9+1,1))-AVERAGE(OFFSET($H$3,0,0,'Données projet'!$E$9+1,1))</f>
        <v>500.52921520843432</v>
      </c>
      <c r="T13" s="62">
        <f t="shared" si="34"/>
        <v>430.43167430170087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0.30800000000000005</v>
      </c>
      <c r="Y13" s="17">
        <f>IF(ISNA(VLOOKUP(A13,'Données projet'!$A$35:$I$55,7,0)),0%,VLOOKUP(A13,'Données projet'!$A$35:$I$55,7,0))</f>
        <v>0.44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</v>
      </c>
      <c r="AI13" s="14">
        <f>IF('Données projet'!$A$62&gt;35,AI12+AH13-AQ12,IF(A13&lt;'Données projet'!$A$62,$AF$205^A13,IF(A13='Données projet'!$A$62,'Données projet'!$B$62,AI12+AH13-AQ12)))</f>
        <v>11.832159566199214</v>
      </c>
      <c r="AJ13" s="14">
        <f>AI13*VLOOKUP('Données projet'!$B$10,Paramètres!$A$1:$I$89,3,0)*VLOOKUP('Données projet'!$B$10,Paramètres!$A$1:$I$89,5,0)</f>
        <v>5.5374506769812326</v>
      </c>
      <c r="AK13" s="14">
        <f t="shared" si="35"/>
        <v>2.090935647593303</v>
      </c>
      <c r="AL13" s="22">
        <f t="shared" si="4"/>
        <v>13.286106181967314</v>
      </c>
      <c r="AM13" s="62">
        <f t="shared" si="5"/>
        <v>306.61943951530066</v>
      </c>
      <c r="AN13" s="62">
        <f ca="1">AVERAGE(OFFSET($AM$3,0,0,'Données projet'!$E$10+1,1))-AVERAGE(OFFSET($H$3,0,0,'Données projet'!$E$10+1,1))</f>
        <v>265.57412766850422</v>
      </c>
      <c r="AO13" s="62">
        <f t="shared" si="36"/>
        <v>179.39213799913273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3.2373333333333334</v>
      </c>
      <c r="BD13" s="13">
        <f>IF('Données projet'!$A$88&gt;35,BD12+BC13-BL12,IF(A13&lt;'Données projet'!$A$88,$BA$205^A13,IF(A13='Données projet'!$A$88,'Données projet'!$B$88,BD12+BC13-BL12)))</f>
        <v>13.310236903610214</v>
      </c>
      <c r="BE13" s="14">
        <f>BD13*VLOOKUP('Données projet'!$B$11,Paramètres!$A$1:$I$89,3,0)*VLOOKUP('Données projet'!$B$11,Paramètres!$A$1:$I$89,5,0)</f>
        <v>7.9595216683589083</v>
      </c>
      <c r="BF13" s="14">
        <f t="shared" si="37"/>
        <v>2.8812158219477846</v>
      </c>
      <c r="BG13" s="22">
        <f t="shared" si="7"/>
        <v>18.880951128950827</v>
      </c>
      <c r="BH13" s="62">
        <f t="shared" si="8"/>
        <v>312.21428446228413</v>
      </c>
      <c r="BI13" s="62">
        <f ca="1">AVERAGE(OFFSET($BH$3,0,0,'Données projet'!$E$11+1,1))-AVERAGE(OFFSET($H$3,0,0,'Données projet'!$E$11+1,1))</f>
        <v>361.81625684745416</v>
      </c>
      <c r="BJ13" s="62">
        <f t="shared" si="38"/>
        <v>302.25424592654684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19</v>
      </c>
      <c r="N14" s="14">
        <f>IF('Données projet'!$A$36&gt;35,N13+M14-V13,IF(A14&lt;'Données projet'!$A$36,$K$205^A14,IF(A14='Données projet'!$A$36,'Données projet'!$B$36,N13+M14-V13)))</f>
        <v>65</v>
      </c>
      <c r="O14" s="14">
        <f>N14*VLOOKUP('Données projet'!$B$9,Paramètres!$A$1:$I$89,3,0)*VLOOKUP('Données projet'!$B$9,Paramètres!$A$1:$I$89,5,0)</f>
        <v>36.335000000000001</v>
      </c>
      <c r="P14" s="14">
        <f t="shared" si="33"/>
        <v>11.02187243420407</v>
      </c>
      <c r="Q14" s="22">
        <f t="shared" si="2"/>
        <v>82.479886156238749</v>
      </c>
      <c r="R14" s="62">
        <f t="shared" si="0"/>
        <v>375.81321948957208</v>
      </c>
      <c r="S14" s="62">
        <f ca="1">AVERAGE(OFFSET($R$3,0,0,'Données projet'!$E$9+1,1))-AVERAGE(OFFSET($H$3,0,0,'Données projet'!$E$9+1,1))</f>
        <v>500.52921520843432</v>
      </c>
      <c r="T14" s="62">
        <f t="shared" si="34"/>
        <v>430.43167430170087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</v>
      </c>
      <c r="AI14" s="14">
        <f>IF('Données projet'!$A$62&gt;35,AI13+AH14-AQ13,IF(A14&lt;'Données projet'!$A$62,$AF$205^A14,IF(A14='Données projet'!$A$62,'Données projet'!$B$62,AI13+AH14-AQ13)))</f>
        <v>15.148527498832387</v>
      </c>
      <c r="AJ14" s="14">
        <f>AI14*VLOOKUP('Données projet'!$B$10,Paramètres!$A$1:$I$89,3,0)*VLOOKUP('Données projet'!$B$10,Paramètres!$A$1:$I$89,5,0)</f>
        <v>7.0895108694535569</v>
      </c>
      <c r="AK14" s="14">
        <f t="shared" si="35"/>
        <v>2.6010973308180407</v>
      </c>
      <c r="AL14" s="22">
        <f t="shared" si="4"/>
        <v>16.877809282139697</v>
      </c>
      <c r="AM14" s="62">
        <f t="shared" si="5"/>
        <v>310.21114261547302</v>
      </c>
      <c r="AN14" s="62">
        <f ca="1">AVERAGE(OFFSET($AM$3,0,0,'Données projet'!$E$10+1,1))-AVERAGE(OFFSET($H$3,0,0,'Données projet'!$E$10+1,1))</f>
        <v>265.57412766850422</v>
      </c>
      <c r="AO14" s="62">
        <f t="shared" si="36"/>
        <v>179.39213799913273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3.2373333333333334</v>
      </c>
      <c r="BD14" s="13">
        <f>IF('Données projet'!$A$88&gt;35,BD13+BC14-BL13,IF(A14&lt;'Données projet'!$A$88,$BA$205^A14,IF(A14='Données projet'!$A$88,'Données projet'!$B$88,BD13+BC14-BL13)))</f>
        <v>17.242663941795808</v>
      </c>
      <c r="BE14" s="14">
        <f>BD14*VLOOKUP('Données projet'!$B$11,Paramètres!$A$1:$I$89,3,0)*VLOOKUP('Données projet'!$B$11,Paramètres!$A$1:$I$89,5,0)</f>
        <v>10.311113037193895</v>
      </c>
      <c r="BF14" s="14">
        <f t="shared" si="37"/>
        <v>3.6216697610179529</v>
      </c>
      <c r="BG14" s="22">
        <f t="shared" si="7"/>
        <v>24.266263373552302</v>
      </c>
      <c r="BH14" s="62">
        <f t="shared" si="8"/>
        <v>317.59959670688562</v>
      </c>
      <c r="BI14" s="62">
        <f ca="1">AVERAGE(OFFSET($BH$3,0,0,'Données projet'!$E$11+1,1))-AVERAGE(OFFSET($H$3,0,0,'Données projet'!$E$11+1,1))</f>
        <v>361.81625684745416</v>
      </c>
      <c r="BJ14" s="62">
        <f t="shared" si="38"/>
        <v>302.25424592654684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19</v>
      </c>
      <c r="N15" s="14">
        <f>IF('Données projet'!$A$36&gt;35,N14+M15-V14,IF(A15&lt;'Données projet'!$A$36,$K$205^A15,IF(A15='Données projet'!$A$36,'Données projet'!$B$36,N14+M15-V14)))</f>
        <v>84</v>
      </c>
      <c r="O15" s="14">
        <f>N15*VLOOKUP('Données projet'!$B$9,Paramètres!$A$1:$I$89,3,0)*VLOOKUP('Données projet'!$B$9,Paramètres!$A$1:$I$89,5,0)</f>
        <v>46.955999999999996</v>
      </c>
      <c r="P15" s="14">
        <f t="shared" si="33"/>
        <v>13.824782755944211</v>
      </c>
      <c r="Q15" s="22">
        <f t="shared" si="2"/>
        <v>105.85986329993615</v>
      </c>
      <c r="R15" s="62">
        <f t="shared" si="0"/>
        <v>399.19319663326945</v>
      </c>
      <c r="S15" s="62">
        <f ca="1">AVERAGE(OFFSET($R$3,0,0,'Données projet'!$E$9+1,1))-AVERAGE(OFFSET($H$3,0,0,'Données projet'!$E$9+1,1))</f>
        <v>500.52921520843432</v>
      </c>
      <c r="T15" s="62">
        <f t="shared" si="34"/>
        <v>430.43167430170087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</v>
      </c>
      <c r="AI15" s="14">
        <f>IF('Données projet'!$A$62&gt;35,AI14+AH15-AQ14,IF(A15&lt;'Données projet'!$A$62,$AF$205^A15,IF(A15='Données projet'!$A$62,'Données projet'!$B$62,AI14+AH15-AQ14)))</f>
        <v>19.394421119744504</v>
      </c>
      <c r="AJ15" s="14">
        <f>AI15*VLOOKUP('Données projet'!$B$10,Paramètres!$A$1:$I$89,3,0)*VLOOKUP('Données projet'!$B$10,Paramètres!$A$1:$I$89,5,0)</f>
        <v>9.0765890840404282</v>
      </c>
      <c r="AK15" s="14">
        <f t="shared" si="35"/>
        <v>3.2357319710801056</v>
      </c>
      <c r="AL15" s="22">
        <f t="shared" si="4"/>
        <v>21.443959171001595</v>
      </c>
      <c r="AM15" s="62">
        <f t="shared" si="5"/>
        <v>314.77729250433492</v>
      </c>
      <c r="AN15" s="62">
        <f ca="1">AVERAGE(OFFSET($AM$3,0,0,'Données projet'!$E$10+1,1))-AVERAGE(OFFSET($H$3,0,0,'Données projet'!$E$10+1,1))</f>
        <v>265.57412766850422</v>
      </c>
      <c r="AO15" s="62">
        <f t="shared" si="36"/>
        <v>179.39213799913273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3.2373333333333334</v>
      </c>
      <c r="BD15" s="13">
        <f>IF('Données projet'!$A$88&gt;35,BD14+BC15-BL14,IF(A15&lt;'Données projet'!$A$88,$BA$205^A15,IF(A15='Données projet'!$A$88,'Données projet'!$B$88,BD14+BC15-BL14)))</f>
        <v>22.336902187598508</v>
      </c>
      <c r="BE15" s="14">
        <f>BD15*VLOOKUP('Données projet'!$B$11,Paramètres!$A$1:$I$89,3,0)*VLOOKUP('Données projet'!$B$11,Paramètres!$A$1:$I$89,5,0)</f>
        <v>13.357467508183909</v>
      </c>
      <c r="BF15" s="14">
        <f t="shared" si="37"/>
        <v>4.5524156010654915</v>
      </c>
      <c r="BG15" s="22">
        <f t="shared" si="7"/>
        <v>31.193046415276033</v>
      </c>
      <c r="BH15" s="62">
        <f t="shared" si="8"/>
        <v>324.52637974860937</v>
      </c>
      <c r="BI15" s="62">
        <f ca="1">AVERAGE(OFFSET($BH$3,0,0,'Données projet'!$E$11+1,1))-AVERAGE(OFFSET($H$3,0,0,'Données projet'!$E$11+1,1))</f>
        <v>361.81625684745416</v>
      </c>
      <c r="BJ15" s="62">
        <f t="shared" si="38"/>
        <v>302.25424592654684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IF('Données projet'!$A$36&gt;35,N15+M16-V15,IF(A16&lt;'Données projet'!$A$36,$K$205^A16,IF(A16='Données projet'!$A$36,'Données projet'!$B$36,N15+M16-V15)))</f>
        <v>103</v>
      </c>
      <c r="O16" s="14">
        <f>N16*VLOOKUP('Données projet'!$B$9,Paramètres!$A$1:$I$89,3,0)*VLOOKUP('Données projet'!$B$9,Paramètres!$A$1:$I$89,5,0)</f>
        <v>57.576999999999998</v>
      </c>
      <c r="P16" s="14">
        <f t="shared" si="33"/>
        <v>16.554196654539069</v>
      </c>
      <c r="Q16" s="22">
        <f t="shared" si="2"/>
        <v>129.11183417332219</v>
      </c>
      <c r="R16" s="62">
        <f t="shared" si="0"/>
        <v>422.44516750665548</v>
      </c>
      <c r="S16" s="62">
        <f ca="1">AVERAGE(OFFSET($R$3,0,0,'Données projet'!$E$9+1,1))-AVERAGE(OFFSET($H$3,0,0,'Données projet'!$E$9+1,1))</f>
        <v>500.52921520843432</v>
      </c>
      <c r="T16" s="62">
        <f t="shared" si="34"/>
        <v>430.43167430170087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</v>
      </c>
      <c r="AI16" s="14">
        <f>IF('Données projet'!$A$62&gt;35,AI15+AH16-AQ15,IF(A16&lt;'Données projet'!$A$62,$AF$205^A16,IF(A16='Données projet'!$A$62,'Données projet'!$B$62,AI15+AH16-AQ15)))</f>
        <v>24.830371836403501</v>
      </c>
      <c r="AJ16" s="14">
        <f>AI16*VLOOKUP('Données projet'!$B$10,Paramètres!$A$1:$I$89,3,0)*VLOOKUP('Données projet'!$B$10,Paramètres!$A$1:$I$89,5,0)</f>
        <v>11.620614019436839</v>
      </c>
      <c r="AK16" s="14">
        <f t="shared" si="35"/>
        <v>4.0252093855239011</v>
      </c>
      <c r="AL16" s="22">
        <f t="shared" si="4"/>
        <v>27.249809096973291</v>
      </c>
      <c r="AM16" s="62">
        <f t="shared" si="5"/>
        <v>320.58314243030662</v>
      </c>
      <c r="AN16" s="62">
        <f ca="1">AVERAGE(OFFSET($AM$3,0,0,'Données projet'!$E$10+1,1))-AVERAGE(OFFSET($H$3,0,0,'Données projet'!$E$10+1,1))</f>
        <v>265.57412766850422</v>
      </c>
      <c r="AO16" s="62">
        <f t="shared" si="36"/>
        <v>179.39213799913273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3.2373333333333334</v>
      </c>
      <c r="BD16" s="13">
        <f>IF('Données projet'!$A$88&gt;35,BD15+BC16-BL15,IF(A16&lt;'Données projet'!$A$88,$BA$205^A16,IF(A16='Données projet'!$A$88,'Données projet'!$B$88,BD15+BC16-BL15)))</f>
        <v>28.936201565056958</v>
      </c>
      <c r="BE16" s="14">
        <f>BD16*VLOOKUP('Données projet'!$B$11,Paramètres!$A$1:$I$89,3,0)*VLOOKUP('Données projet'!$B$11,Paramètres!$A$1:$I$89,5,0)</f>
        <v>17.303848535904063</v>
      </c>
      <c r="BF16" s="14">
        <f t="shared" si="37"/>
        <v>5.7223571370017456</v>
      </c>
      <c r="BG16" s="22">
        <f t="shared" si="7"/>
        <v>40.10397488031095</v>
      </c>
      <c r="BH16" s="62">
        <f t="shared" si="8"/>
        <v>333.43730821364426</v>
      </c>
      <c r="BI16" s="62">
        <f ca="1">AVERAGE(OFFSET($BH$3,0,0,'Données projet'!$E$11+1,1))-AVERAGE(OFFSET($H$3,0,0,'Données projet'!$E$11+1,1))</f>
        <v>361.81625684745416</v>
      </c>
      <c r="BJ16" s="62">
        <f t="shared" si="38"/>
        <v>302.25424592654684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19</v>
      </c>
      <c r="N17" s="14">
        <f>IF('Données projet'!$A$36&gt;35,N16+M17-V16,IF(A17&lt;'Données projet'!$A$36,$K$205^A17,IF(A17='Données projet'!$A$36,'Données projet'!$B$36,N16+M17-V16)))</f>
        <v>122</v>
      </c>
      <c r="O17" s="14">
        <f>N17*VLOOKUP('Données projet'!$B$9,Paramètres!$A$1:$I$89,3,0)*VLOOKUP('Données projet'!$B$9,Paramètres!$A$1:$I$89,5,0)</f>
        <v>68.198000000000008</v>
      </c>
      <c r="P17" s="14">
        <f t="shared" si="33"/>
        <v>19.225280489140655</v>
      </c>
      <c r="Q17" s="22">
        <f t="shared" si="2"/>
        <v>152.26221351858666</v>
      </c>
      <c r="R17" s="62">
        <f t="shared" si="0"/>
        <v>445.59554685191995</v>
      </c>
      <c r="S17" s="62">
        <f ca="1">AVERAGE(OFFSET($R$3,0,0,'Données projet'!$E$9+1,1))-AVERAGE(OFFSET($H$3,0,0,'Données projet'!$E$9+1,1))</f>
        <v>500.52921520843432</v>
      </c>
      <c r="T17" s="62">
        <f t="shared" si="34"/>
        <v>430.43167430170087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</v>
      </c>
      <c r="AI17" s="14">
        <f>IF('Données projet'!$A$62&gt;35,AI16+AH17-AQ16,IF(A17&lt;'Données projet'!$A$62,$AF$205^A17,IF(A17='Données projet'!$A$62,'Données projet'!$B$62,AI16+AH17-AQ16)))</f>
        <v>31.789933905600495</v>
      </c>
      <c r="AJ17" s="14">
        <f>AI17*VLOOKUP('Données projet'!$B$10,Paramètres!$A$1:$I$89,3,0)*VLOOKUP('Données projet'!$B$10,Paramètres!$A$1:$I$89,5,0)</f>
        <v>14.877689067821033</v>
      </c>
      <c r="AK17" s="14">
        <f t="shared" si="35"/>
        <v>5.0073092401102919</v>
      </c>
      <c r="AL17" s="22">
        <f t="shared" si="4"/>
        <v>34.633038719647061</v>
      </c>
      <c r="AM17" s="62">
        <f t="shared" si="5"/>
        <v>327.96637205298038</v>
      </c>
      <c r="AN17" s="62">
        <f ca="1">AVERAGE(OFFSET($AM$3,0,0,'Données projet'!$E$10+1,1))-AVERAGE(OFFSET($H$3,0,0,'Données projet'!$E$10+1,1))</f>
        <v>265.57412766850422</v>
      </c>
      <c r="AO17" s="62">
        <f t="shared" si="36"/>
        <v>179.39213799913273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3.2373333333333334</v>
      </c>
      <c r="BD17" s="13">
        <f>IF('Données projet'!$A$88&gt;35,BD16+BC17-BL16,IF(A17&lt;'Données projet'!$A$88,$BA$205^A17,IF(A17='Données projet'!$A$88,'Données projet'!$B$88,BD16+BC17-BL16)))</f>
        <v>37.485223061883545</v>
      </c>
      <c r="BE17" s="14">
        <f>BD17*VLOOKUP('Données projet'!$B$11,Paramètres!$A$1:$I$89,3,0)*VLOOKUP('Données projet'!$B$11,Paramètres!$A$1:$I$89,5,0)</f>
        <v>22.416163391006364</v>
      </c>
      <c r="BF17" s="14">
        <f t="shared" si="37"/>
        <v>7.1929661245626981</v>
      </c>
      <c r="BG17" s="22">
        <f t="shared" si="7"/>
        <v>51.569233906282783</v>
      </c>
      <c r="BH17" s="62">
        <f t="shared" si="8"/>
        <v>344.90256723961608</v>
      </c>
      <c r="BI17" s="62">
        <f ca="1">AVERAGE(OFFSET($BH$3,0,0,'Données projet'!$E$11+1,1))-AVERAGE(OFFSET($H$3,0,0,'Données projet'!$E$11+1,1))</f>
        <v>361.81625684745416</v>
      </c>
      <c r="BJ17" s="62">
        <f t="shared" si="38"/>
        <v>302.25424592654684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141</v>
      </c>
      <c r="L18" s="13">
        <f>VLOOKUP(A18,'Données projet'!$A$35:$I$55,9,0)</f>
        <v>19</v>
      </c>
      <c r="M18" s="13">
        <f t="array" ref="M18">INDEX(L:L,MIN(IF(ISNUMBER(L18:L214),ROW(L18:L214),"")))</f>
        <v>19</v>
      </c>
      <c r="N18" s="14">
        <f>IF('Données projet'!$A$36&gt;35,N17+M18-V17,IF(A18&lt;'Données projet'!$A$36,$K$205^A18,IF(A18='Données projet'!$A$36,'Données projet'!$B$36,N17+M18-V17)))</f>
        <v>141</v>
      </c>
      <c r="O18" s="14">
        <f>N18*VLOOKUP('Données projet'!$B$9,Paramètres!$A$1:$I$89,3,0)*VLOOKUP('Données projet'!$B$9,Paramètres!$A$1:$I$89,5,0)</f>
        <v>78.819000000000003</v>
      </c>
      <c r="P18" s="14">
        <f t="shared" si="33"/>
        <v>21.848174018657907</v>
      </c>
      <c r="Q18" s="22">
        <f t="shared" si="2"/>
        <v>175.32866141582917</v>
      </c>
      <c r="R18" s="62">
        <f t="shared" si="0"/>
        <v>468.66199474916249</v>
      </c>
      <c r="S18" s="62">
        <f ca="1">AVERAGE(OFFSET($R$3,0,0,'Données projet'!$E$9+1,1))-AVERAGE(OFFSET($H$3,0,0,'Données projet'!$E$9+1,1))</f>
        <v>500.52921520843432</v>
      </c>
      <c r="T18" s="62">
        <f t="shared" si="34"/>
        <v>430.43167430170087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48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0.30800000000000005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10.919902483255841</v>
      </c>
      <c r="AB18" s="23">
        <f>EXP(-LN(2)/2)*AB17+(1-EXP(-LN(2)/2))/(LN(2)/2)*V18*Y18*VLOOKUP('Données projet'!$B$9,Paramètres!$A$1:$I$89,3,0)*0.475*44/12</f>
        <v>13.367225083181255</v>
      </c>
      <c r="AC18" s="24">
        <f t="shared" si="3"/>
        <v>24.287127566437096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</v>
      </c>
      <c r="AI18" s="14">
        <f>IF('Données projet'!$A$62&gt;35,AI17+AH18-AQ17,IF(A18&lt;'Données projet'!$A$62,$AF$205^A18,IF(A18='Données projet'!$A$62,'Données projet'!$B$62,AI17+AH18-AQ17)))</f>
        <v>40.70015158777526</v>
      </c>
      <c r="AJ18" s="14">
        <f>AI18*VLOOKUP('Données projet'!$B$10,Paramètres!$A$1:$I$89,3,0)*VLOOKUP('Données projet'!$B$10,Paramètres!$A$1:$I$89,5,0)</f>
        <v>19.04767094307882</v>
      </c>
      <c r="AK18" s="14">
        <f t="shared" si="35"/>
        <v>6.2290289584104483</v>
      </c>
      <c r="AL18" s="22">
        <f t="shared" si="4"/>
        <v>44.023585661760478</v>
      </c>
      <c r="AM18" s="62">
        <f t="shared" si="5"/>
        <v>337.35691899509379</v>
      </c>
      <c r="AN18" s="62">
        <f ca="1">AVERAGE(OFFSET($AM$3,0,0,'Données projet'!$E$10+1,1))-AVERAGE(OFFSET($H$3,0,0,'Données projet'!$E$10+1,1))</f>
        <v>265.57412766850422</v>
      </c>
      <c r="AO18" s="62">
        <f t="shared" si="36"/>
        <v>179.39213799913273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48.56</v>
      </c>
      <c r="BB18" s="13">
        <f>VLOOKUP(A18,'Données projet'!$A$87:$I$107,9,0)</f>
        <v>3.2373333333333334</v>
      </c>
      <c r="BC18" s="13">
        <f t="array" ref="BC18">INDEX(BB:BB,MIN(IF(ISNUMBER(BB18:BB214),ROW(BB18:BB214),"")))</f>
        <v>3.2373333333333334</v>
      </c>
      <c r="BD18" s="13">
        <f>IF('Données projet'!$A$88&gt;35,BD17+BC18-BL17,IF(A18&lt;'Données projet'!$A$88,$BA$205^A18,IF(A18='Données projet'!$A$88,'Données projet'!$B$88,BD17+BC18-BL17)))</f>
        <v>48.56</v>
      </c>
      <c r="BE18" s="14">
        <f>BD18*VLOOKUP('Données projet'!$B$11,Paramètres!$A$1:$I$89,3,0)*VLOOKUP('Données projet'!$B$11,Paramètres!$A$1:$I$89,5,0)</f>
        <v>29.038880000000002</v>
      </c>
      <c r="BF18" s="14">
        <f t="shared" si="37"/>
        <v>9.0415121654247592</v>
      </c>
      <c r="BG18" s="22">
        <f t="shared" si="7"/>
        <v>66.323349688114789</v>
      </c>
      <c r="BH18" s="62">
        <f t="shared" si="8"/>
        <v>359.65668302144809</v>
      </c>
      <c r="BI18" s="62">
        <f ca="1">AVERAGE(OFFSET($BH$3,0,0,'Données projet'!$E$11+1,1))-AVERAGE(OFFSET($H$3,0,0,'Données projet'!$E$11+1,1))</f>
        <v>361.81625684745416</v>
      </c>
      <c r="BJ18" s="62">
        <f t="shared" si="38"/>
        <v>302.25424592654684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0.25200000000000006</v>
      </c>
      <c r="BO18" s="17">
        <f>IF(ISNA(VLOOKUP(A18,'Données projet'!$A$87:$I$107,7,0)),0%,VLOOKUP(A18,'Données projet'!$A$87:$I$107,7,0))</f>
        <v>0.44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26.6</v>
      </c>
      <c r="N19" s="14">
        <f>IF('Données projet'!$A$36&gt;35,N18+M19-V18,IF(A19&lt;'Données projet'!$A$36,$K$205^A19,IF(A19='Données projet'!$A$36,'Données projet'!$B$36,N18+M19-V18)))</f>
        <v>119.6</v>
      </c>
      <c r="O19" s="14">
        <f>N19*VLOOKUP('Données projet'!$B$9,Paramètres!$A$1:$I$89,3,0)*VLOOKUP('Données projet'!$B$9,Paramètres!$A$1:$I$89,5,0)</f>
        <v>66.856399999999994</v>
      </c>
      <c r="P19" s="14">
        <f t="shared" si="33"/>
        <v>18.890715552052335</v>
      </c>
      <c r="Q19" s="22">
        <f t="shared" si="2"/>
        <v>149.34289291982446</v>
      </c>
      <c r="R19" s="62">
        <f t="shared" si="0"/>
        <v>442.67622625315778</v>
      </c>
      <c r="S19" s="62">
        <f ca="1">AVERAGE(OFFSET($R$3,0,0,'Données projet'!$E$9+1,1))-AVERAGE(OFFSET($H$3,0,0,'Données projet'!$E$9+1,1))</f>
        <v>500.52921520843432</v>
      </c>
      <c r="T19" s="62">
        <f t="shared" si="34"/>
        <v>430.43167430170087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10.621297175598496</v>
      </c>
      <c r="AB19" s="23">
        <f>EXP(-LN(2)/2)*AB18+(1-EXP(-LN(2)/2))/(LN(2)/2)*V19*Y19*VLOOKUP('Données projet'!$B$9,Paramètres!$A$1:$I$89,3,0)*0.475*44/12</f>
        <v>9.4520555019643773</v>
      </c>
      <c r="AC19" s="24">
        <f t="shared" si="3"/>
        <v>20.073352677562873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</v>
      </c>
      <c r="AI19" s="14">
        <f>IF('Données projet'!$A$62&gt;35,AI18+AH19-AQ18,IF(A19&lt;'Données projet'!$A$62,$AF$205^A19,IF(A19='Données projet'!$A$62,'Données projet'!$B$62,AI18+AH19-AQ18)))</f>
        <v>52.107762922276969</v>
      </c>
      <c r="AJ19" s="14">
        <f>AI19*VLOOKUP('Données projet'!$B$10,Paramètres!$A$1:$I$89,3,0)*VLOOKUP('Données projet'!$B$10,Paramètres!$A$1:$I$89,5,0)</f>
        <v>24.386433047625623</v>
      </c>
      <c r="AK19" s="14">
        <f t="shared" si="35"/>
        <v>7.7488327371331547</v>
      </c>
      <c r="AL19" s="22">
        <f t="shared" si="4"/>
        <v>55.968921241788202</v>
      </c>
      <c r="AM19" s="62">
        <f t="shared" si="5"/>
        <v>349.30225457512154</v>
      </c>
      <c r="AN19" s="62">
        <f ca="1">AVERAGE(OFFSET($AM$3,0,0,'Données projet'!$E$10+1,1))-AVERAGE(OFFSET($H$3,0,0,'Données projet'!$E$10+1,1))</f>
        <v>265.57412766850422</v>
      </c>
      <c r="AO19" s="62">
        <f t="shared" si="36"/>
        <v>179.39213799913273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19.814999999999998</v>
      </c>
      <c r="BD19" s="13">
        <f>IF('Données projet'!$A$88&gt;35,BD18+BC19-BL18,IF(A19&lt;'Données projet'!$A$88,$BA$205^A19,IF(A19='Données projet'!$A$88,'Données projet'!$B$88,BD18+BC19-BL18)))</f>
        <v>68.375</v>
      </c>
      <c r="BE19" s="14">
        <f>BD19*VLOOKUP('Données projet'!$B$11,Paramètres!$A$1:$I$89,3,0)*VLOOKUP('Données projet'!$B$11,Paramètres!$A$1:$I$89,5,0)</f>
        <v>40.888249999999999</v>
      </c>
      <c r="BF19" s="14">
        <f t="shared" si="37"/>
        <v>12.233775880721598</v>
      </c>
      <c r="BG19" s="22">
        <f t="shared" si="7"/>
        <v>92.52086174225677</v>
      </c>
      <c r="BH19" s="62">
        <f t="shared" si="8"/>
        <v>385.8541950755901</v>
      </c>
      <c r="BI19" s="62">
        <f ca="1">AVERAGE(OFFSET($BH$3,0,0,'Données projet'!$E$11+1,1))-AVERAGE(OFFSET($H$3,0,0,'Données projet'!$E$11+1,1))</f>
        <v>361.81625684745416</v>
      </c>
      <c r="BJ19" s="62">
        <f t="shared" si="38"/>
        <v>302.25424592654684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26.6</v>
      </c>
      <c r="N20" s="14">
        <f>IF('Données projet'!$A$36&gt;35,N19+M20-V19,IF(A20&lt;'Données projet'!$A$36,$K$205^A20,IF(A20='Données projet'!$A$36,'Données projet'!$B$36,N19+M20-V19)))</f>
        <v>146.19999999999999</v>
      </c>
      <c r="O20" s="14">
        <f>N20*VLOOKUP('Données projet'!$B$9,Paramètres!$A$1:$I$89,3,0)*VLOOKUP('Données projet'!$B$9,Paramètres!$A$1:$I$89,5,0)</f>
        <v>81.725799999999992</v>
      </c>
      <c r="P20" s="14">
        <f t="shared" si="33"/>
        <v>22.558625617847014</v>
      </c>
      <c r="Q20" s="22">
        <f t="shared" si="2"/>
        <v>181.6287079510835</v>
      </c>
      <c r="R20" s="62">
        <f t="shared" si="0"/>
        <v>474.96204128441684</v>
      </c>
      <c r="S20" s="62">
        <f ca="1">AVERAGE(OFFSET($R$3,0,0,'Données projet'!$E$9+1,1))-AVERAGE(OFFSET($H$3,0,0,'Données projet'!$E$9+1,1))</f>
        <v>500.52921520843432</v>
      </c>
      <c r="T20" s="62">
        <f t="shared" si="34"/>
        <v>430.43167430170087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10.330857245782012</v>
      </c>
      <c r="AB20" s="23">
        <f>EXP(-LN(2)/2)*AB19+(1-EXP(-LN(2)/2))/(LN(2)/2)*V20*Y20*VLOOKUP('Données projet'!$B$9,Paramètres!$A$1:$I$89,3,0)*0.475*44/12</f>
        <v>6.6836125415906276</v>
      </c>
      <c r="AC20" s="24">
        <f t="shared" si="3"/>
        <v>17.01446978737264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</v>
      </c>
      <c r="AI20" s="14">
        <f>IF('Données projet'!$A$62&gt;35,AI19+AH20-AQ19,IF(A20&lt;'Données projet'!$A$62,$AF$205^A20,IF(A20='Données projet'!$A$62,'Données projet'!$B$62,AI19+AH20-AQ19)))</f>
        <v>66.712748008038588</v>
      </c>
      <c r="AJ20" s="14">
        <f>AI20*VLOOKUP('Données projet'!$B$10,Paramètres!$A$1:$I$89,3,0)*VLOOKUP('Données projet'!$B$10,Paramètres!$A$1:$I$89,5,0)</f>
        <v>31.221566067762058</v>
      </c>
      <c r="AK20" s="14">
        <f t="shared" si="35"/>
        <v>9.6394492928138327</v>
      </c>
      <c r="AL20" s="22">
        <f t="shared" si="4"/>
        <v>71.166268419669663</v>
      </c>
      <c r="AM20" s="62">
        <f t="shared" si="5"/>
        <v>364.49960175300299</v>
      </c>
      <c r="AN20" s="62">
        <f ca="1">AVERAGE(OFFSET($AM$3,0,0,'Données projet'!$E$10+1,1))-AVERAGE(OFFSET($H$3,0,0,'Données projet'!$E$10+1,1))</f>
        <v>265.57412766850422</v>
      </c>
      <c r="AO20" s="62">
        <f t="shared" si="36"/>
        <v>179.39213799913273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19.814999999999998</v>
      </c>
      <c r="BD20" s="13">
        <f>IF('Données projet'!$A$88&gt;35,BD19+BC20-BL19,IF(A20&lt;'Données projet'!$A$88,$BA$205^A20,IF(A20='Données projet'!$A$88,'Données projet'!$B$88,BD19+BC20-BL19)))</f>
        <v>88.19</v>
      </c>
      <c r="BE20" s="14">
        <f>BD20*VLOOKUP('Données projet'!$B$11,Paramètres!$A$1:$I$89,3,0)*VLOOKUP('Données projet'!$B$11,Paramètres!$A$1:$I$89,5,0)</f>
        <v>52.73762</v>
      </c>
      <c r="BF20" s="14">
        <f t="shared" si="37"/>
        <v>15.318553658088213</v>
      </c>
      <c r="BG20" s="22">
        <f t="shared" si="7"/>
        <v>118.53116912117031</v>
      </c>
      <c r="BH20" s="62">
        <f t="shared" si="8"/>
        <v>411.86450245450362</v>
      </c>
      <c r="BI20" s="62">
        <f ca="1">AVERAGE(OFFSET($BH$3,0,0,'Données projet'!$E$11+1,1))-AVERAGE(OFFSET($H$3,0,0,'Données projet'!$E$11+1,1))</f>
        <v>361.81625684745416</v>
      </c>
      <c r="BJ20" s="62">
        <f t="shared" si="38"/>
        <v>302.25424592654684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26.6</v>
      </c>
      <c r="N21" s="14">
        <f>IF('Données projet'!$A$36&gt;35,N20+M21-V20,IF(A21&lt;'Données projet'!$A$36,$K$205^A21,IF(A21='Données projet'!$A$36,'Données projet'!$B$36,N20+M21-V20)))</f>
        <v>172.79999999999998</v>
      </c>
      <c r="O21" s="14">
        <f>N21*VLOOKUP('Données projet'!$B$9,Paramètres!$A$1:$I$89,3,0)*VLOOKUP('Données projet'!$B$9,Paramètres!$A$1:$I$89,5,0)</f>
        <v>96.595199999999991</v>
      </c>
      <c r="P21" s="14">
        <f t="shared" si="33"/>
        <v>26.149222795600728</v>
      </c>
      <c r="Q21" s="22">
        <f t="shared" si="2"/>
        <v>213.77986970233792</v>
      </c>
      <c r="R21" s="62">
        <f t="shared" si="0"/>
        <v>507.11320303567123</v>
      </c>
      <c r="S21" s="62">
        <f ca="1">AVERAGE(OFFSET($R$3,0,0,'Données projet'!$E$9+1,1))-AVERAGE(OFFSET($H$3,0,0,'Données projet'!$E$9+1,1))</f>
        <v>500.52921520843432</v>
      </c>
      <c r="T21" s="62">
        <f t="shared" si="34"/>
        <v>430.43167430170087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10.048359411119931</v>
      </c>
      <c r="AB21" s="23">
        <f>EXP(-LN(2)/2)*AB20+(1-EXP(-LN(2)/2))/(LN(2)/2)*V21*Y21*VLOOKUP('Données projet'!$B$9,Paramètres!$A$1:$I$89,3,0)*0.475*44/12</f>
        <v>4.7260277509821886</v>
      </c>
      <c r="AC21" s="24">
        <f t="shared" si="3"/>
        <v>14.774387162102119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</v>
      </c>
      <c r="AI21" s="14">
        <f>IF('Données projet'!$A$62&gt;35,AI20+AH21-AQ20,IF(A21&lt;'Données projet'!$A$62,$AF$205^A21,IF(A21='Données projet'!$A$62,'Données projet'!$B$62,AI20+AH21-AQ20)))</f>
        <v>85.411280338833194</v>
      </c>
      <c r="AJ21" s="14">
        <f>AI21*VLOOKUP('Données projet'!$B$10,Paramètres!$A$1:$I$89,3,0)*VLOOKUP('Données projet'!$B$10,Paramètres!$A$1:$I$89,5,0)</f>
        <v>39.972479198573936</v>
      </c>
      <c r="AK21" s="14">
        <f t="shared" si="35"/>
        <v>11.991352223084183</v>
      </c>
      <c r="AL21" s="22">
        <f t="shared" si="4"/>
        <v>90.503673059387893</v>
      </c>
      <c r="AM21" s="62">
        <f t="shared" si="5"/>
        <v>383.83700639272121</v>
      </c>
      <c r="AN21" s="62">
        <f ca="1">AVERAGE(OFFSET($AM$3,0,0,'Données projet'!$E$10+1,1))-AVERAGE(OFFSET($H$3,0,0,'Données projet'!$E$10+1,1))</f>
        <v>265.57412766850422</v>
      </c>
      <c r="AO21" s="62">
        <f t="shared" si="36"/>
        <v>179.39213799913273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19.814999999999998</v>
      </c>
      <c r="BD21" s="13">
        <f>IF('Données projet'!$A$88&gt;35,BD20+BC21-BL20,IF(A21&lt;'Données projet'!$A$88,$BA$205^A21,IF(A21='Données projet'!$A$88,'Données projet'!$B$88,BD20+BC21-BL20)))</f>
        <v>108.005</v>
      </c>
      <c r="BE21" s="14">
        <f>BD21*VLOOKUP('Données projet'!$B$11,Paramètres!$A$1:$I$89,3,0)*VLOOKUP('Données projet'!$B$11,Paramètres!$A$1:$I$89,5,0)</f>
        <v>64.58699</v>
      </c>
      <c r="BF21" s="14">
        <f t="shared" si="37"/>
        <v>18.32298503252624</v>
      </c>
      <c r="BG21" s="22">
        <f t="shared" si="7"/>
        <v>144.4015398483165</v>
      </c>
      <c r="BH21" s="62">
        <f t="shared" si="8"/>
        <v>437.73487318164985</v>
      </c>
      <c r="BI21" s="62">
        <f ca="1">AVERAGE(OFFSET($BH$3,0,0,'Données projet'!$E$11+1,1))-AVERAGE(OFFSET($H$3,0,0,'Données projet'!$E$11+1,1))</f>
        <v>361.81625684745416</v>
      </c>
      <c r="BJ21" s="62">
        <f t="shared" si="38"/>
        <v>302.25424592654684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26.6</v>
      </c>
      <c r="N22" s="14">
        <f>IF('Données projet'!$A$36&gt;35,N21+M22-V21,IF(A22&lt;'Données projet'!$A$36,$K$205^A22,IF(A22='Données projet'!$A$36,'Données projet'!$B$36,N21+M22-V21)))</f>
        <v>199.39999999999998</v>
      </c>
      <c r="O22" s="14">
        <f>N22*VLOOKUP('Données projet'!$B$9,Paramètres!$A$1:$I$89,3,0)*VLOOKUP('Données projet'!$B$9,Paramètres!$A$1:$I$89,5,0)</f>
        <v>111.46459999999999</v>
      </c>
      <c r="P22" s="14">
        <f t="shared" si="33"/>
        <v>29.675789673741136</v>
      </c>
      <c r="Q22" s="22">
        <f t="shared" si="2"/>
        <v>245.81951201509912</v>
      </c>
      <c r="R22" s="62">
        <f t="shared" si="0"/>
        <v>539.15284534843249</v>
      </c>
      <c r="S22" s="62">
        <f ca="1">AVERAGE(OFFSET($R$3,0,0,'Données projet'!$E$9+1,1))-AVERAGE(OFFSET($H$3,0,0,'Données projet'!$E$9+1,1))</f>
        <v>500.52921520843432</v>
      </c>
      <c r="T22" s="62">
        <f t="shared" si="34"/>
        <v>430.43167430170087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9.7735864946026005</v>
      </c>
      <c r="AB22" s="23">
        <f>EXP(-LN(2)/2)*AB21+(1-EXP(-LN(2)/2))/(LN(2)/2)*V22*Y22*VLOOKUP('Données projet'!$B$9,Paramètres!$A$1:$I$89,3,0)*0.475*44/12</f>
        <v>3.3418062707953138</v>
      </c>
      <c r="AC22" s="24">
        <f t="shared" si="3"/>
        <v>13.115392765397914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</v>
      </c>
      <c r="AI22" s="14">
        <f>IF('Données projet'!$A$62&gt;35,AI21+AH22-AQ21,IF(A22&lt;'Données projet'!$A$62,$AF$205^A22,IF(A22='Données projet'!$A$62,'Données projet'!$B$62,AI21+AH22-AQ21)))</f>
        <v>109.35071672118391</v>
      </c>
      <c r="AJ22" s="14">
        <f>AI22*VLOOKUP('Données projet'!$B$10,Paramètres!$A$1:$I$89,3,0)*VLOOKUP('Données projet'!$B$10,Paramètres!$A$1:$I$89,5,0)</f>
        <v>51.176135425514076</v>
      </c>
      <c r="AK22" s="14">
        <f t="shared" si="35"/>
        <v>14.917089531791261</v>
      </c>
      <c r="AL22" s="22">
        <f t="shared" si="4"/>
        <v>115.11236680064013</v>
      </c>
      <c r="AM22" s="62">
        <f t="shared" si="5"/>
        <v>408.44570013397345</v>
      </c>
      <c r="AN22" s="62">
        <f ca="1">AVERAGE(OFFSET($AM$3,0,0,'Données projet'!$E$10+1,1))-AVERAGE(OFFSET($H$3,0,0,'Données projet'!$E$10+1,1))</f>
        <v>265.57412766850422</v>
      </c>
      <c r="AO22" s="62">
        <f t="shared" si="36"/>
        <v>179.39213799913273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127.82</v>
      </c>
      <c r="BB22" s="13">
        <f>VLOOKUP(A22,'Données projet'!$A$87:$I$107,9,0)</f>
        <v>19.814999999999998</v>
      </c>
      <c r="BC22" s="13">
        <f t="array" ref="BC22">INDEX(BB:BB,MIN(IF(ISNUMBER(BB22:BB218),ROW(BB22:BB218),"")))</f>
        <v>19.814999999999998</v>
      </c>
      <c r="BD22" s="13">
        <f>IF('Données projet'!$A$88&gt;35,BD21+BC22-BL21,IF(A22&lt;'Données projet'!$A$88,$BA$205^A22,IF(A22='Données projet'!$A$88,'Données projet'!$B$88,BD21+BC22-BL21)))</f>
        <v>127.82</v>
      </c>
      <c r="BE22" s="14">
        <f>BD22*VLOOKUP('Données projet'!$B$11,Paramètres!$A$1:$I$89,3,0)*VLOOKUP('Données projet'!$B$11,Paramètres!$A$1:$I$89,5,0)</f>
        <v>76.436359999999993</v>
      </c>
      <c r="BF22" s="14">
        <f t="shared" si="37"/>
        <v>21.263558306949722</v>
      </c>
      <c r="BG22" s="22">
        <f t="shared" si="7"/>
        <v>170.16069105127073</v>
      </c>
      <c r="BH22" s="62">
        <f t="shared" si="8"/>
        <v>463.49402438460402</v>
      </c>
      <c r="BI22" s="62">
        <f ca="1">AVERAGE(OFFSET($BH$3,0,0,'Données projet'!$E$11+1,1))-AVERAGE(OFFSET($H$3,0,0,'Données projet'!$E$11+1,1))</f>
        <v>361.81625684745416</v>
      </c>
      <c r="BJ22" s="62">
        <f t="shared" si="38"/>
        <v>302.25424592654684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46.3</v>
      </c>
      <c r="BM22" s="17">
        <f>IF(ISNA(VLOOKUP(A22,'Données projet'!$A$87:$I$107,5,0)),0%,VLOOKUP(A22,'Données projet'!$A$87:$I$107,5,0)*VLOOKUP('Données projet'!$B$11,Paramètres!$A$1:$I$89,7,0))</f>
        <v>9.0000000000000011E-2</v>
      </c>
      <c r="BN22" s="17">
        <f>IF(ISNA(VLOOKUP(A22,'Données projet'!$A$87:$I$107,6,0)),0%,VLOOKUP(A22,'Données projet'!$A$87:$I$107,6,0)*VLOOKUP('Données projet'!$B$11,Paramètres!$A$1:$I$89,7,0))</f>
        <v>0.20250000000000001</v>
      </c>
      <c r="BO22" s="17">
        <f>IF(ISNA(VLOOKUP(A22,'Données projet'!$A$87:$I$107,7,0)),0%,VLOOKUP(A22,'Données projet'!$A$87:$I$107,7,0))</f>
        <v>0.35</v>
      </c>
      <c r="BP22" s="23">
        <f>EXP(-LN(2)/35)*BP21+(1-EXP(-LN(2)/35))/(LN(2)/35)*BL22*BM22*VLOOKUP('Données projet'!$B$11,Paramètres!$A$1:$I$89,3,0)*0.475*44/12</f>
        <v>3.3056208633183055</v>
      </c>
      <c r="BQ22" s="23">
        <f>EXP(-LN(2)/25)*BQ21+(1-EXP(-LN(2)/25))/(LN(2)/25)*Calculateur!BL22*Calculateur!BN22*VLOOKUP('Données projet'!$B$11,Paramètres!$A$1:$I$89,3,0)*0.475*44/12</f>
        <v>7.4083620924880345</v>
      </c>
      <c r="BR22" s="23">
        <f>EXP(-LN(2)/2)*BR21+(1-EXP(-LN(2)/2))/(LN(2)/2)*BL22*BO22*VLOOKUP('Données projet'!$B$11,Paramètres!$A$1:$I$89,3,0)*0.475*44/12</f>
        <v>10.971998980086994</v>
      </c>
      <c r="BS22" s="24">
        <f t="shared" si="9"/>
        <v>21.685981935893334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226</v>
      </c>
      <c r="L23" s="13">
        <f>VLOOKUP(A23,'Données projet'!$A$35:$I$55,9,0)</f>
        <v>26.6</v>
      </c>
      <c r="M23" s="13">
        <f t="array" ref="M23">INDEX(L:L,MIN(IF(ISNUMBER(L23:L219),ROW(L23:L219),"")))</f>
        <v>26.6</v>
      </c>
      <c r="N23" s="14">
        <f>IF('Données projet'!$A$36&gt;35,N22+M23-V22,IF(A23&lt;'Données projet'!$A$36,$K$205^A23,IF(A23='Données projet'!$A$36,'Données projet'!$B$36,N22+M23-V22)))</f>
        <v>225.99999999999997</v>
      </c>
      <c r="O23" s="14">
        <f>N23*VLOOKUP('Données projet'!$B$9,Paramètres!$A$1:$I$89,3,0)*VLOOKUP('Données projet'!$B$9,Paramètres!$A$1:$I$89,5,0)</f>
        <v>126.33399999999999</v>
      </c>
      <c r="P23" s="14">
        <f t="shared" si="33"/>
        <v>33.147849254556313</v>
      </c>
      <c r="Q23" s="22">
        <f t="shared" si="2"/>
        <v>277.76422078501889</v>
      </c>
      <c r="R23" s="62">
        <f t="shared" si="0"/>
        <v>571.09755411835226</v>
      </c>
      <c r="S23" s="62">
        <f ca="1">AVERAGE(OFFSET($R$3,0,0,'Données projet'!$E$9+1,1))-AVERAGE(OFFSET($H$3,0,0,'Données projet'!$E$9+1,1))</f>
        <v>500.52921520843432</v>
      </c>
      <c r="T23" s="62">
        <f t="shared" si="34"/>
        <v>430.43167430170087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77</v>
      </c>
      <c r="W23" s="17">
        <f>IF(ISNA(VLOOKUP(A23,'Données projet'!$A$35:$I$55,5,0)),0%,VLOOKUP(A23,'Données projet'!$A$35:$I$55,5,0)*VLOOKUP('Données projet'!$B$9,Paramètres!$A$1:$I$89,7,0))</f>
        <v>0.11000000000000001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0.35</v>
      </c>
      <c r="Z23" s="23">
        <f>EXP(-LN(2)/35)*Z22+(1-EXP(-LN(2)/35))/(LN(2)/35)*V23*W23*VLOOKUP('Données projet'!$B$9,Paramètres!$A$1:$I$89,3,0)*0.475*44/12</f>
        <v>6.280924524103253</v>
      </c>
      <c r="AA23" s="23">
        <f>EXP(-LN(2)/25)*AA22+(1-EXP(-LN(2)/25))/(LN(2)/25)*Calculateur!V23*Calculateur!X23*VLOOKUP('Données projet'!$B$9,Paramètres!$A$1:$I$89,3,0)*0.475*44/12</f>
        <v>23.582764052759096</v>
      </c>
      <c r="AB23" s="23">
        <f>EXP(-LN(2)/2)*AB22+(1-EXP(-LN(2)/2))/(LN(2)/2)*V23*Y23*VLOOKUP('Données projet'!$B$9,Paramètres!$A$1:$I$89,3,0)*0.475*44/12</f>
        <v>19.420150049342176</v>
      </c>
      <c r="AC23" s="24">
        <f t="shared" si="3"/>
        <v>49.283838626204528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140</v>
      </c>
      <c r="AG23" s="13">
        <f>VLOOKUP(A23,'Données projet'!$A$61:$I$81,9,0)</f>
        <v>7</v>
      </c>
      <c r="AH23" s="13">
        <f t="array" ref="AH23">INDEX(AG:AG,MIN(IF(ISNUMBER(AG23:AG219),ROW(AG23:AG219),"")))</f>
        <v>7</v>
      </c>
      <c r="AI23" s="14">
        <f>IF('Données projet'!$A$62&gt;35,AI22+AH23-AQ22,IF(A23&lt;'Données projet'!$A$62,$AF$205^A23,IF(A23='Données projet'!$A$62,'Données projet'!$B$62,AI22+AH23-AQ22)))</f>
        <v>140</v>
      </c>
      <c r="AJ23" s="14">
        <f>AI23*VLOOKUP('Données projet'!$B$10,Paramètres!$A$1:$I$89,3,0)*VLOOKUP('Données projet'!$B$10,Paramètres!$A$1:$I$89,5,0)</f>
        <v>65.52</v>
      </c>
      <c r="AK23" s="14">
        <f t="shared" si="35"/>
        <v>18.556669503136725</v>
      </c>
      <c r="AL23" s="22">
        <f t="shared" si="4"/>
        <v>146.43353271796309</v>
      </c>
      <c r="AM23" s="62">
        <f t="shared" si="5"/>
        <v>439.7668660512964</v>
      </c>
      <c r="AN23" s="62">
        <f ca="1">AVERAGE(OFFSET($AM$3,0,0,'Données projet'!$E$10+1,1))-AVERAGE(OFFSET($H$3,0,0,'Données projet'!$E$10+1,1))</f>
        <v>265.57412766850422</v>
      </c>
      <c r="AO23" s="62">
        <f t="shared" si="36"/>
        <v>179.39213799913273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0.30800000000000005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7.6185366162250032</v>
      </c>
      <c r="AW23" s="23">
        <f>EXP(-LN(2)/2)*AW22+(1-EXP(-LN(2)/2))/(LN(2)/2)*AQ23*AT23*VLOOKUP('Données projet'!$B$10,Paramètres!$A$1:$I$89,3,0)*0.475*44/12</f>
        <v>9.3259709882659934</v>
      </c>
      <c r="AX23" s="23">
        <f t="shared" si="6"/>
        <v>16.944507604490997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19.68</v>
      </c>
      <c r="BD23" s="13">
        <f>IF('Données projet'!$A$88&gt;35,BD22+BC23-BL22,IF(A23&lt;'Données projet'!$A$88,$BA$205^A23,IF(A23='Données projet'!$A$88,'Données projet'!$B$88,BD22+BC23-BL22)))</f>
        <v>101.2</v>
      </c>
      <c r="BE23" s="14">
        <f>BD23*VLOOKUP('Données projet'!$B$11,Paramètres!$A$1:$I$89,3,0)*VLOOKUP('Données projet'!$B$11,Paramètres!$A$1:$I$89,5,0)</f>
        <v>60.517600000000009</v>
      </c>
      <c r="BF23" s="14">
        <f t="shared" si="37"/>
        <v>17.299069038249009</v>
      </c>
      <c r="BG23" s="22">
        <f t="shared" si="7"/>
        <v>135.53069857495038</v>
      </c>
      <c r="BH23" s="62">
        <f t="shared" si="8"/>
        <v>428.86403190828366</v>
      </c>
      <c r="BI23" s="62">
        <f ca="1">AVERAGE(OFFSET($BH$3,0,0,'Données projet'!$E$11+1,1))-AVERAGE(OFFSET($H$3,0,0,'Données projet'!$E$11+1,1))</f>
        <v>361.81625684745416</v>
      </c>
      <c r="BJ23" s="62">
        <f t="shared" si="38"/>
        <v>302.25424592654684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3.2407996544182742</v>
      </c>
      <c r="BQ23" s="23">
        <f>EXP(-LN(2)/25)*BQ22+(1-EXP(-LN(2)/25))/(LN(2)/25)*Calculateur!BL23*Calculateur!BN23*VLOOKUP('Données projet'!$B$11,Paramètres!$A$1:$I$89,3,0)*0.475*44/12</f>
        <v>7.2057800414801187</v>
      </c>
      <c r="BR23" s="23">
        <f>EXP(-LN(2)/2)*BR22+(1-EXP(-LN(2)/2))/(LN(2)/2)*BL23*BO23*VLOOKUP('Données projet'!$B$11,Paramètres!$A$1:$I$89,3,0)*0.475*44/12</f>
        <v>7.7583748819913971</v>
      </c>
      <c r="BS23" s="24">
        <f t="shared" si="9"/>
        <v>18.20495457788979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30.6</v>
      </c>
      <c r="N24" s="14">
        <f>IF('Données projet'!$A$36&gt;35,N23+M24-V23,IF(A24&lt;'Données projet'!$A$36,$K$205^A24,IF(A24='Données projet'!$A$36,'Données projet'!$B$36,N23+M24-V23)))</f>
        <v>179.59999999999997</v>
      </c>
      <c r="O24" s="14">
        <f>N24*VLOOKUP('Données projet'!$B$9,Paramètres!$A$1:$I$89,3,0)*VLOOKUP('Données projet'!$B$9,Paramètres!$A$1:$I$89,5,0)</f>
        <v>100.39639999999997</v>
      </c>
      <c r="P24" s="14">
        <f t="shared" si="33"/>
        <v>27.056412627169404</v>
      </c>
      <c r="Q24" s="22">
        <f t="shared" si="2"/>
        <v>221.98031532565332</v>
      </c>
      <c r="R24" s="62">
        <f t="shared" si="0"/>
        <v>515.31364865898661</v>
      </c>
      <c r="S24" s="62">
        <f ca="1">AVERAGE(OFFSET($R$3,0,0,'Données projet'!$E$9+1,1))-AVERAGE(OFFSET($H$3,0,0,'Données projet'!$E$9+1,1))</f>
        <v>500.52921520843432</v>
      </c>
      <c r="T24" s="62">
        <f t="shared" si="34"/>
        <v>430.43167430170087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6.1577594251712693</v>
      </c>
      <c r="AA24" s="23">
        <f>EXP(-LN(2)/25)*AA23+(1-EXP(-LN(2)/25))/(LN(2)/25)*Calculateur!V24*Calculateur!X24*VLOOKUP('Données projet'!$B$9,Paramètres!$A$1:$I$89,3,0)*0.475*44/12</f>
        <v>22.937892129572734</v>
      </c>
      <c r="AB24" s="23">
        <f>EXP(-LN(2)/2)*AB23+(1-EXP(-LN(2)/2))/(LN(2)/2)*V24*Y24*VLOOKUP('Données projet'!$B$9,Paramètres!$A$1:$I$89,3,0)*0.475*44/12</f>
        <v>13.732119791550119</v>
      </c>
      <c r="AC24" s="24">
        <f t="shared" si="3"/>
        <v>42.827771346294121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11</v>
      </c>
      <c r="AI24" s="14">
        <f>IF('Données projet'!$A$62&gt;35,AI23+AH24-AQ23,IF(A24&lt;'Données projet'!$A$62,$AF$205^A24,IF(A24='Données projet'!$A$62,'Données projet'!$B$62,AI23+AH24-AQ23)))</f>
        <v>111</v>
      </c>
      <c r="AJ24" s="14">
        <f>AI24*VLOOKUP('Données projet'!$B$10,Paramètres!$A$1:$I$89,3,0)*VLOOKUP('Données projet'!$B$10,Paramètres!$A$1:$I$89,5,0)</f>
        <v>51.948</v>
      </c>
      <c r="AK24" s="14">
        <f t="shared" si="35"/>
        <v>15.115714645211892</v>
      </c>
      <c r="AL24" s="22">
        <f t="shared" si="4"/>
        <v>116.8026363404107</v>
      </c>
      <c r="AM24" s="62">
        <f t="shared" si="5"/>
        <v>410.135969673744</v>
      </c>
      <c r="AN24" s="62">
        <f ca="1">AVERAGE(OFFSET($AM$3,0,0,'Données projet'!$E$10+1,1))-AVERAGE(OFFSET($H$3,0,0,'Données projet'!$E$10+1,1))</f>
        <v>265.57412766850422</v>
      </c>
      <c r="AO24" s="62">
        <f t="shared" si="36"/>
        <v>179.39213799913273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7.4102073318129023</v>
      </c>
      <c r="AW24" s="23">
        <f>EXP(-LN(2)/2)*AW23+(1-EXP(-LN(2)/2))/(LN(2)/2)*AQ24*AT24*VLOOKUP('Données projet'!$B$10,Paramètres!$A$1:$I$89,3,0)*0.475*44/12</f>
        <v>6.5944573269518925</v>
      </c>
      <c r="AX24" s="23">
        <f t="shared" si="6"/>
        <v>14.004664658764796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19.68</v>
      </c>
      <c r="BD24" s="13">
        <f>IF('Données projet'!$A$88&gt;35,BD23+BC24-BL23,IF(A24&lt;'Données projet'!$A$88,$BA$205^A24,IF(A24='Données projet'!$A$88,'Données projet'!$B$88,BD23+BC24-BL23)))</f>
        <v>120.88</v>
      </c>
      <c r="BE24" s="14">
        <f>BD24*VLOOKUP('Données projet'!$B$11,Paramètres!$A$1:$I$89,3,0)*VLOOKUP('Données projet'!$B$11,Paramètres!$A$1:$I$89,5,0)</f>
        <v>72.286239999999992</v>
      </c>
      <c r="BF24" s="14">
        <f t="shared" si="37"/>
        <v>20.240145222851208</v>
      </c>
      <c r="BG24" s="22">
        <f t="shared" si="7"/>
        <v>161.15012092979916</v>
      </c>
      <c r="BH24" s="62">
        <f t="shared" si="8"/>
        <v>454.48345426313244</v>
      </c>
      <c r="BI24" s="62">
        <f ca="1">AVERAGE(OFFSET($BH$3,0,0,'Données projet'!$E$11+1,1))-AVERAGE(OFFSET($H$3,0,0,'Données projet'!$E$11+1,1))</f>
        <v>361.81625684745416</v>
      </c>
      <c r="BJ24" s="62">
        <f t="shared" si="38"/>
        <v>302.25424592654684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3.1772495498877387</v>
      </c>
      <c r="BQ24" s="23">
        <f>EXP(-LN(2)/25)*BQ23+(1-EXP(-LN(2)/25))/(LN(2)/25)*Calculateur!BL24*Calculateur!BN24*VLOOKUP('Données projet'!$B$11,Paramètres!$A$1:$I$89,3,0)*0.475*44/12</f>
        <v>7.0087376073103416</v>
      </c>
      <c r="BR24" s="23">
        <f>EXP(-LN(2)/2)*BR23+(1-EXP(-LN(2)/2))/(LN(2)/2)*BL24*BO24*VLOOKUP('Données projet'!$B$11,Paramètres!$A$1:$I$89,3,0)*0.475*44/12</f>
        <v>5.4859994900434979</v>
      </c>
      <c r="BS24" s="24">
        <f t="shared" si="9"/>
        <v>15.671986647241578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30.6</v>
      </c>
      <c r="N25" s="14">
        <f>IF('Données projet'!$A$36&gt;35,N24+M25-V24,IF(A25&lt;'Données projet'!$A$36,$K$205^A25,IF(A25='Données projet'!$A$36,'Données projet'!$B$36,N24+M25-V24)))</f>
        <v>210.19999999999996</v>
      </c>
      <c r="O25" s="14">
        <f>N25*VLOOKUP('Données projet'!$B$9,Paramètres!$A$1:$I$89,3,0)*VLOOKUP('Données projet'!$B$9,Paramètres!$A$1:$I$89,5,0)</f>
        <v>117.50179999999997</v>
      </c>
      <c r="P25" s="14">
        <f t="shared" si="33"/>
        <v>31.091623667301331</v>
      </c>
      <c r="Q25" s="22">
        <f t="shared" si="2"/>
        <v>258.80021288721645</v>
      </c>
      <c r="R25" s="62">
        <f t="shared" si="0"/>
        <v>552.13354622054976</v>
      </c>
      <c r="S25" s="62">
        <f ca="1">AVERAGE(OFFSET($R$3,0,0,'Données projet'!$E$9+1,1))-AVERAGE(OFFSET($H$3,0,0,'Données projet'!$E$9+1,1))</f>
        <v>500.52921520843432</v>
      </c>
      <c r="T25" s="62">
        <f t="shared" si="34"/>
        <v>430.43167430170087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6.0370095187060491</v>
      </c>
      <c r="AA25" s="23">
        <f>EXP(-LN(2)/25)*AA24+(1-EXP(-LN(2)/25))/(LN(2)/25)*Calculateur!V25*Calculateur!X25*VLOOKUP('Données projet'!$B$9,Paramètres!$A$1:$I$89,3,0)*0.475*44/12</f>
        <v>22.310654263038245</v>
      </c>
      <c r="AB25" s="23">
        <f>EXP(-LN(2)/2)*AB24+(1-EXP(-LN(2)/2))/(LN(2)/2)*V25*Y25*VLOOKUP('Données projet'!$B$9,Paramètres!$A$1:$I$89,3,0)*0.475*44/12</f>
        <v>9.7100750246710898</v>
      </c>
      <c r="AC25" s="24">
        <f t="shared" si="3"/>
        <v>38.057738806415387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11</v>
      </c>
      <c r="AI25" s="14">
        <f>IF('Données projet'!$A$62&gt;35,AI24+AH25-AQ24,IF(A25&lt;'Données projet'!$A$62,$AF$205^A25,IF(A25='Données projet'!$A$62,'Données projet'!$B$62,AI24+AH25-AQ24)))</f>
        <v>122</v>
      </c>
      <c r="AJ25" s="14">
        <f>AI25*VLOOKUP('Données projet'!$B$10,Paramètres!$A$1:$I$89,3,0)*VLOOKUP('Données projet'!$B$10,Paramètres!$A$1:$I$89,5,0)</f>
        <v>57.096000000000004</v>
      </c>
      <c r="AK25" s="14">
        <f t="shared" si="35"/>
        <v>16.431940248498016</v>
      </c>
      <c r="AL25" s="22">
        <f t="shared" si="4"/>
        <v>128.06116259946739</v>
      </c>
      <c r="AM25" s="62">
        <f t="shared" si="5"/>
        <v>421.39449593280074</v>
      </c>
      <c r="AN25" s="62">
        <f ca="1">AVERAGE(OFFSET($AM$3,0,0,'Données projet'!$E$10+1,1))-AVERAGE(OFFSET($H$3,0,0,'Données projet'!$E$10+1,1))</f>
        <v>265.57412766850422</v>
      </c>
      <c r="AO25" s="62">
        <f t="shared" si="36"/>
        <v>179.39213799913273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7.2075748226386107</v>
      </c>
      <c r="AW25" s="23">
        <f>EXP(-LN(2)/2)*AW24+(1-EXP(-LN(2)/2))/(LN(2)/2)*AQ25*AT25*VLOOKUP('Données projet'!$B$10,Paramètres!$A$1:$I$89,3,0)*0.475*44/12</f>
        <v>4.6629854941329976</v>
      </c>
      <c r="AX25" s="23">
        <f t="shared" si="6"/>
        <v>11.870560316771609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19.68</v>
      </c>
      <c r="BD25" s="13">
        <f>IF('Données projet'!$A$88&gt;35,BD24+BC25-BL24,IF(A25&lt;'Données projet'!$A$88,$BA$205^A25,IF(A25='Données projet'!$A$88,'Données projet'!$B$88,BD24+BC25-BL24)))</f>
        <v>140.56</v>
      </c>
      <c r="BE25" s="14">
        <f>BD25*VLOOKUP('Données projet'!$B$11,Paramètres!$A$1:$I$89,3,0)*VLOOKUP('Données projet'!$B$11,Paramètres!$A$1:$I$89,5,0)</f>
        <v>84.054880000000011</v>
      </c>
      <c r="BF25" s="14">
        <f t="shared" si="37"/>
        <v>23.12575242793806</v>
      </c>
      <c r="BG25" s="22">
        <f t="shared" si="7"/>
        <v>186.67293481199212</v>
      </c>
      <c r="BH25" s="62">
        <f t="shared" si="8"/>
        <v>480.00626814532541</v>
      </c>
      <c r="BI25" s="62">
        <f ca="1">AVERAGE(OFFSET($BH$3,0,0,'Données projet'!$E$11+1,1))-AVERAGE(OFFSET($H$3,0,0,'Données projet'!$E$11+1,1))</f>
        <v>361.81625684745416</v>
      </c>
      <c r="BJ25" s="62">
        <f t="shared" si="38"/>
        <v>302.25424592654684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3.1149456241453106</v>
      </c>
      <c r="BQ25" s="23">
        <f>EXP(-LN(2)/25)*BQ24+(1-EXP(-LN(2)/25))/(LN(2)/25)*Calculateur!BL25*Calculateur!BN25*VLOOKUP('Données projet'!$B$11,Paramètres!$A$1:$I$89,3,0)*0.475*44/12</f>
        <v>6.8170833088649481</v>
      </c>
      <c r="BR25" s="23">
        <f>EXP(-LN(2)/2)*BR24+(1-EXP(-LN(2)/2))/(LN(2)/2)*BL25*BO25*VLOOKUP('Données projet'!$B$11,Paramètres!$A$1:$I$89,3,0)*0.475*44/12</f>
        <v>3.879187440995699</v>
      </c>
      <c r="BS25" s="24">
        <f t="shared" si="9"/>
        <v>13.811216374005957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30.6</v>
      </c>
      <c r="N26" s="14">
        <f>IF('Données projet'!$A$36&gt;35,N25+M26-V25,IF(A26&lt;'Données projet'!$A$36,$K$205^A26,IF(A26='Données projet'!$A$36,'Données projet'!$B$36,N25+M26-V25)))</f>
        <v>240.79999999999995</v>
      </c>
      <c r="O26" s="14">
        <f>N26*VLOOKUP('Données projet'!$B$9,Paramètres!$A$1:$I$89,3,0)*VLOOKUP('Données projet'!$B$9,Paramètres!$A$1:$I$89,5,0)</f>
        <v>134.60719999999998</v>
      </c>
      <c r="P26" s="14">
        <f t="shared" si="33"/>
        <v>35.058780580730314</v>
      </c>
      <c r="Q26" s="22">
        <f t="shared" si="2"/>
        <v>295.50158284477192</v>
      </c>
      <c r="R26" s="62">
        <f t="shared" si="0"/>
        <v>588.83491617810523</v>
      </c>
      <c r="S26" s="62">
        <f ca="1">AVERAGE(OFFSET($R$3,0,0,'Données projet'!$E$9+1,1))-AVERAGE(OFFSET($H$3,0,0,'Données projet'!$E$9+1,1))</f>
        <v>500.52921520843432</v>
      </c>
      <c r="T26" s="62">
        <f t="shared" si="34"/>
        <v>430.43167430170087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5.9186274442564413</v>
      </c>
      <c r="AA26" s="23">
        <f>EXP(-LN(2)/25)*AA25+(1-EXP(-LN(2)/25))/(LN(2)/25)*Calculateur!V26*Calculateur!X26*VLOOKUP('Données projet'!$B$9,Paramètres!$A$1:$I$89,3,0)*0.475*44/12</f>
        <v>21.70056824894915</v>
      </c>
      <c r="AB26" s="23">
        <f>EXP(-LN(2)/2)*AB25+(1-EXP(-LN(2)/2))/(LN(2)/2)*V26*Y26*VLOOKUP('Données projet'!$B$9,Paramètres!$A$1:$I$89,3,0)*0.475*44/12</f>
        <v>6.8660598957750612</v>
      </c>
      <c r="AC26" s="24">
        <f t="shared" si="3"/>
        <v>34.48525558898065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</v>
      </c>
      <c r="AI26" s="14">
        <f>IF('Données projet'!$A$62&gt;35,AI25+AH26-AQ25,IF(A26&lt;'Données projet'!$A$62,$AF$205^A26,IF(A26='Données projet'!$A$62,'Données projet'!$B$62,AI25+AH26-AQ25)))</f>
        <v>133</v>
      </c>
      <c r="AJ26" s="14">
        <f>AI26*VLOOKUP('Données projet'!$B$10,Paramètres!$A$1:$I$89,3,0)*VLOOKUP('Données projet'!$B$10,Paramètres!$A$1:$I$89,5,0)</f>
        <v>62.243999999999993</v>
      </c>
      <c r="AK26" s="14">
        <f t="shared" si="35"/>
        <v>17.734404526076432</v>
      </c>
      <c r="AL26" s="22">
        <f t="shared" si="4"/>
        <v>139.29572121624975</v>
      </c>
      <c r="AM26" s="62">
        <f t="shared" si="5"/>
        <v>432.62905454958309</v>
      </c>
      <c r="AN26" s="62">
        <f ca="1">AVERAGE(OFFSET($AM$3,0,0,'Données projet'!$E$10+1,1))-AVERAGE(OFFSET($H$3,0,0,'Données projet'!$E$10+1,1))</f>
        <v>265.57412766850422</v>
      </c>
      <c r="AO26" s="62">
        <f t="shared" si="36"/>
        <v>179.39213799913273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7.0104833100836714</v>
      </c>
      <c r="AW26" s="23">
        <f>EXP(-LN(2)/2)*AW25+(1-EXP(-LN(2)/2))/(LN(2)/2)*AQ26*AT26*VLOOKUP('Données projet'!$B$10,Paramètres!$A$1:$I$89,3,0)*0.475*44/12</f>
        <v>3.2972286634759471</v>
      </c>
      <c r="AX26" s="23">
        <f t="shared" si="6"/>
        <v>10.307711973559618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19.68</v>
      </c>
      <c r="BD26" s="13">
        <f>IF('Données projet'!$A$88&gt;35,BD25+BC26-BL25,IF(A26&lt;'Données projet'!$A$88,$BA$205^A26,IF(A26='Données projet'!$A$88,'Données projet'!$B$88,BD25+BC26-BL25)))</f>
        <v>160.24</v>
      </c>
      <c r="BE26" s="14">
        <f>BD26*VLOOKUP('Données projet'!$B$11,Paramètres!$A$1:$I$89,3,0)*VLOOKUP('Données projet'!$B$11,Paramètres!$A$1:$I$89,5,0)</f>
        <v>95.823520000000016</v>
      </c>
      <c r="BF26" s="14">
        <f t="shared" si="37"/>
        <v>25.964551808226819</v>
      </c>
      <c r="BG26" s="22">
        <f t="shared" si="7"/>
        <v>212.11422506599504</v>
      </c>
      <c r="BH26" s="62">
        <f t="shared" si="8"/>
        <v>505.44755839932839</v>
      </c>
      <c r="BI26" s="62">
        <f ca="1">AVERAGE(OFFSET($BH$3,0,0,'Données projet'!$E$11+1,1))-AVERAGE(OFFSET($H$3,0,0,'Données projet'!$E$11+1,1))</f>
        <v>361.81625684745416</v>
      </c>
      <c r="BJ26" s="62">
        <f t="shared" si="38"/>
        <v>302.25424592654684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3.0538634403850495</v>
      </c>
      <c r="BQ26" s="23">
        <f>EXP(-LN(2)/25)*BQ25+(1-EXP(-LN(2)/25))/(LN(2)/25)*Calculateur!BL26*Calculateur!BN26*VLOOKUP('Données projet'!$B$11,Paramètres!$A$1:$I$89,3,0)*0.475*44/12</f>
        <v>6.6306698072892054</v>
      </c>
      <c r="BR26" s="23">
        <f>EXP(-LN(2)/2)*BR25+(1-EXP(-LN(2)/2))/(LN(2)/2)*BL26*BO26*VLOOKUP('Données projet'!$B$11,Paramètres!$A$1:$I$89,3,0)*0.475*44/12</f>
        <v>2.7429997450217494</v>
      </c>
      <c r="BS26" s="24">
        <f t="shared" si="9"/>
        <v>12.427532992696005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30.6</v>
      </c>
      <c r="N27" s="14">
        <f>IF('Données projet'!$A$36&gt;35,N26+M27-V26,IF(A27&lt;'Données projet'!$A$36,$K$205^A27,IF(A27='Données projet'!$A$36,'Données projet'!$B$36,N26+M27-V26)))</f>
        <v>271.39999999999998</v>
      </c>
      <c r="O27" s="14">
        <f>N27*VLOOKUP('Données projet'!$B$9,Paramètres!$A$1:$I$89,3,0)*VLOOKUP('Données projet'!$B$9,Paramètres!$A$1:$I$89,5,0)</f>
        <v>151.71259999999998</v>
      </c>
      <c r="P27" s="14">
        <f t="shared" si="33"/>
        <v>38.967522593108967</v>
      </c>
      <c r="Q27" s="22">
        <f t="shared" si="2"/>
        <v>332.10121351633137</v>
      </c>
      <c r="R27" s="62">
        <f t="shared" si="0"/>
        <v>625.43454684966468</v>
      </c>
      <c r="S27" s="62">
        <f ca="1">AVERAGE(OFFSET($R$3,0,0,'Données projet'!$E$9+1,1))-AVERAGE(OFFSET($H$3,0,0,'Données projet'!$E$9+1,1))</f>
        <v>500.52921520843432</v>
      </c>
      <c r="T27" s="62">
        <f t="shared" si="34"/>
        <v>430.43167430170087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5.8025667700808548</v>
      </c>
      <c r="AA27" s="23">
        <f>EXP(-LN(2)/25)*AA26+(1-EXP(-LN(2)/25))/(LN(2)/25)*Calculateur!V27*Calculateur!X27*VLOOKUP('Données projet'!$B$9,Paramètres!$A$1:$I$89,3,0)*0.475*44/12</f>
        <v>21.107165068998349</v>
      </c>
      <c r="AB27" s="23">
        <f>EXP(-LN(2)/2)*AB26+(1-EXP(-LN(2)/2))/(LN(2)/2)*V27*Y27*VLOOKUP('Données projet'!$B$9,Paramètres!$A$1:$I$89,3,0)*0.475*44/12</f>
        <v>4.8550375123355458</v>
      </c>
      <c r="AC27" s="24">
        <f t="shared" si="3"/>
        <v>31.764769351414749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11</v>
      </c>
      <c r="AI27" s="14">
        <f>IF('Données projet'!$A$62&gt;35,AI26+AH27-AQ26,IF(A27&lt;'Données projet'!$A$62,$AF$205^A27,IF(A27='Données projet'!$A$62,'Données projet'!$B$62,AI26+AH27-AQ26)))</f>
        <v>144</v>
      </c>
      <c r="AJ27" s="14">
        <f>AI27*VLOOKUP('Données projet'!$B$10,Paramètres!$A$1:$I$89,3,0)*VLOOKUP('Données projet'!$B$10,Paramètres!$A$1:$I$89,5,0)</f>
        <v>67.391999999999996</v>
      </c>
      <c r="AK27" s="14">
        <f t="shared" si="35"/>
        <v>19.02437502991798</v>
      </c>
      <c r="AL27" s="22">
        <f t="shared" si="4"/>
        <v>150.5085198437738</v>
      </c>
      <c r="AM27" s="62">
        <f t="shared" si="5"/>
        <v>443.84185317710711</v>
      </c>
      <c r="AN27" s="62">
        <f ca="1">AVERAGE(OFFSET($AM$3,0,0,'Données projet'!$E$10+1,1))-AVERAGE(OFFSET($H$3,0,0,'Données projet'!$E$10+1,1))</f>
        <v>265.57412766850422</v>
      </c>
      <c r="AO27" s="62">
        <f t="shared" si="36"/>
        <v>179.39213799913273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6.818781275304139</v>
      </c>
      <c r="AW27" s="23">
        <f>EXP(-LN(2)/2)*AW26+(1-EXP(-LN(2)/2))/(LN(2)/2)*AQ27*AT27*VLOOKUP('Données projet'!$B$10,Paramètres!$A$1:$I$89,3,0)*0.475*44/12</f>
        <v>2.3314927470664992</v>
      </c>
      <c r="AX27" s="23">
        <f t="shared" si="6"/>
        <v>9.1502740223706382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179.92</v>
      </c>
      <c r="BB27" s="13">
        <f>VLOOKUP(A27,'Données projet'!$A$87:$I$107,9,0)</f>
        <v>19.68</v>
      </c>
      <c r="BC27" s="13">
        <f t="array" ref="BC27">INDEX(BB:BB,MIN(IF(ISNUMBER(BB27:BB223),ROW(BB27:BB223),"")))</f>
        <v>19.68</v>
      </c>
      <c r="BD27" s="13">
        <f>IF('Données projet'!$A$88&gt;35,BD26+BC27-BL26,IF(A27&lt;'Données projet'!$A$88,$BA$205^A27,IF(A27='Données projet'!$A$88,'Données projet'!$B$88,BD26+BC27-BL26)))</f>
        <v>179.92000000000002</v>
      </c>
      <c r="BE27" s="14">
        <f>BD27*VLOOKUP('Données projet'!$B$11,Paramètres!$A$1:$I$89,3,0)*VLOOKUP('Données projet'!$B$11,Paramètres!$A$1:$I$89,5,0)</f>
        <v>107.59216000000002</v>
      </c>
      <c r="BF27" s="14">
        <f t="shared" si="37"/>
        <v>28.762950003220435</v>
      </c>
      <c r="BG27" s="22">
        <f t="shared" si="7"/>
        <v>237.48514992227561</v>
      </c>
      <c r="BH27" s="62">
        <f t="shared" si="8"/>
        <v>530.81848325560895</v>
      </c>
      <c r="BI27" s="62">
        <f ca="1">AVERAGE(OFFSET($BH$3,0,0,'Données projet'!$E$11+1,1))-AVERAGE(OFFSET($H$3,0,0,'Données projet'!$E$11+1,1))</f>
        <v>361.81625684745416</v>
      </c>
      <c r="BJ27" s="62">
        <f t="shared" si="38"/>
        <v>302.25424592654684</v>
      </c>
      <c r="BK27" s="16">
        <f>IF(ISNA(VLOOKUP(A27,'Données projet'!$A$87:$I$107,3,0)),0,VLOOKUP(A27,'Données projet'!$A$87:$I$107,3,0))</f>
        <v>3</v>
      </c>
      <c r="BL27" s="16">
        <f>IF(ISNA(VLOOKUP(A27,'Données projet'!$A$87:$I$107,4,0)),0,VLOOKUP(A27,'Données projet'!$A$87:$I$107,4,0))</f>
        <v>45</v>
      </c>
      <c r="BM27" s="17">
        <f>IF(ISNA(VLOOKUP(A27,'Données projet'!$A$87:$I$107,5,0)),0%,VLOOKUP(A27,'Données projet'!$A$87:$I$107,5,0)*VLOOKUP('Données projet'!$B$11,Paramètres!$A$1:$I$89,7,0))</f>
        <v>9.0000000000000011E-2</v>
      </c>
      <c r="BN27" s="17">
        <f>IF(ISNA(VLOOKUP(A27,'Données projet'!$A$87:$I$107,6,0)),0%,VLOOKUP(A27,'Données projet'!$A$87:$I$107,6,0)*VLOOKUP('Données projet'!$B$11,Paramètres!$A$1:$I$89,7,0))</f>
        <v>0.20250000000000001</v>
      </c>
      <c r="BO27" s="17">
        <f>IF(ISNA(VLOOKUP(A27,'Données projet'!$A$87:$I$107,7,0)),0%,VLOOKUP(A27,'Données projet'!$A$87:$I$107,7,0))</f>
        <v>0.35</v>
      </c>
      <c r="BP27" s="23">
        <f>EXP(-LN(2)/35)*BP26+(1-EXP(-LN(2)/35))/(LN(2)/35)*BL27*BM27*VLOOKUP('Données projet'!$B$11,Paramètres!$A$1:$I$89,3,0)*0.475*44/12</f>
        <v>6.2067854956208972</v>
      </c>
      <c r="BQ27" s="23">
        <f>EXP(-LN(2)/25)*BQ26+(1-EXP(-LN(2)/25))/(LN(2)/25)*Calculateur!BL27*Calculateur!BN27*VLOOKUP('Données projet'!$B$11,Paramètres!$A$1:$I$89,3,0)*0.475*44/12</f>
        <v>13.649705718461419</v>
      </c>
      <c r="BR27" s="23">
        <f>EXP(-LN(2)/2)*BR26+(1-EXP(-LN(2)/2))/(LN(2)/2)*BL27*BO27*VLOOKUP('Données projet'!$B$11,Paramètres!$A$1:$I$89,3,0)*0.475*44/12</f>
        <v>12.603523614750868</v>
      </c>
      <c r="BS27" s="24">
        <f t="shared" si="9"/>
        <v>32.460014828833188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302</v>
      </c>
      <c r="L28" s="13">
        <f>VLOOKUP(A28,'Données projet'!$A$35:$I$55,9,0)</f>
        <v>30.6</v>
      </c>
      <c r="M28" s="13">
        <f t="array" ref="M28">INDEX(L:L,MIN(IF(ISNUMBER(L28:L224),ROW(L28:L224),"")))</f>
        <v>30.6</v>
      </c>
      <c r="N28" s="14">
        <f>IF('Données projet'!$A$36&gt;35,N27+M28-V27,IF(A28&lt;'Données projet'!$A$36,$K$205^A28,IF(A28='Données projet'!$A$36,'Données projet'!$B$36,N27+M28-V27)))</f>
        <v>302</v>
      </c>
      <c r="O28" s="14">
        <f>N28*VLOOKUP('Données projet'!$B$9,Paramètres!$A$1:$I$89,3,0)*VLOOKUP('Données projet'!$B$9,Paramètres!$A$1:$I$89,5,0)</f>
        <v>168.81799999999998</v>
      </c>
      <c r="P28" s="14">
        <f t="shared" si="33"/>
        <v>42.825187501685285</v>
      </c>
      <c r="Q28" s="22">
        <f t="shared" si="2"/>
        <v>368.61188489876849</v>
      </c>
      <c r="R28" s="62">
        <f t="shared" si="0"/>
        <v>661.94521823210175</v>
      </c>
      <c r="S28" s="62">
        <f ca="1">AVERAGE(OFFSET($R$3,0,0,'Données projet'!$E$9+1,1))-AVERAGE(OFFSET($H$3,0,0,'Données projet'!$E$9+1,1))</f>
        <v>500.52921520843432</v>
      </c>
      <c r="T28" s="62">
        <f t="shared" si="34"/>
        <v>430.43167430170087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77</v>
      </c>
      <c r="W28" s="17">
        <f>IF(ISNA(VLOOKUP(A28,'Données projet'!$A$35:$I$55,5,0)),0%,VLOOKUP(A28,'Données projet'!$A$35:$I$55,5,0)*VLOOKUP('Données projet'!$B$9,Paramètres!$A$1:$I$89,7,0))</f>
        <v>0.11000000000000001</v>
      </c>
      <c r="X28" s="17">
        <f>IF(ISNA(VLOOKUP(A28,'Données projet'!$A$35:$I$55,6,0)),0%,VLOOKUP(A28,'Données projet'!$A$35:$I$55,6,0)*VLOOKUP('Données projet'!$B$9,Paramètres!$A$1:$I$89,7,0))</f>
        <v>0.24750000000000003</v>
      </c>
      <c r="Y28" s="17">
        <f>IF(ISNA(VLOOKUP(A28,'Données projet'!$A$35:$I$55,7,0)),0%,VLOOKUP(A28,'Données projet'!$A$35:$I$55,7,0))</f>
        <v>0.35</v>
      </c>
      <c r="Z28" s="23">
        <f>EXP(-LN(2)/35)*Z27+(1-EXP(-LN(2)/35))/(LN(2)/35)*V28*W28*VLOOKUP('Données projet'!$B$9,Paramètres!$A$1:$I$89,3,0)*0.475*44/12</f>
        <v>11.969706499039084</v>
      </c>
      <c r="AA28" s="23">
        <f>EXP(-LN(2)/25)*AA27+(1-EXP(-LN(2)/25))/(LN(2)/25)*Calculateur!V28*Calculateur!X28*VLOOKUP('Données projet'!$B$9,Paramètres!$A$1:$I$89,3,0)*0.475*44/12</f>
        <v>34.606425325030997</v>
      </c>
      <c r="AB28" s="23">
        <f>EXP(-LN(2)/2)*AB27+(1-EXP(-LN(2)/2))/(LN(2)/2)*V28*Y28*VLOOKUP('Données projet'!$B$9,Paramètres!$A$1:$I$89,3,0)*0.475*44/12</f>
        <v>20.490166121738611</v>
      </c>
      <c r="AC28" s="24">
        <f t="shared" si="3"/>
        <v>67.066297945808685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11</v>
      </c>
      <c r="AI28" s="14">
        <f>IF('Données projet'!$A$62&gt;35,AI27+AH28-AQ27,IF(A28&lt;'Données projet'!$A$62,$AF$205^A28,IF(A28='Données projet'!$A$62,'Données projet'!$B$62,AI27+AH28-AQ27)))</f>
        <v>155</v>
      </c>
      <c r="AJ28" s="14">
        <f>AI28*VLOOKUP('Données projet'!$B$10,Paramètres!$A$1:$I$89,3,0)*VLOOKUP('Données projet'!$B$10,Paramètres!$A$1:$I$89,5,0)</f>
        <v>72.539999999999992</v>
      </c>
      <c r="AK28" s="14">
        <f t="shared" si="35"/>
        <v>20.302914660456786</v>
      </c>
      <c r="AL28" s="22">
        <f t="shared" si="4"/>
        <v>161.70140970029556</v>
      </c>
      <c r="AM28" s="62">
        <f t="shared" si="5"/>
        <v>455.03474303362884</v>
      </c>
      <c r="AN28" s="62">
        <f ca="1">AVERAGE(OFFSET($AM$3,0,0,'Données projet'!$E$10+1,1))-AVERAGE(OFFSET($H$3,0,0,'Données projet'!$E$10+1,1))</f>
        <v>265.57412766850422</v>
      </c>
      <c r="AO28" s="62">
        <f t="shared" si="36"/>
        <v>179.39213799913273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6.6323213427468248</v>
      </c>
      <c r="AW28" s="23">
        <f>EXP(-LN(2)/2)*AW27+(1-EXP(-LN(2)/2))/(LN(2)/2)*AQ28*AT28*VLOOKUP('Données projet'!$B$10,Paramètres!$A$1:$I$89,3,0)*0.475*44/12</f>
        <v>1.6486143317379738</v>
      </c>
      <c r="AX28" s="23">
        <f t="shared" si="6"/>
        <v>8.2809356744847982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20.86333333333334</v>
      </c>
      <c r="BD28" s="13">
        <f>IF('Données projet'!$A$88&gt;35,BD27+BC28-BL27,IF(A28&lt;'Données projet'!$A$88,$BA$205^A28,IF(A28='Données projet'!$A$88,'Données projet'!$B$88,BD27+BC28-BL27)))</f>
        <v>155.78333333333336</v>
      </c>
      <c r="BE28" s="14">
        <f>BD28*VLOOKUP('Données projet'!$B$11,Paramètres!$A$1:$I$89,3,0)*VLOOKUP('Données projet'!$B$11,Paramètres!$A$1:$I$89,5,0)</f>
        <v>93.158433333333363</v>
      </c>
      <c r="BF28" s="14">
        <f t="shared" si="37"/>
        <v>25.325427193384016</v>
      </c>
      <c r="BG28" s="22">
        <f t="shared" si="7"/>
        <v>206.35939041736609</v>
      </c>
      <c r="BH28" s="62">
        <f t="shared" si="8"/>
        <v>499.69272375069943</v>
      </c>
      <c r="BI28" s="62">
        <f ca="1">AVERAGE(OFFSET($BH$3,0,0,'Données projet'!$E$11+1,1))-AVERAGE(OFFSET($H$3,0,0,'Données projet'!$E$11+1,1))</f>
        <v>361.81625684745416</v>
      </c>
      <c r="BJ28" s="62">
        <f t="shared" si="38"/>
        <v>302.25424592654684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6.0850742178171107</v>
      </c>
      <c r="BQ28" s="23">
        <f>EXP(-LN(2)/25)*BQ27+(1-EXP(-LN(2)/25))/(LN(2)/25)*Calculateur!BL28*Calculateur!BN28*VLOOKUP('Données projet'!$B$11,Paramètres!$A$1:$I$89,3,0)*0.475*44/12</f>
        <v>13.276453797783265</v>
      </c>
      <c r="BR28" s="23">
        <f>EXP(-LN(2)/2)*BR27+(1-EXP(-LN(2)/2))/(LN(2)/2)*BL28*BO28*VLOOKUP('Données projet'!$B$11,Paramètres!$A$1:$I$89,3,0)*0.475*44/12</f>
        <v>8.9120370148351267</v>
      </c>
      <c r="BS28" s="24">
        <f t="shared" si="9"/>
        <v>28.273565030435506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32.200000000000003</v>
      </c>
      <c r="N29" s="14">
        <f>IF('Données projet'!$A$36&gt;35,N28+M29-V28,IF(A29&lt;'Données projet'!$A$36,$K$205^A29,IF(A29='Données projet'!$A$36,'Données projet'!$B$36,N28+M29-V28)))</f>
        <v>257.2</v>
      </c>
      <c r="O29" s="14">
        <f>N29*VLOOKUP('Données projet'!$B$9,Paramètres!$A$1:$I$89,3,0)*VLOOKUP('Données projet'!$B$9,Paramètres!$A$1:$I$89,5,0)</f>
        <v>143.7748</v>
      </c>
      <c r="P29" s="14">
        <f t="shared" si="33"/>
        <v>37.160415587796457</v>
      </c>
      <c r="Q29" s="22">
        <f t="shared" si="2"/>
        <v>315.12883381541212</v>
      </c>
      <c r="R29" s="62">
        <f t="shared" si="0"/>
        <v>608.46216714874549</v>
      </c>
      <c r="S29" s="62">
        <f ca="1">AVERAGE(OFFSET($R$3,0,0,'Données projet'!$E$9+1,1))-AVERAGE(OFFSET($H$3,0,0,'Données projet'!$E$9+1,1))</f>
        <v>500.52921520843432</v>
      </c>
      <c r="T29" s="62">
        <f t="shared" si="34"/>
        <v>430.43167430170087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11.734987855392998</v>
      </c>
      <c r="AA29" s="23">
        <f>EXP(-LN(2)/25)*AA28+(1-EXP(-LN(2)/25))/(LN(2)/25)*Calculateur!V29*Calculateur!X29*VLOOKUP('Données projet'!$B$9,Paramètres!$A$1:$I$89,3,0)*0.475*44/12</f>
        <v>33.660110804645214</v>
      </c>
      <c r="AB29" s="23">
        <f>EXP(-LN(2)/2)*AB28+(1-EXP(-LN(2)/2))/(LN(2)/2)*V29*Y29*VLOOKUP('Données projet'!$B$9,Paramètres!$A$1:$I$89,3,0)*0.475*44/12</f>
        <v>14.488735412320233</v>
      </c>
      <c r="AC29" s="24">
        <f t="shared" si="3"/>
        <v>59.883834072358447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</v>
      </c>
      <c r="AI29" s="14">
        <f>IF('Données projet'!$A$62&gt;35,AI28+AH29-AQ28,IF(A29&lt;'Données projet'!$A$62,$AF$205^A29,IF(A29='Données projet'!$A$62,'Données projet'!$B$62,AI28+AH29-AQ28)))</f>
        <v>166</v>
      </c>
      <c r="AJ29" s="14">
        <f>AI29*VLOOKUP('Données projet'!$B$10,Paramètres!$A$1:$I$89,3,0)*VLOOKUP('Données projet'!$B$10,Paramètres!$A$1:$I$89,5,0)</f>
        <v>77.688000000000002</v>
      </c>
      <c r="AK29" s="14">
        <f t="shared" si="35"/>
        <v>21.570926907728207</v>
      </c>
      <c r="AL29" s="22">
        <f t="shared" si="4"/>
        <v>172.87596436429328</v>
      </c>
      <c r="AM29" s="62">
        <f t="shared" si="5"/>
        <v>466.2092976976266</v>
      </c>
      <c r="AN29" s="62">
        <f ca="1">AVERAGE(OFFSET($AM$3,0,0,'Données projet'!$E$10+1,1))-AVERAGE(OFFSET($H$3,0,0,'Données projet'!$E$10+1,1))</f>
        <v>265.57412766850422</v>
      </c>
      <c r="AO29" s="62">
        <f t="shared" si="36"/>
        <v>179.39213799913273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6.4509601668507921</v>
      </c>
      <c r="AW29" s="23">
        <f>EXP(-LN(2)/2)*AW28+(1-EXP(-LN(2)/2))/(LN(2)/2)*AQ29*AT29*VLOOKUP('Données projet'!$B$10,Paramètres!$A$1:$I$89,3,0)*0.475*44/12</f>
        <v>1.1657463735332498</v>
      </c>
      <c r="AX29" s="23">
        <f t="shared" si="6"/>
        <v>7.6167065403840422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20.86333333333334</v>
      </c>
      <c r="BD29" s="13">
        <f>IF('Données projet'!$A$88&gt;35,BD28+BC29-BL28,IF(A29&lt;'Données projet'!$A$88,$BA$205^A29,IF(A29='Données projet'!$A$88,'Données projet'!$B$88,BD28+BC29-BL28)))</f>
        <v>176.6466666666667</v>
      </c>
      <c r="BE29" s="14">
        <f>BD29*VLOOKUP('Données projet'!$B$11,Paramètres!$A$1:$I$89,3,0)*VLOOKUP('Données projet'!$B$11,Paramètres!$A$1:$I$89,5,0)</f>
        <v>105.6347066666667</v>
      </c>
      <c r="BF29" s="14">
        <f t="shared" si="37"/>
        <v>28.30007612423924</v>
      </c>
      <c r="BG29" s="22">
        <f t="shared" si="7"/>
        <v>233.2697466941612</v>
      </c>
      <c r="BH29" s="62">
        <f t="shared" si="8"/>
        <v>526.60308002749457</v>
      </c>
      <c r="BI29" s="62">
        <f ca="1">AVERAGE(OFFSET($BH$3,0,0,'Données projet'!$E$11+1,1))-AVERAGE(OFFSET($H$3,0,0,'Données projet'!$E$11+1,1))</f>
        <v>361.81625684745416</v>
      </c>
      <c r="BJ29" s="62">
        <f t="shared" si="38"/>
        <v>302.25424592654684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5.9657496239345074</v>
      </c>
      <c r="BQ29" s="23">
        <f>EXP(-LN(2)/25)*BQ28+(1-EXP(-LN(2)/25))/(LN(2)/25)*Calculateur!BL29*Calculateur!BN29*VLOOKUP('Données projet'!$B$11,Paramètres!$A$1:$I$89,3,0)*0.475*44/12</f>
        <v>12.913408470504521</v>
      </c>
      <c r="BR29" s="23">
        <f>EXP(-LN(2)/2)*BR28+(1-EXP(-LN(2)/2))/(LN(2)/2)*BL29*BO29*VLOOKUP('Données projet'!$B$11,Paramètres!$A$1:$I$89,3,0)*0.475*44/12</f>
        <v>6.3017618073754349</v>
      </c>
      <c r="BS29" s="24">
        <f t="shared" si="9"/>
        <v>25.180919901814462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32.200000000000003</v>
      </c>
      <c r="N30" s="14">
        <f>IF('Données projet'!$A$36&gt;35,N29+M30-V29,IF(A30&lt;'Données projet'!$A$36,$K$205^A30,IF(A30='Données projet'!$A$36,'Données projet'!$B$36,N29+M30-V29)))</f>
        <v>289.39999999999998</v>
      </c>
      <c r="O30" s="14">
        <f>N30*VLOOKUP('Données projet'!$B$9,Paramètres!$A$1:$I$89,3,0)*VLOOKUP('Données projet'!$B$9,Paramètres!$A$1:$I$89,5,0)</f>
        <v>161.77459999999999</v>
      </c>
      <c r="P30" s="14">
        <f t="shared" si="33"/>
        <v>41.242524074412984</v>
      </c>
      <c r="Q30" s="22">
        <f t="shared" si="2"/>
        <v>353.58815776293591</v>
      </c>
      <c r="R30" s="62">
        <f t="shared" si="0"/>
        <v>646.92149109626916</v>
      </c>
      <c r="S30" s="62">
        <f ca="1">AVERAGE(OFFSET($R$3,0,0,'Données projet'!$E$9+1,1))-AVERAGE(OFFSET($H$3,0,0,'Données projet'!$E$9+1,1))</f>
        <v>500.52921520843432</v>
      </c>
      <c r="T30" s="62">
        <f t="shared" si="34"/>
        <v>430.43167430170087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11.504871901184575</v>
      </c>
      <c r="AA30" s="23">
        <f>EXP(-LN(2)/25)*AA29+(1-EXP(-LN(2)/25))/(LN(2)/25)*Calculateur!V30*Calculateur!X30*VLOOKUP('Données projet'!$B$9,Paramètres!$A$1:$I$89,3,0)*0.475*44/12</f>
        <v>32.739673304583896</v>
      </c>
      <c r="AB30" s="23">
        <f>EXP(-LN(2)/2)*AB29+(1-EXP(-LN(2)/2))/(LN(2)/2)*V30*Y30*VLOOKUP('Données projet'!$B$9,Paramètres!$A$1:$I$89,3,0)*0.475*44/12</f>
        <v>10.245083060869307</v>
      </c>
      <c r="AC30" s="24">
        <f t="shared" si="3"/>
        <v>54.48962826663778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</v>
      </c>
      <c r="AI30" s="14">
        <f>IF('Données projet'!$A$62&gt;35,AI29+AH30-AQ29,IF(A30&lt;'Données projet'!$A$62,$AF$205^A30,IF(A30='Données projet'!$A$62,'Données projet'!$B$62,AI29+AH30-AQ29)))</f>
        <v>177</v>
      </c>
      <c r="AJ30" s="14">
        <f>AI30*VLOOKUP('Données projet'!$B$10,Paramètres!$A$1:$I$89,3,0)*VLOOKUP('Données projet'!$B$10,Paramètres!$A$1:$I$89,5,0)</f>
        <v>82.835999999999999</v>
      </c>
      <c r="AK30" s="14">
        <f t="shared" si="35"/>
        <v>22.829188748646022</v>
      </c>
      <c r="AL30" s="22">
        <f t="shared" si="4"/>
        <v>184.03353707055848</v>
      </c>
      <c r="AM30" s="62">
        <f t="shared" si="5"/>
        <v>477.36687040389177</v>
      </c>
      <c r="AN30" s="62">
        <f ca="1">AVERAGE(OFFSET($AM$3,0,0,'Données projet'!$E$10+1,1))-AVERAGE(OFFSET($H$3,0,0,'Données projet'!$E$10+1,1))</f>
        <v>265.57412766850422</v>
      </c>
      <c r="AO30" s="62">
        <f t="shared" si="36"/>
        <v>179.39213799913273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6.2745583218470058</v>
      </c>
      <c r="AW30" s="23">
        <f>EXP(-LN(2)/2)*AW29+(1-EXP(-LN(2)/2))/(LN(2)/2)*AQ30*AT30*VLOOKUP('Données projet'!$B$10,Paramètres!$A$1:$I$89,3,0)*0.475*44/12</f>
        <v>0.824307165868987</v>
      </c>
      <c r="AX30" s="23">
        <f t="shared" si="6"/>
        <v>7.0988654877159929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20.86333333333334</v>
      </c>
      <c r="BD30" s="13">
        <f>IF('Données projet'!$A$88&gt;35,BD29+BC30-BL29,IF(A30&lt;'Données projet'!$A$88,$BA$205^A30,IF(A30='Données projet'!$A$88,'Données projet'!$B$88,BD29+BC30-BL29)))</f>
        <v>197.51000000000005</v>
      </c>
      <c r="BE30" s="14">
        <f>BD30*VLOOKUP('Données projet'!$B$11,Paramètres!$A$1:$I$89,3,0)*VLOOKUP('Données projet'!$B$11,Paramètres!$A$1:$I$89,5,0)</f>
        <v>118.11098000000003</v>
      </c>
      <c r="BF30" s="14">
        <f t="shared" si="37"/>
        <v>31.234010364950812</v>
      </c>
      <c r="BG30" s="22">
        <f t="shared" si="7"/>
        <v>260.10919155228936</v>
      </c>
      <c r="BH30" s="62">
        <f t="shared" si="8"/>
        <v>553.44252488562267</v>
      </c>
      <c r="BI30" s="62">
        <f ca="1">AVERAGE(OFFSET($BH$3,0,0,'Données projet'!$E$11+1,1))-AVERAGE(OFFSET($H$3,0,0,'Données projet'!$E$11+1,1))</f>
        <v>361.81625684745416</v>
      </c>
      <c r="BJ30" s="62">
        <f t="shared" si="38"/>
        <v>302.25424592654684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5.8487649125571259</v>
      </c>
      <c r="BQ30" s="23">
        <f>EXP(-LN(2)/25)*BQ29+(1-EXP(-LN(2)/25))/(LN(2)/25)*Calculateur!BL30*Calculateur!BN30*VLOOKUP('Données projet'!$B$11,Paramètres!$A$1:$I$89,3,0)*0.475*44/12</f>
        <v>12.560290636791937</v>
      </c>
      <c r="BR30" s="23">
        <f>EXP(-LN(2)/2)*BR29+(1-EXP(-LN(2)/2))/(LN(2)/2)*BL30*BO30*VLOOKUP('Données projet'!$B$11,Paramètres!$A$1:$I$89,3,0)*0.475*44/12</f>
        <v>4.4560185074175642</v>
      </c>
      <c r="BS30" s="24">
        <f t="shared" si="9"/>
        <v>22.865074056766627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32.200000000000003</v>
      </c>
      <c r="N31" s="14">
        <f>IF('Données projet'!$A$36&gt;35,N30+M31-V30,IF(A31&lt;'Données projet'!$A$36,$K$205^A31,IF(A31='Données projet'!$A$36,'Données projet'!$B$36,N30+M31-V30)))</f>
        <v>321.59999999999997</v>
      </c>
      <c r="O31" s="14">
        <f>N31*VLOOKUP('Données projet'!$B$9,Paramètres!$A$1:$I$89,3,0)*VLOOKUP('Données projet'!$B$9,Paramètres!$A$1:$I$89,5,0)</f>
        <v>179.77439999999999</v>
      </c>
      <c r="P31" s="14">
        <f t="shared" si="33"/>
        <v>45.271990660094822</v>
      </c>
      <c r="Q31" s="22">
        <f t="shared" si="2"/>
        <v>391.9557970663318</v>
      </c>
      <c r="R31" s="62">
        <f t="shared" si="0"/>
        <v>685.28913039966505</v>
      </c>
      <c r="S31" s="62">
        <f ca="1">AVERAGE(OFFSET($R$3,0,0,'Données projet'!$E$9+1,1))-AVERAGE(OFFSET($H$3,0,0,'Données projet'!$E$9+1,1))</f>
        <v>500.52921520843432</v>
      </c>
      <c r="T31" s="62">
        <f t="shared" si="34"/>
        <v>430.43167430170087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11.279268380481307</v>
      </c>
      <c r="AA31" s="23">
        <f>EXP(-LN(2)/25)*AA30+(1-EXP(-LN(2)/25))/(LN(2)/25)*Calculateur!V31*Calculateur!X31*VLOOKUP('Données projet'!$B$9,Paramètres!$A$1:$I$89,3,0)*0.475*44/12</f>
        <v>31.844405216365459</v>
      </c>
      <c r="AB31" s="23">
        <f>EXP(-LN(2)/2)*AB30+(1-EXP(-LN(2)/2))/(LN(2)/2)*V31*Y31*VLOOKUP('Données projet'!$B$9,Paramètres!$A$1:$I$89,3,0)*0.475*44/12</f>
        <v>7.2443677061601184</v>
      </c>
      <c r="AC31" s="24">
        <f t="shared" si="3"/>
        <v>50.368041303006883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</v>
      </c>
      <c r="AI31" s="14">
        <f>IF('Données projet'!$A$62&gt;35,AI30+AH31-AQ30,IF(A31&lt;'Données projet'!$A$62,$AF$205^A31,IF(A31='Données projet'!$A$62,'Données projet'!$B$62,AI30+AH31-AQ30)))</f>
        <v>188</v>
      </c>
      <c r="AJ31" s="14">
        <f>AI31*VLOOKUP('Données projet'!$B$10,Paramètres!$A$1:$I$89,3,0)*VLOOKUP('Données projet'!$B$10,Paramètres!$A$1:$I$89,5,0)</f>
        <v>87.983999999999995</v>
      </c>
      <c r="AK31" s="14">
        <f t="shared" si="35"/>
        <v>24.078375128721785</v>
      </c>
      <c r="AL31" s="22">
        <f t="shared" si="4"/>
        <v>195.17530334919044</v>
      </c>
      <c r="AM31" s="62">
        <f t="shared" si="5"/>
        <v>488.50863668252373</v>
      </c>
      <c r="AN31" s="62">
        <f ca="1">AVERAGE(OFFSET($AM$3,0,0,'Données projet'!$E$10+1,1))-AVERAGE(OFFSET($H$3,0,0,'Données projet'!$E$10+1,1))</f>
        <v>265.57412766850422</v>
      </c>
      <c r="AO31" s="62">
        <f t="shared" si="36"/>
        <v>179.39213799913273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6.1029801945714182</v>
      </c>
      <c r="AW31" s="23">
        <f>EXP(-LN(2)/2)*AW30+(1-EXP(-LN(2)/2))/(LN(2)/2)*AQ31*AT31*VLOOKUP('Données projet'!$B$10,Paramètres!$A$1:$I$89,3,0)*0.475*44/12</f>
        <v>0.58287318676662492</v>
      </c>
      <c r="AX31" s="23">
        <f t="shared" si="6"/>
        <v>6.6858533813380427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20.86333333333334</v>
      </c>
      <c r="BD31" s="13">
        <f>IF('Données projet'!$A$88&gt;35,BD30+BC31-BL30,IF(A31&lt;'Données projet'!$A$88,$BA$205^A31,IF(A31='Données projet'!$A$88,'Données projet'!$B$88,BD30+BC31-BL30)))</f>
        <v>218.37333333333339</v>
      </c>
      <c r="BE31" s="14">
        <f>BD31*VLOOKUP('Données projet'!$B$11,Paramètres!$A$1:$I$89,3,0)*VLOOKUP('Données projet'!$B$11,Paramètres!$A$1:$I$89,5,0)</f>
        <v>130.58725333333339</v>
      </c>
      <c r="BF31" s="14">
        <f t="shared" si="37"/>
        <v>34.132020719394767</v>
      </c>
      <c r="BG31" s="22">
        <f t="shared" si="7"/>
        <v>286.8860689751682</v>
      </c>
      <c r="BH31" s="62">
        <f t="shared" si="8"/>
        <v>580.21940230850146</v>
      </c>
      <c r="BI31" s="62">
        <f ca="1">AVERAGE(OFFSET($BH$3,0,0,'Données projet'!$E$11+1,1))-AVERAGE(OFFSET($H$3,0,0,'Données projet'!$E$11+1,1))</f>
        <v>361.81625684745416</v>
      </c>
      <c r="BJ31" s="62">
        <f t="shared" si="38"/>
        <v>302.25424592654684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5.7340742000162264</v>
      </c>
      <c r="BQ31" s="23">
        <f>EXP(-LN(2)/25)*BQ30+(1-EXP(-LN(2)/25))/(LN(2)/25)*Calculateur!BL31*Calculateur!BN31*VLOOKUP('Données projet'!$B$11,Paramètres!$A$1:$I$89,3,0)*0.475*44/12</f>
        <v>12.216828828811883</v>
      </c>
      <c r="BR31" s="23">
        <f>EXP(-LN(2)/2)*BR30+(1-EXP(-LN(2)/2))/(LN(2)/2)*BL31*BO31*VLOOKUP('Données projet'!$B$11,Paramètres!$A$1:$I$89,3,0)*0.475*44/12</f>
        <v>3.1508809036877179</v>
      </c>
      <c r="BS31" s="24">
        <f t="shared" si="9"/>
        <v>21.101783932515826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32.200000000000003</v>
      </c>
      <c r="N32" s="14">
        <f>IF('Données projet'!$A$36&gt;35,N31+M32-V31,IF(A32&lt;'Données projet'!$A$36,$K$205^A32,IF(A32='Données projet'!$A$36,'Données projet'!$B$36,N31+M32-V31)))</f>
        <v>353.79999999999995</v>
      </c>
      <c r="O32" s="14">
        <f>N32*VLOOKUP('Données projet'!$B$9,Paramètres!$A$1:$I$89,3,0)*VLOOKUP('Données projet'!$B$9,Paramètres!$A$1:$I$89,5,0)</f>
        <v>197.77419999999998</v>
      </c>
      <c r="P32" s="14">
        <f t="shared" si="33"/>
        <v>49.254686098708028</v>
      </c>
      <c r="Q32" s="22">
        <f t="shared" si="2"/>
        <v>430.24197662191642</v>
      </c>
      <c r="R32" s="62">
        <f t="shared" si="0"/>
        <v>723.57530995524974</v>
      </c>
      <c r="S32" s="62">
        <f ca="1">AVERAGE(OFFSET($R$3,0,0,'Données projet'!$E$9+1,1))-AVERAGE(OFFSET($H$3,0,0,'Données projet'!$E$9+1,1))</f>
        <v>500.52921520843432</v>
      </c>
      <c r="T32" s="62">
        <f t="shared" si="34"/>
        <v>430.43167430170087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11.058088807214469</v>
      </c>
      <c r="AA32" s="23">
        <f>EXP(-LN(2)/25)*AA31+(1-EXP(-LN(2)/25))/(LN(2)/25)*Calculateur!V32*Calculateur!X32*VLOOKUP('Données projet'!$B$9,Paramètres!$A$1:$I$89,3,0)*0.475*44/12</f>
        <v>30.973618281099455</v>
      </c>
      <c r="AB32" s="23">
        <f>EXP(-LN(2)/2)*AB31+(1-EXP(-LN(2)/2))/(LN(2)/2)*V32*Y32*VLOOKUP('Données projet'!$B$9,Paramètres!$A$1:$I$89,3,0)*0.475*44/12</f>
        <v>5.1225415304346544</v>
      </c>
      <c r="AC32" s="24">
        <f t="shared" si="3"/>
        <v>47.154248618748575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</v>
      </c>
      <c r="AI32" s="14">
        <f>IF('Données projet'!$A$62&gt;35,AI31+AH32-AQ31,IF(A32&lt;'Données projet'!$A$62,$AF$205^A32,IF(A32='Données projet'!$A$62,'Données projet'!$B$62,AI31+AH32-AQ31)))</f>
        <v>199</v>
      </c>
      <c r="AJ32" s="14">
        <f>AI32*VLOOKUP('Données projet'!$B$10,Paramètres!$A$1:$I$89,3,0)*VLOOKUP('Données projet'!$B$10,Paramètres!$A$1:$I$89,5,0)</f>
        <v>93.132000000000005</v>
      </c>
      <c r="AK32" s="14">
        <f t="shared" si="35"/>
        <v>25.319077548810455</v>
      </c>
      <c r="AL32" s="22">
        <f t="shared" si="4"/>
        <v>206.30229339751153</v>
      </c>
      <c r="AM32" s="62">
        <f t="shared" si="5"/>
        <v>499.63562673084482</v>
      </c>
      <c r="AN32" s="62">
        <f ca="1">AVERAGE(OFFSET($AM$3,0,0,'Données projet'!$E$10+1,1))-AVERAGE(OFFSET($H$3,0,0,'Données projet'!$E$10+1,1))</f>
        <v>265.57412766850422</v>
      </c>
      <c r="AO32" s="62">
        <f t="shared" si="36"/>
        <v>179.39213799913273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5.936093880209083</v>
      </c>
      <c r="AW32" s="23">
        <f>EXP(-LN(2)/2)*AW31+(1-EXP(-LN(2)/2))/(LN(2)/2)*AQ32*AT32*VLOOKUP('Données projet'!$B$10,Paramètres!$A$1:$I$89,3,0)*0.475*44/12</f>
        <v>0.4121535829344935</v>
      </c>
      <c r="AX32" s="23">
        <f t="shared" si="6"/>
        <v>6.3482474631435766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20.86333333333334</v>
      </c>
      <c r="BD32" s="13">
        <f>IF('Données projet'!$A$88&gt;35,BD31+BC32-BL31,IF(A32&lt;'Données projet'!$A$88,$BA$205^A32,IF(A32='Données projet'!$A$88,'Données projet'!$B$88,BD31+BC32-BL31)))</f>
        <v>239.23666666666674</v>
      </c>
      <c r="BE32" s="14">
        <f>BD32*VLOOKUP('Données projet'!$B$11,Paramètres!$A$1:$I$89,3,0)*VLOOKUP('Données projet'!$B$11,Paramètres!$A$1:$I$89,5,0)</f>
        <v>143.06352666666672</v>
      </c>
      <c r="BF32" s="14">
        <f t="shared" si="37"/>
        <v>36.997929837448268</v>
      </c>
      <c r="BG32" s="22">
        <f t="shared" si="7"/>
        <v>313.60703674466691</v>
      </c>
      <c r="BH32" s="62">
        <f t="shared" si="8"/>
        <v>606.94037007800023</v>
      </c>
      <c r="BI32" s="62">
        <f ca="1">AVERAGE(OFFSET($BH$3,0,0,'Données projet'!$E$11+1,1))-AVERAGE(OFFSET($H$3,0,0,'Données projet'!$E$11+1,1))</f>
        <v>361.81625684745416</v>
      </c>
      <c r="BJ32" s="62">
        <f t="shared" si="38"/>
        <v>302.25424592654684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5.6216325023938269</v>
      </c>
      <c r="BQ32" s="23">
        <f>EXP(-LN(2)/25)*BQ31+(1-EXP(-LN(2)/25))/(LN(2)/25)*Calculateur!BL32*Calculateur!BN32*VLOOKUP('Données projet'!$B$11,Paramètres!$A$1:$I$89,3,0)*0.475*44/12</f>
        <v>11.882759002032916</v>
      </c>
      <c r="BR32" s="23">
        <f>EXP(-LN(2)/2)*BR31+(1-EXP(-LN(2)/2))/(LN(2)/2)*BL32*BO32*VLOOKUP('Données projet'!$B$11,Paramètres!$A$1:$I$89,3,0)*0.475*44/12</f>
        <v>2.2280092537087826</v>
      </c>
      <c r="BS32" s="24">
        <f t="shared" si="9"/>
        <v>19.732400758135526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386</v>
      </c>
      <c r="L33" s="13">
        <f>VLOOKUP(A33,'Données projet'!$A$35:$I$55,9,0)</f>
        <v>32.200000000000003</v>
      </c>
      <c r="M33" s="13">
        <f t="array" ref="M33">INDEX(L:L,MIN(IF(ISNUMBER(L33:L229),ROW(L33:L229),"")))</f>
        <v>32.200000000000003</v>
      </c>
      <c r="N33" s="14">
        <f>IF('Données projet'!$A$36&gt;35,N32+M33-V32,IF(A33&lt;'Données projet'!$A$36,$K$205^A33,IF(A33='Données projet'!$A$36,'Données projet'!$B$36,N32+M33-V32)))</f>
        <v>385.99999999999994</v>
      </c>
      <c r="O33" s="14">
        <f>N33*VLOOKUP('Données projet'!$B$9,Paramètres!$A$1:$I$89,3,0)*VLOOKUP('Données projet'!$B$9,Paramètres!$A$1:$I$89,5,0)</f>
        <v>215.77399999999994</v>
      </c>
      <c r="P33" s="14">
        <f t="shared" si="33"/>
        <v>53.195351229765876</v>
      </c>
      <c r="Q33" s="22">
        <f t="shared" si="2"/>
        <v>468.45495339184208</v>
      </c>
      <c r="R33" s="62">
        <f t="shared" si="0"/>
        <v>761.78828672517534</v>
      </c>
      <c r="S33" s="62">
        <f ca="1">AVERAGE(OFFSET($R$3,0,0,'Données projet'!$E$9+1,1))-AVERAGE(OFFSET($H$3,0,0,'Données projet'!$E$9+1,1))</f>
        <v>500.52921520843432</v>
      </c>
      <c r="T33" s="62">
        <f t="shared" si="34"/>
        <v>430.43167430170087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77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0.18700000000000003</v>
      </c>
      <c r="Y33" s="17">
        <f>IF(ISNA(VLOOKUP(A33,'Données projet'!$A$35:$I$55,7,0)),0%,VLOOKUP(A33,'Données projet'!$A$35:$I$55,7,0))</f>
        <v>0.26</v>
      </c>
      <c r="Z33" s="23">
        <f>EXP(-LN(2)/35)*Z32+(1-EXP(-LN(2)/35))/(LN(2)/35)*V33*W33*VLOOKUP('Données projet'!$B$9,Paramètres!$A$1:$I$89,3,0)*0.475*44/12</f>
        <v>23.403095478679681</v>
      </c>
      <c r="AA33" s="23">
        <f>EXP(-LN(2)/25)*AA32+(1-EXP(-LN(2)/25))/(LN(2)/25)*Calculateur!V33*Calculateur!X33*VLOOKUP('Données projet'!$B$9,Paramètres!$A$1:$I$89,3,0)*0.475*44/12</f>
        <v>40.762173083125383</v>
      </c>
      <c r="AB33" s="23">
        <f>EXP(-LN(2)/2)*AB32+(1-EXP(-LN(2)/2))/(LN(2)/2)*V33*Y33*VLOOKUP('Données projet'!$B$9,Paramètres!$A$1:$I$89,3,0)*0.475*44/12</f>
        <v>16.293199296512292</v>
      </c>
      <c r="AC33" s="24">
        <f t="shared" si="3"/>
        <v>80.458467858317363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210</v>
      </c>
      <c r="AG33" s="13">
        <f>VLOOKUP(A33,'Données projet'!$A$61:$I$81,9,0)</f>
        <v>11</v>
      </c>
      <c r="AH33" s="13">
        <f t="array" ref="AH33">INDEX(AG:AG,MIN(IF(ISNUMBER(AG33:AG229),ROW(AG33:AG229),"")))</f>
        <v>11</v>
      </c>
      <c r="AI33" s="14">
        <f>IF('Données projet'!$A$62&gt;35,AI32+AH33-AQ32,IF(A33&lt;'Données projet'!$A$62,$AF$205^A33,IF(A33='Données projet'!$A$62,'Données projet'!$B$62,AI32+AH33-AQ32)))</f>
        <v>210</v>
      </c>
      <c r="AJ33" s="14">
        <f>AI33*VLOOKUP('Données projet'!$B$10,Paramètres!$A$1:$I$89,3,0)*VLOOKUP('Données projet'!$B$10,Paramètres!$A$1:$I$89,5,0)</f>
        <v>98.28</v>
      </c>
      <c r="AK33" s="14">
        <f t="shared" si="35"/>
        <v>26.551818424463473</v>
      </c>
      <c r="AL33" s="22">
        <f t="shared" si="4"/>
        <v>217.41541708927389</v>
      </c>
      <c r="AM33" s="62">
        <f t="shared" si="5"/>
        <v>510.7487504226072</v>
      </c>
      <c r="AN33" s="62">
        <f ca="1">AVERAGE(OFFSET($AM$3,0,0,'Données projet'!$E$10+1,1))-AVERAGE(OFFSET($H$3,0,0,'Données projet'!$E$10+1,1))</f>
        <v>265.57412766850422</v>
      </c>
      <c r="AO33" s="62">
        <f t="shared" si="36"/>
        <v>179.39213799913273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50</v>
      </c>
      <c r="AR33" s="17">
        <f>IF(ISNA(VLOOKUP(A33,'Données projet'!$A$61:$I$81,5,0)),0%,VLOOKUP(A33,'Données projet'!$A$61:$I$81,5,0)*VLOOKUP('Données projet'!$B$10,Paramètres!$A$1:$I$89,7,0))</f>
        <v>0.11000000000000001</v>
      </c>
      <c r="AS33" s="17">
        <f>IF(ISNA(VLOOKUP(A33,'Données projet'!$A$61:$I$81,6,0)),0%,VLOOKUP(A33,'Données projet'!$A$61:$I$81,6,0)*VLOOKUP('Données projet'!$B$10,Paramètres!$A$1:$I$89,7,0))</f>
        <v>0.24750000000000003</v>
      </c>
      <c r="AT33" s="17">
        <f>IF(ISNA(VLOOKUP(A33,'Données projet'!$A$61:$I$81,7,0)),0%,VLOOKUP(A33,'Données projet'!$A$61:$I$81,7,0))</f>
        <v>0.35</v>
      </c>
      <c r="AU33" s="23">
        <f>EXP(-LN(2)/35)*AU32+(1-EXP(-LN(2)/35))/(LN(2)/35)*AQ33*AR33*VLOOKUP('Données projet'!$B$10,Paramètres!$A$1:$I$89,3,0)*0.475*44/12</f>
        <v>3.4145769083013771</v>
      </c>
      <c r="AV33" s="23">
        <f>EXP(-LN(2)/25)*AV32+(1-EXP(-LN(2)/25))/(LN(2)/25)*Calculateur!AQ33*Calculateur!AS33*VLOOKUP('Données projet'!$B$10,Paramètres!$A$1:$I$89,3,0)*0.475*44/12</f>
        <v>13.426319021293734</v>
      </c>
      <c r="AW33" s="23">
        <f>EXP(-LN(2)/2)*AW32+(1-EXP(-LN(2)/2))/(LN(2)/2)*AQ33*AT33*VLOOKUP('Données projet'!$B$10,Paramètres!$A$1:$I$89,3,0)*0.475*44/12</f>
        <v>9.5644191101250673</v>
      </c>
      <c r="AX33" s="23">
        <f t="shared" si="6"/>
        <v>26.405315039720179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260.10000000000002</v>
      </c>
      <c r="BB33" s="13">
        <f>VLOOKUP(A33,'Données projet'!$A$87:$I$107,9,0)</f>
        <v>20.86333333333334</v>
      </c>
      <c r="BC33" s="13">
        <f t="array" ref="BC33">INDEX(BB:BB,MIN(IF(ISNUMBER(BB33:BB229),ROW(BB33:BB229),"")))</f>
        <v>20.86333333333334</v>
      </c>
      <c r="BD33" s="13">
        <f>IF('Données projet'!$A$88&gt;35,BD32+BC33-BL32,IF(A33&lt;'Données projet'!$A$88,$BA$205^A33,IF(A33='Données projet'!$A$88,'Données projet'!$B$88,BD32+BC33-BL32)))</f>
        <v>260.10000000000008</v>
      </c>
      <c r="BE33" s="14">
        <f>BD33*VLOOKUP('Données projet'!$B$11,Paramètres!$A$1:$I$89,3,0)*VLOOKUP('Données projet'!$B$11,Paramètres!$A$1:$I$89,5,0)</f>
        <v>155.53980000000007</v>
      </c>
      <c r="BF33" s="14">
        <f t="shared" si="37"/>
        <v>39.834855511973885</v>
      </c>
      <c r="BG33" s="22">
        <f t="shared" si="7"/>
        <v>340.27752501668795</v>
      </c>
      <c r="BH33" s="62">
        <f t="shared" si="8"/>
        <v>633.61085835002132</v>
      </c>
      <c r="BI33" s="62">
        <f ca="1">AVERAGE(OFFSET($BH$3,0,0,'Données projet'!$E$11+1,1))-AVERAGE(OFFSET($H$3,0,0,'Données projet'!$E$11+1,1))</f>
        <v>361.81625684745416</v>
      </c>
      <c r="BJ33" s="62">
        <f t="shared" si="38"/>
        <v>302.25424592654684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66.989999999999995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0.15300000000000002</v>
      </c>
      <c r="BO33" s="17">
        <f>IF(ISNA(VLOOKUP(A33,'Données projet'!$A$87:$I$107,7,0)),0%,VLOOKUP(A33,'Données projet'!$A$87:$I$107,7,0))</f>
        <v>0.26</v>
      </c>
      <c r="BP33" s="23">
        <f>EXP(-LN(2)/35)*BP32+(1-EXP(-LN(2)/35))/(LN(2)/35)*BL33*BM33*VLOOKUP('Données projet'!$B$11,Paramètres!$A$1:$I$89,3,0)*0.475*44/12</f>
        <v>15.076991468794617</v>
      </c>
      <c r="BQ33" s="23">
        <f>EXP(-LN(2)/25)*BQ32+(1-EXP(-LN(2)/25))/(LN(2)/25)*Calculateur!BL33*Calculateur!BN33*VLOOKUP('Données projet'!$B$11,Paramètres!$A$1:$I$89,3,0)*0.475*44/12</f>
        <v>19.656566834551626</v>
      </c>
      <c r="BR33" s="23">
        <f>EXP(-LN(2)/2)*BR32+(1-EXP(-LN(2)/2))/(LN(2)/2)*BL33*BO33*VLOOKUP('Données projet'!$B$11,Paramètres!$A$1:$I$89,3,0)*0.475*44/12</f>
        <v>13.368325057568462</v>
      </c>
      <c r="BS33" s="24">
        <f t="shared" si="9"/>
        <v>48.101883360914705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31.2</v>
      </c>
      <c r="N34" s="14">
        <f>IF('Données projet'!$A$36&gt;35,N33+M34-V33,IF(A34&lt;'Données projet'!$A$36,$K$205^A34,IF(A34='Données projet'!$A$36,'Données projet'!$B$36,N33+M34-V33)))</f>
        <v>340.19999999999993</v>
      </c>
      <c r="O34" s="14">
        <f>N34*VLOOKUP('Données projet'!$B$9,Paramètres!$A$1:$I$89,3,0)*VLOOKUP('Données projet'!$B$9,Paramètres!$A$1:$I$89,5,0)</f>
        <v>190.17179999999996</v>
      </c>
      <c r="P34" s="14">
        <f t="shared" si="33"/>
        <v>47.577933393813915</v>
      </c>
      <c r="Q34" s="22">
        <f t="shared" si="2"/>
        <v>414.08078566089245</v>
      </c>
      <c r="R34" s="62">
        <f t="shared" si="0"/>
        <v>707.41411899422576</v>
      </c>
      <c r="S34" s="62">
        <f ca="1">AVERAGE(OFFSET($R$3,0,0,'Données projet'!$E$9+1,1))-AVERAGE(OFFSET($H$3,0,0,'Données projet'!$E$9+1,1))</f>
        <v>500.52921520843432</v>
      </c>
      <c r="T34" s="62">
        <f t="shared" si="34"/>
        <v>430.43167430170087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22.944175050821528</v>
      </c>
      <c r="AA34" s="23">
        <f>EXP(-LN(2)/25)*AA33+(1-EXP(-LN(2)/25))/(LN(2)/25)*Calculateur!V34*Calculateur!X34*VLOOKUP('Données projet'!$B$9,Paramètres!$A$1:$I$89,3,0)*0.475*44/12</f>
        <v>39.647529316577803</v>
      </c>
      <c r="AB34" s="23">
        <f>EXP(-LN(2)/2)*AB33+(1-EXP(-LN(2)/2))/(LN(2)/2)*V34*Y34*VLOOKUP('Données projet'!$B$9,Paramètres!$A$1:$I$89,3,0)*0.475*44/12</f>
        <v>11.521031709787728</v>
      </c>
      <c r="AC34" s="24">
        <f t="shared" si="3"/>
        <v>74.112736077187066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174</v>
      </c>
      <c r="AJ34" s="14">
        <f>AI34*VLOOKUP('Données projet'!$B$10,Paramètres!$A$1:$I$89,3,0)*VLOOKUP('Données projet'!$B$10,Paramètres!$A$1:$I$89,5,0)</f>
        <v>81.432000000000002</v>
      </c>
      <c r="AK34" s="14">
        <f t="shared" si="35"/>
        <v>22.486953220240881</v>
      </c>
      <c r="AL34" s="22">
        <f t="shared" si="4"/>
        <v>180.99217685858619</v>
      </c>
      <c r="AM34" s="62">
        <f t="shared" si="5"/>
        <v>474.32551019191953</v>
      </c>
      <c r="AN34" s="62">
        <f ca="1">AVERAGE(OFFSET($AM$3,0,0,'Données projet'!$E$10+1,1))-AVERAGE(OFFSET($H$3,0,0,'Données projet'!$E$10+1,1))</f>
        <v>265.57412766850422</v>
      </c>
      <c r="AO34" s="62">
        <f t="shared" si="36"/>
        <v>179.39213799913273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3.3476191378158529</v>
      </c>
      <c r="AV34" s="23">
        <f>EXP(-LN(2)/25)*AV33+(1-EXP(-LN(2)/25))/(LN(2)/25)*Calculateur!AQ34*Calculateur!AS34*VLOOKUP('Données projet'!$B$10,Paramètres!$A$1:$I$89,3,0)*0.475*44/12</f>
        <v>13.059175621597026</v>
      </c>
      <c r="AW34" s="23">
        <f>EXP(-LN(2)/2)*AW33+(1-EXP(-LN(2)/2))/(LN(2)/2)*AQ34*AT34*VLOOKUP('Données projet'!$B$10,Paramètres!$A$1:$I$89,3,0)*0.475*44/12</f>
        <v>6.7630656108796403</v>
      </c>
      <c r="AX34" s="23">
        <f t="shared" si="6"/>
        <v>23.169860370292518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18.61999999999999</v>
      </c>
      <c r="BD34" s="13">
        <f>IF('Données projet'!$A$88&gt;35,BD33+BC34-BL33,IF(A34&lt;'Données projet'!$A$88,$BA$205^A34,IF(A34='Données projet'!$A$88,'Données projet'!$B$88,BD33+BC34-BL33)))</f>
        <v>211.73000000000008</v>
      </c>
      <c r="BE34" s="14">
        <f>BD34*VLOOKUP('Données projet'!$B$11,Paramètres!$A$1:$I$89,3,0)*VLOOKUP('Données projet'!$B$11,Paramètres!$A$1:$I$89,5,0)</f>
        <v>126.61454000000005</v>
      </c>
      <c r="BF34" s="14">
        <f t="shared" si="37"/>
        <v>33.21288161570979</v>
      </c>
      <c r="BG34" s="22">
        <f t="shared" si="7"/>
        <v>278.36609264736131</v>
      </c>
      <c r="BH34" s="62">
        <f t="shared" si="8"/>
        <v>571.69942598069463</v>
      </c>
      <c r="BI34" s="62">
        <f ca="1">AVERAGE(OFFSET($BH$3,0,0,'Données projet'!$E$11+1,1))-AVERAGE(OFFSET($H$3,0,0,'Données projet'!$E$11+1,1))</f>
        <v>361.81625684745416</v>
      </c>
      <c r="BJ34" s="62">
        <f t="shared" si="38"/>
        <v>302.25424592654684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14.781340862148316</v>
      </c>
      <c r="BQ34" s="23">
        <f>EXP(-LN(2)/25)*BQ33+(1-EXP(-LN(2)/25))/(LN(2)/25)*Calculateur!BL34*Calculateur!BN34*VLOOKUP('Données projet'!$B$11,Paramètres!$A$1:$I$89,3,0)*0.475*44/12</f>
        <v>19.119056980766889</v>
      </c>
      <c r="BR34" s="23">
        <f>EXP(-LN(2)/2)*BR33+(1-EXP(-LN(2)/2))/(LN(2)/2)*BL34*BO34*VLOOKUP('Données projet'!$B$11,Paramètres!$A$1:$I$89,3,0)*0.475*44/12</f>
        <v>9.4528333013127046</v>
      </c>
      <c r="BS34" s="24">
        <f t="shared" si="9"/>
        <v>43.353231144227905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31.2</v>
      </c>
      <c r="N35" s="14">
        <f>IF('Données projet'!$A$36&gt;35,N34+M35-V34,IF(A35&lt;'Données projet'!$A$36,$K$205^A35,IF(A35='Données projet'!$A$36,'Données projet'!$B$36,N34+M35-V34)))</f>
        <v>371.39999999999992</v>
      </c>
      <c r="O35" s="14">
        <f>N35*VLOOKUP('Données projet'!$B$9,Paramètres!$A$1:$I$89,3,0)*VLOOKUP('Données projet'!$B$9,Paramètres!$A$1:$I$89,5,0)</f>
        <v>207.61259999999996</v>
      </c>
      <c r="P35" s="14">
        <f t="shared" si="33"/>
        <v>51.413532075123662</v>
      </c>
      <c r="Q35" s="22">
        <f t="shared" ref="Q35:Q66" si="53">(O35+P35)*0.475*44/12</f>
        <v>451.13718003084023</v>
      </c>
      <c r="R35" s="62">
        <f t="shared" si="0"/>
        <v>744.47051336417348</v>
      </c>
      <c r="S35" s="62">
        <f ca="1">AVERAGE(OFFSET($R$3,0,0,'Données projet'!$E$9+1,1))-AVERAGE(OFFSET($H$3,0,0,'Données projet'!$E$9+1,1))</f>
        <v>500.52921520843432</v>
      </c>
      <c r="T35" s="62">
        <f t="shared" si="34"/>
        <v>430.43167430170087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22.494253772639851</v>
      </c>
      <c r="AA35" s="23">
        <f>EXP(-LN(2)/25)*AA34+(1-EXP(-LN(2)/25))/(LN(2)/25)*Calculateur!V35*Calculateur!X35*VLOOKUP('Données projet'!$B$9,Paramètres!$A$1:$I$89,3,0)*0.475*44/12</f>
        <v>38.56336554244303</v>
      </c>
      <c r="AB35" s="23">
        <f>EXP(-LN(2)/2)*AB34+(1-EXP(-LN(2)/2))/(LN(2)/2)*V35*Y35*VLOOKUP('Données projet'!$B$9,Paramètres!$A$1:$I$89,3,0)*0.475*44/12</f>
        <v>8.1465996482561476</v>
      </c>
      <c r="AC35" s="24">
        <f t="shared" si="3"/>
        <v>69.204218963339031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188</v>
      </c>
      <c r="AJ35" s="14">
        <f>AI35*VLOOKUP('Données projet'!$B$10,Paramètres!$A$1:$I$89,3,0)*VLOOKUP('Données projet'!$B$10,Paramètres!$A$1:$I$89,5,0)</f>
        <v>87.983999999999995</v>
      </c>
      <c r="AK35" s="14">
        <f t="shared" si="35"/>
        <v>24.078375128721785</v>
      </c>
      <c r="AL35" s="22">
        <f t="shared" si="4"/>
        <v>195.17530334919044</v>
      </c>
      <c r="AM35" s="62">
        <f t="shared" si="5"/>
        <v>488.50863668252373</v>
      </c>
      <c r="AN35" s="62">
        <f ca="1">AVERAGE(OFFSET($AM$3,0,0,'Données projet'!$E$10+1,1))-AVERAGE(OFFSET($H$3,0,0,'Données projet'!$E$10+1,1))</f>
        <v>265.57412766850422</v>
      </c>
      <c r="AO35" s="62">
        <f t="shared" si="36"/>
        <v>179.39213799913273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3.2819743683693425</v>
      </c>
      <c r="AV35" s="23">
        <f>EXP(-LN(2)/25)*AV34+(1-EXP(-LN(2)/25))/(LN(2)/25)*Calculateur!AQ35*Calculateur!AS35*VLOOKUP('Données projet'!$B$10,Paramètres!$A$1:$I$89,3,0)*0.475*44/12</f>
        <v>12.702071777472257</v>
      </c>
      <c r="AW35" s="23">
        <f>EXP(-LN(2)/2)*AW34+(1-EXP(-LN(2)/2))/(LN(2)/2)*AQ35*AT35*VLOOKUP('Données projet'!$B$10,Paramètres!$A$1:$I$89,3,0)*0.475*44/12</f>
        <v>4.7822095550625345</v>
      </c>
      <c r="AX35" s="23">
        <f t="shared" si="6"/>
        <v>20.766255700904132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>
        <f>VLOOKUP(A35,'Données projet'!$A$87:$I$107,2,0)</f>
        <v>230.35</v>
      </c>
      <c r="BB35" s="13">
        <f>VLOOKUP(A35,'Données projet'!$A$87:$I$107,9,0)</f>
        <v>18.61999999999999</v>
      </c>
      <c r="BC35" s="13">
        <f t="array" ref="BC35">INDEX(BB:BB,MIN(IF(ISNUMBER(BB35:BB231),ROW(BB35:BB231),"")))</f>
        <v>18.61999999999999</v>
      </c>
      <c r="BD35" s="13">
        <f>IF('Données projet'!$A$88&gt;35,BD34+BC35-BL34,IF(A35&lt;'Données projet'!$A$88,$BA$205^A35,IF(A35='Données projet'!$A$88,'Données projet'!$B$88,BD34+BC35-BL34)))</f>
        <v>230.35000000000008</v>
      </c>
      <c r="BE35" s="14">
        <f>BD35*VLOOKUP('Données projet'!$B$11,Paramètres!$A$1:$I$89,3,0)*VLOOKUP('Données projet'!$B$11,Paramètres!$A$1:$I$89,5,0)</f>
        <v>137.74930000000006</v>
      </c>
      <c r="BF35" s="14">
        <f t="shared" si="37"/>
        <v>35.780916395737023</v>
      </c>
      <c r="BG35" s="22">
        <f t="shared" si="7"/>
        <v>302.23179355590872</v>
      </c>
      <c r="BH35" s="62">
        <f t="shared" si="8"/>
        <v>595.56512688924204</v>
      </c>
      <c r="BI35" s="62">
        <f ca="1">AVERAGE(OFFSET($BH$3,0,0,'Données projet'!$E$11+1,1))-AVERAGE(OFFSET($H$3,0,0,'Données projet'!$E$11+1,1))</f>
        <v>361.81625684745416</v>
      </c>
      <c r="BJ35" s="62">
        <f t="shared" si="38"/>
        <v>302.25424592654684</v>
      </c>
      <c r="BK35" s="16">
        <f>IF(ISNA(VLOOKUP(A35,'Données projet'!$A$87:$I$107,3,0)),0,VLOOKUP(A35,'Données projet'!$A$87:$I$107,3,0))</f>
        <v>5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0.18000000000000002</v>
      </c>
      <c r="BN35" s="17">
        <f>IF(ISNA(VLOOKUP(A35,'Données projet'!$A$87:$I$107,6,0)),0%,VLOOKUP(A35,'Données projet'!$A$87:$I$107,6,0)*VLOOKUP('Données projet'!$B$11,Paramètres!$A$1:$I$89,7,0))</f>
        <v>0.15300000000000002</v>
      </c>
      <c r="BO35" s="17">
        <f>IF(ISNA(VLOOKUP(A35,'Données projet'!$A$87:$I$107,7,0)),0%,VLOOKUP(A35,'Données projet'!$A$87:$I$107,7,0))</f>
        <v>0.26</v>
      </c>
      <c r="BP35" s="23">
        <f>EXP(-LN(2)/35)*BP34+(1-EXP(-LN(2)/35))/(LN(2)/35)*BL35*BM35*VLOOKUP('Données projet'!$B$11,Paramètres!$A$1:$I$89,3,0)*0.475*44/12</f>
        <v>14.491487783569283</v>
      </c>
      <c r="BQ35" s="23">
        <f>EXP(-LN(2)/25)*BQ34+(1-EXP(-LN(2)/25))/(LN(2)/25)*Calculateur!BL35*Calculateur!BN35*VLOOKUP('Données projet'!$B$11,Paramètres!$A$1:$I$89,3,0)*0.475*44/12</f>
        <v>18.59624536220031</v>
      </c>
      <c r="BR35" s="23">
        <f>EXP(-LN(2)/2)*BR34+(1-EXP(-LN(2)/2))/(LN(2)/2)*BL35*BO35*VLOOKUP('Données projet'!$B$11,Paramètres!$A$1:$I$89,3,0)*0.475*44/12</f>
        <v>6.684162528784233</v>
      </c>
      <c r="BS35" s="24">
        <f t="shared" si="9"/>
        <v>39.771895674553825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31.2</v>
      </c>
      <c r="N36" s="14">
        <f>IF('Données projet'!$A$36&gt;35,N35+M36-V35,IF(A36&lt;'Données projet'!$A$36,$K$205^A36,IF(A36='Données projet'!$A$36,'Données projet'!$B$36,N35+M36-V35)))</f>
        <v>402.59999999999991</v>
      </c>
      <c r="O36" s="14">
        <f>N36*VLOOKUP('Données projet'!$B$9,Paramètres!$A$1:$I$89,3,0)*VLOOKUP('Données projet'!$B$9,Paramètres!$A$1:$I$89,5,0)</f>
        <v>225.05339999999995</v>
      </c>
      <c r="P36" s="14">
        <f t="shared" si="33"/>
        <v>55.211761334413396</v>
      </c>
      <c r="Q36" s="22">
        <f t="shared" si="53"/>
        <v>488.12848932410321</v>
      </c>
      <c r="R36" s="62">
        <f t="shared" si="0"/>
        <v>781.46182265743653</v>
      </c>
      <c r="S36" s="62">
        <f ca="1">AVERAGE(OFFSET($R$3,0,0,'Données projet'!$E$9+1,1))-AVERAGE(OFFSET($H$3,0,0,'Données projet'!$E$9+1,1))</f>
        <v>500.52921520843432</v>
      </c>
      <c r="T36" s="62">
        <f t="shared" si="34"/>
        <v>430.43167430170087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22.053155176298432</v>
      </c>
      <c r="AA36" s="23">
        <f>EXP(-LN(2)/25)*AA35+(1-EXP(-LN(2)/25))/(LN(2)/25)*Calculateur!V36*Calculateur!X36*VLOOKUP('Données projet'!$B$9,Paramètres!$A$1:$I$89,3,0)*0.475*44/12</f>
        <v>37.508848283725669</v>
      </c>
      <c r="AB36" s="23">
        <f>EXP(-LN(2)/2)*AB35+(1-EXP(-LN(2)/2))/(LN(2)/2)*V36*Y36*VLOOKUP('Données projet'!$B$9,Paramètres!$A$1:$I$89,3,0)*0.475*44/12</f>
        <v>5.7605158548938649</v>
      </c>
      <c r="AC36" s="24">
        <f t="shared" si="3"/>
        <v>65.322519314917969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202</v>
      </c>
      <c r="AJ36" s="14">
        <f>AI36*VLOOKUP('Données projet'!$B$10,Paramètres!$A$1:$I$89,3,0)*VLOOKUP('Données projet'!$B$10,Paramètres!$A$1:$I$89,5,0)</f>
        <v>94.536000000000001</v>
      </c>
      <c r="AK36" s="14">
        <f t="shared" si="35"/>
        <v>25.656048664271697</v>
      </c>
      <c r="AL36" s="22">
        <f t="shared" si="4"/>
        <v>209.33448475693987</v>
      </c>
      <c r="AM36" s="62">
        <f t="shared" si="5"/>
        <v>502.66781809027316</v>
      </c>
      <c r="AN36" s="62">
        <f ca="1">AVERAGE(OFFSET($AM$3,0,0,'Données projet'!$E$10+1,1))-AVERAGE(OFFSET($H$3,0,0,'Données projet'!$E$10+1,1))</f>
        <v>265.57412766850422</v>
      </c>
      <c r="AO36" s="62">
        <f t="shared" si="36"/>
        <v>179.39213799913273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3.2176168528123226</v>
      </c>
      <c r="AV36" s="23">
        <f>EXP(-LN(2)/25)*AV35+(1-EXP(-LN(2)/25))/(LN(2)/25)*Calculateur!AQ36*Calculateur!AS36*VLOOKUP('Données projet'!$B$10,Paramètres!$A$1:$I$89,3,0)*0.475*44/12</f>
        <v>12.354732956744355</v>
      </c>
      <c r="AW36" s="23">
        <f>EXP(-LN(2)/2)*AW35+(1-EXP(-LN(2)/2))/(LN(2)/2)*AQ36*AT36*VLOOKUP('Données projet'!$B$10,Paramètres!$A$1:$I$89,3,0)*0.475*44/12</f>
        <v>3.3815328054398206</v>
      </c>
      <c r="AX36" s="23">
        <f t="shared" si="6"/>
        <v>18.953882614996498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21.354000000000003</v>
      </c>
      <c r="BD36" s="13">
        <f>IF('Données projet'!$A$88&gt;35,BD35+BC36-BL35,IF(A36&lt;'Données projet'!$A$88,$BA$205^A36,IF(A36='Données projet'!$A$88,'Données projet'!$B$88,BD35+BC36-BL35)))</f>
        <v>251.70400000000009</v>
      </c>
      <c r="BE36" s="14">
        <f>BD36*VLOOKUP('Données projet'!$B$11,Paramètres!$A$1:$I$89,3,0)*VLOOKUP('Données projet'!$B$11,Paramètres!$A$1:$I$89,5,0)</f>
        <v>150.51899200000008</v>
      </c>
      <c r="BF36" s="14">
        <f t="shared" si="37"/>
        <v>38.696504695699332</v>
      </c>
      <c r="BG36" s="22">
        <f t="shared" si="7"/>
        <v>329.55032341167646</v>
      </c>
      <c r="BH36" s="62">
        <f t="shared" si="8"/>
        <v>622.88365674500983</v>
      </c>
      <c r="BI36" s="62">
        <f ca="1">AVERAGE(OFFSET($BH$3,0,0,'Données projet'!$E$11+1,1))-AVERAGE(OFFSET($H$3,0,0,'Données projet'!$E$11+1,1))</f>
        <v>361.81625684745416</v>
      </c>
      <c r="BJ36" s="62">
        <f t="shared" si="38"/>
        <v>302.25424592654684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14.207318547068265</v>
      </c>
      <c r="BQ36" s="23">
        <f>EXP(-LN(2)/25)*BQ35+(1-EXP(-LN(2)/25))/(LN(2)/25)*Calculateur!BL36*Calculateur!BN36*VLOOKUP('Données projet'!$B$11,Paramètres!$A$1:$I$89,3,0)*0.475*44/12</f>
        <v>18.0877300548369</v>
      </c>
      <c r="BR36" s="23">
        <f>EXP(-LN(2)/2)*BR35+(1-EXP(-LN(2)/2))/(LN(2)/2)*BL36*BO36*VLOOKUP('Données projet'!$B$11,Paramètres!$A$1:$I$89,3,0)*0.475*44/12</f>
        <v>4.7264166506563532</v>
      </c>
      <c r="BS36" s="24">
        <f t="shared" si="9"/>
        <v>37.021465252561519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31.2</v>
      </c>
      <c r="N37" s="14">
        <f>IF('Données projet'!$A$36&gt;35,N36+M37-V36,IF(A37&lt;'Données projet'!$A$36,$K$205^A37,IF(A37='Données projet'!$A$36,'Données projet'!$B$36,N36+M37-V36)))</f>
        <v>433.7999999999999</v>
      </c>
      <c r="O37" s="14">
        <f>N37*VLOOKUP('Données projet'!$B$9,Paramètres!$A$1:$I$89,3,0)*VLOOKUP('Données projet'!$B$9,Paramètres!$A$1:$I$89,5,0)</f>
        <v>242.49419999999995</v>
      </c>
      <c r="P37" s="14">
        <f t="shared" si="33"/>
        <v>58.975846428092012</v>
      </c>
      <c r="Q37" s="22">
        <f t="shared" si="53"/>
        <v>525.06033086226023</v>
      </c>
      <c r="R37" s="62">
        <f t="shared" si="0"/>
        <v>818.3936641955936</v>
      </c>
      <c r="S37" s="62">
        <f ca="1">AVERAGE(OFFSET($R$3,0,0,'Données projet'!$E$9+1,1))-AVERAGE(OFFSET($H$3,0,0,'Données projet'!$E$9+1,1))</f>
        <v>500.52921520843432</v>
      </c>
      <c r="T37" s="62">
        <f t="shared" si="34"/>
        <v>430.43167430170087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21.620706254387692</v>
      </c>
      <c r="AA37" s="23">
        <f>EXP(-LN(2)/25)*AA36+(1-EXP(-LN(2)/25))/(LN(2)/25)*Calculateur!V37*Calculateur!X37*VLOOKUP('Données projet'!$B$9,Paramètres!$A$1:$I$89,3,0)*0.475*44/12</f>
        <v>36.483166854902585</v>
      </c>
      <c r="AB37" s="23">
        <f>EXP(-LN(2)/2)*AB36+(1-EXP(-LN(2)/2))/(LN(2)/2)*V37*Y37*VLOOKUP('Données projet'!$B$9,Paramètres!$A$1:$I$89,3,0)*0.475*44/12</f>
        <v>4.0732998241280738</v>
      </c>
      <c r="AC37" s="24">
        <f t="shared" si="3"/>
        <v>62.177172933418348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216</v>
      </c>
      <c r="AJ37" s="14">
        <f>AI37*VLOOKUP('Données projet'!$B$10,Paramètres!$A$1:$I$89,3,0)*VLOOKUP('Données projet'!$B$10,Paramètres!$A$1:$I$89,5,0)</f>
        <v>101.08799999999999</v>
      </c>
      <c r="AK37" s="14">
        <f t="shared" si="35"/>
        <v>27.221035075711939</v>
      </c>
      <c r="AL37" s="22">
        <f t="shared" si="4"/>
        <v>223.47156942353161</v>
      </c>
      <c r="AM37" s="62">
        <f t="shared" si="5"/>
        <v>516.80490275686498</v>
      </c>
      <c r="AN37" s="62">
        <f ca="1">AVERAGE(OFFSET($AM$3,0,0,'Données projet'!$E$10+1,1))-AVERAGE(OFFSET($H$3,0,0,'Données projet'!$E$10+1,1))</f>
        <v>265.57412766850422</v>
      </c>
      <c r="AO37" s="62">
        <f t="shared" si="36"/>
        <v>179.39213799913273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3.154521348881167</v>
      </c>
      <c r="AV37" s="23">
        <f>EXP(-LN(2)/25)*AV36+(1-EXP(-LN(2)/25))/(LN(2)/25)*Calculateur!AQ37*Calculateur!AS37*VLOOKUP('Données projet'!$B$10,Paramètres!$A$1:$I$89,3,0)*0.475*44/12</f>
        <v>12.016892134335011</v>
      </c>
      <c r="AW37" s="23">
        <f>EXP(-LN(2)/2)*AW36+(1-EXP(-LN(2)/2))/(LN(2)/2)*AQ37*AT37*VLOOKUP('Données projet'!$B$10,Paramètres!$A$1:$I$89,3,0)*0.475*44/12</f>
        <v>2.3911047775312677</v>
      </c>
      <c r="AX37" s="23">
        <f t="shared" si="6"/>
        <v>17.562518260747446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21.354000000000003</v>
      </c>
      <c r="BD37" s="13">
        <f>IF('Données projet'!$A$88&gt;35,BD36+BC37-BL36,IF(A37&lt;'Données projet'!$A$88,$BA$205^A37,IF(A37='Données projet'!$A$88,'Données projet'!$B$88,BD36+BC37-BL36)))</f>
        <v>273.05800000000011</v>
      </c>
      <c r="BE37" s="14">
        <f>BD37*VLOOKUP('Données projet'!$B$11,Paramètres!$A$1:$I$89,3,0)*VLOOKUP('Données projet'!$B$11,Paramètres!$A$1:$I$89,5,0)</f>
        <v>163.28868400000007</v>
      </c>
      <c r="BF37" s="14">
        <f t="shared" si="37"/>
        <v>41.583406626001775</v>
      </c>
      <c r="BG37" s="22">
        <f t="shared" si="7"/>
        <v>356.81889117361993</v>
      </c>
      <c r="BH37" s="62">
        <f t="shared" si="8"/>
        <v>650.15222450695319</v>
      </c>
      <c r="BI37" s="62">
        <f ca="1">AVERAGE(OFFSET($BH$3,0,0,'Données projet'!$E$11+1,1))-AVERAGE(OFFSET($H$3,0,0,'Données projet'!$E$11+1,1))</f>
        <v>361.81625684745416</v>
      </c>
      <c r="BJ37" s="62">
        <f t="shared" si="38"/>
        <v>302.25424592654684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13.928721695968912</v>
      </c>
      <c r="BQ37" s="23">
        <f>EXP(-LN(2)/25)*BQ36+(1-EXP(-LN(2)/25))/(LN(2)/25)*Calculateur!BL37*Calculateur!BN37*VLOOKUP('Données projet'!$B$11,Paramètres!$A$1:$I$89,3,0)*0.475*44/12</f>
        <v>17.593120125295002</v>
      </c>
      <c r="BR37" s="23">
        <f>EXP(-LN(2)/2)*BR36+(1-EXP(-LN(2)/2))/(LN(2)/2)*BL37*BO37*VLOOKUP('Données projet'!$B$11,Paramètres!$A$1:$I$89,3,0)*0.475*44/12</f>
        <v>3.3420812643921169</v>
      </c>
      <c r="BS37" s="24">
        <f t="shared" si="9"/>
        <v>34.863923085656026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465</v>
      </c>
      <c r="L38" s="13">
        <f>VLOOKUP(A38,'Données projet'!$A$35:$I$55,9,0)</f>
        <v>31.2</v>
      </c>
      <c r="M38" s="13">
        <f t="array" ref="M38">INDEX(L:L,MIN(IF(ISNUMBER(L38:L234),ROW(L38:L234),"")))</f>
        <v>31.2</v>
      </c>
      <c r="N38" s="14">
        <f>IF('Données projet'!$A$36&gt;35,N37+M38-V37,IF(A38&lt;'Données projet'!$A$36,$K$205^A38,IF(A38='Données projet'!$A$36,'Données projet'!$B$36,N37+M38-V37)))</f>
        <v>464.99999999999989</v>
      </c>
      <c r="O38" s="14">
        <f>N38*VLOOKUP('Données projet'!$B$9,Paramètres!$A$1:$I$89,3,0)*VLOOKUP('Données projet'!$B$9,Paramètres!$A$1:$I$89,5,0)</f>
        <v>259.93499999999995</v>
      </c>
      <c r="P38" s="14">
        <f t="shared" si="33"/>
        <v>62.708522381257715</v>
      </c>
      <c r="Q38" s="22">
        <f t="shared" si="53"/>
        <v>561.93746814735709</v>
      </c>
      <c r="R38" s="62">
        <f t="shared" si="0"/>
        <v>855.27080148069035</v>
      </c>
      <c r="S38" s="62">
        <f ca="1">AVERAGE(OFFSET($R$3,0,0,'Données projet'!$E$9+1,1))-AVERAGE(OFFSET($H$3,0,0,'Données projet'!$E$9+1,1))</f>
        <v>500.52921520843432</v>
      </c>
      <c r="T38" s="62">
        <f t="shared" si="34"/>
        <v>430.43167430170087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77</v>
      </c>
      <c r="W38" s="17">
        <f>IF(ISNA(VLOOKUP(A38,'Données projet'!$A$35:$I$55,5,0)),0%,VLOOKUP(A38,'Données projet'!$A$35:$I$55,5,0)*VLOOKUP('Données projet'!$B$9,Paramètres!$A$1:$I$89,7,0))</f>
        <v>0.27500000000000002</v>
      </c>
      <c r="X38" s="17">
        <f>IF(ISNA(VLOOKUP(A38,'Données projet'!$A$35:$I$55,6,0)),0%,VLOOKUP(A38,'Données projet'!$A$35:$I$55,6,0)*VLOOKUP('Données projet'!$B$9,Paramètres!$A$1:$I$89,7,0))</f>
        <v>0.15400000000000003</v>
      </c>
      <c r="Y38" s="17">
        <f>IF(ISNA(VLOOKUP(A38,'Données projet'!$A$35:$I$55,7,0)),0%,VLOOKUP(A38,'Données projet'!$A$35:$I$55,7,0))</f>
        <v>0.22</v>
      </c>
      <c r="Z38" s="23">
        <f>EXP(-LN(2)/35)*Z37+(1-EXP(-LN(2)/35))/(LN(2)/35)*V38*W38*VLOOKUP('Données projet'!$B$9,Paramètres!$A$1:$I$89,3,0)*0.475*44/12</f>
        <v>36.899048702325963</v>
      </c>
      <c r="AA38" s="23">
        <f>EXP(-LN(2)/25)*AA37+(1-EXP(-LN(2)/25))/(LN(2)/25)*Calculateur!V38*Calculateur!X38*VLOOKUP('Données projet'!$B$9,Paramètres!$A$1:$I$89,3,0)*0.475*44/12</f>
        <v>44.2442045221337</v>
      </c>
      <c r="AB38" s="23">
        <f>EXP(-LN(2)/2)*AB37+(1-EXP(-LN(2)/2))/(LN(2)/2)*V38*Y38*VLOOKUP('Données projet'!$B$9,Paramètres!$A$1:$I$89,3,0)*0.475*44/12</f>
        <v>13.601886379581897</v>
      </c>
      <c r="AC38" s="24">
        <f t="shared" si="3"/>
        <v>94.745139604041569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</v>
      </c>
      <c r="AI38" s="14">
        <f>IF('Données projet'!$A$62&gt;35,AI37+AH38-AQ37,IF(A38&lt;'Données projet'!$A$62,$AF$205^A38,IF(A38='Données projet'!$A$62,'Données projet'!$B$62,AI37+AH38-AQ37)))</f>
        <v>230</v>
      </c>
      <c r="AJ38" s="14">
        <f>AI38*VLOOKUP('Données projet'!$B$10,Paramètres!$A$1:$I$89,3,0)*VLOOKUP('Données projet'!$B$10,Paramètres!$A$1:$I$89,5,0)</f>
        <v>107.64</v>
      </c>
      <c r="AK38" s="14">
        <f t="shared" si="35"/>
        <v>28.774250263353583</v>
      </c>
      <c r="AL38" s="22">
        <f t="shared" si="4"/>
        <v>237.58815254200749</v>
      </c>
      <c r="AM38" s="62">
        <f t="shared" si="5"/>
        <v>530.92148587534075</v>
      </c>
      <c r="AN38" s="62">
        <f ca="1">AVERAGE(OFFSET($AM$3,0,0,'Données projet'!$E$10+1,1))-AVERAGE(OFFSET($H$3,0,0,'Données projet'!$E$10+1,1))</f>
        <v>265.57412766850422</v>
      </c>
      <c r="AO38" s="62">
        <f t="shared" si="36"/>
        <v>179.39213799913273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3.0926631092976442</v>
      </c>
      <c r="AV38" s="23">
        <f>EXP(-LN(2)/25)*AV37+(1-EXP(-LN(2)/25))/(LN(2)/25)*Calculateur!AQ38*Calculateur!AS38*VLOOKUP('Données projet'!$B$10,Paramètres!$A$1:$I$89,3,0)*0.475*44/12</f>
        <v>11.688289586980728</v>
      </c>
      <c r="AW38" s="23">
        <f>EXP(-LN(2)/2)*AW37+(1-EXP(-LN(2)/2))/(LN(2)/2)*AQ38*AT38*VLOOKUP('Données projet'!$B$10,Paramètres!$A$1:$I$89,3,0)*0.475*44/12</f>
        <v>1.6907664027199105</v>
      </c>
      <c r="AX38" s="23">
        <f t="shared" si="6"/>
        <v>16.471719098998282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21.354000000000003</v>
      </c>
      <c r="BD38" s="13">
        <f>IF('Données projet'!$A$88&gt;35,BD37+BC38-BL37,IF(A38&lt;'Données projet'!$A$88,$BA$205^A38,IF(A38='Données projet'!$A$88,'Données projet'!$B$88,BD37+BC38-BL37)))</f>
        <v>294.41200000000009</v>
      </c>
      <c r="BE38" s="14">
        <f>BD38*VLOOKUP('Données projet'!$B$11,Paramètres!$A$1:$I$89,3,0)*VLOOKUP('Données projet'!$B$11,Paramètres!$A$1:$I$89,5,0)</f>
        <v>176.05837600000007</v>
      </c>
      <c r="BF38" s="14">
        <f t="shared" si="37"/>
        <v>44.444120610316297</v>
      </c>
      <c r="BG38" s="22">
        <f t="shared" si="7"/>
        <v>384.04184826296768</v>
      </c>
      <c r="BH38" s="62">
        <f t="shared" si="8"/>
        <v>677.37518159630099</v>
      </c>
      <c r="BI38" s="62">
        <f ca="1">AVERAGE(OFFSET($BH$3,0,0,'Données projet'!$E$11+1,1))-AVERAGE(OFFSET($H$3,0,0,'Données projet'!$E$11+1,1))</f>
        <v>361.81625684745416</v>
      </c>
      <c r="BJ38" s="62">
        <f t="shared" si="38"/>
        <v>302.25424592654684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13.655587959192317</v>
      </c>
      <c r="BQ38" s="23">
        <f>EXP(-LN(2)/25)*BQ37+(1-EXP(-LN(2)/25))/(LN(2)/25)*Calculateur!BL38*Calculateur!BN38*VLOOKUP('Données projet'!$B$11,Paramètres!$A$1:$I$89,3,0)*0.475*44/12</f>
        <v>17.112035330286833</v>
      </c>
      <c r="BR38" s="23">
        <f>EXP(-LN(2)/2)*BR37+(1-EXP(-LN(2)/2))/(LN(2)/2)*BL38*BO38*VLOOKUP('Données projet'!$B$11,Paramètres!$A$1:$I$89,3,0)*0.475*44/12</f>
        <v>2.363208325328177</v>
      </c>
      <c r="BS38" s="24">
        <f t="shared" si="9"/>
        <v>33.130831614807327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29</v>
      </c>
      <c r="N39" s="14">
        <f>IF('Données projet'!$A$36&gt;35,N38+M39-V38,IF(A39&lt;'Données projet'!$A$36,$K$205^A39,IF(A39='Données projet'!$A$36,'Données projet'!$B$36,N38+M39-V38)))</f>
        <v>416.99999999999989</v>
      </c>
      <c r="O39" s="14">
        <f>N39*VLOOKUP('Données projet'!$B$9,Paramètres!$A$1:$I$89,3,0)*VLOOKUP('Données projet'!$B$9,Paramètres!$A$1:$I$89,5,0)</f>
        <v>233.10299999999992</v>
      </c>
      <c r="P39" s="14">
        <f t="shared" si="33"/>
        <v>56.953098486593021</v>
      </c>
      <c r="Q39" s="22">
        <f t="shared" si="53"/>
        <v>505.18103819748262</v>
      </c>
      <c r="R39" s="62">
        <f t="shared" si="0"/>
        <v>798.51437153081588</v>
      </c>
      <c r="S39" s="62">
        <f ca="1">AVERAGE(OFFSET($R$3,0,0,'Données projet'!$E$9+1,1))-AVERAGE(OFFSET($H$3,0,0,'Données projet'!$E$9+1,1))</f>
        <v>500.52921520843432</v>
      </c>
      <c r="T39" s="62">
        <f t="shared" si="34"/>
        <v>430.43167430170087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36.17548086347076</v>
      </c>
      <c r="AA39" s="23">
        <f>EXP(-LN(2)/25)*AA38+(1-EXP(-LN(2)/25))/(LN(2)/25)*Calculateur!V39*Calculateur!X39*VLOOKUP('Données projet'!$B$9,Paramètres!$A$1:$I$89,3,0)*0.475*44/12</f>
        <v>43.03434442277436</v>
      </c>
      <c r="AB39" s="23">
        <f>EXP(-LN(2)/2)*AB38+(1-EXP(-LN(2)/2))/(LN(2)/2)*V39*Y39*VLOOKUP('Données projet'!$B$9,Paramètres!$A$1:$I$89,3,0)*0.475*44/12</f>
        <v>9.6179860959312986</v>
      </c>
      <c r="AC39" s="24">
        <f t="shared" si="3"/>
        <v>88.827811382176421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</v>
      </c>
      <c r="AI39" s="14">
        <f>IF('Données projet'!$A$62&gt;35,AI38+AH39-AQ38,IF(A39&lt;'Données projet'!$A$62,$AF$205^A39,IF(A39='Données projet'!$A$62,'Données projet'!$B$62,AI38+AH39-AQ38)))</f>
        <v>244</v>
      </c>
      <c r="AJ39" s="14">
        <f>AI39*VLOOKUP('Données projet'!$B$10,Paramètres!$A$1:$I$89,3,0)*VLOOKUP('Données projet'!$B$10,Paramètres!$A$1:$I$89,5,0)</f>
        <v>114.19200000000001</v>
      </c>
      <c r="AK39" s="14">
        <f t="shared" si="35"/>
        <v>30.316492326242802</v>
      </c>
      <c r="AL39" s="22">
        <f t="shared" si="4"/>
        <v>251.68562413487288</v>
      </c>
      <c r="AM39" s="62">
        <f t="shared" si="5"/>
        <v>545.01895746820617</v>
      </c>
      <c r="AN39" s="62">
        <f ca="1">AVERAGE(OFFSET($AM$3,0,0,'Données projet'!$E$10+1,1))-AVERAGE(OFFSET($H$3,0,0,'Données projet'!$E$10+1,1))</f>
        <v>265.57412766850422</v>
      </c>
      <c r="AO39" s="62">
        <f t="shared" si="36"/>
        <v>179.39213799913273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3.0320178720625535</v>
      </c>
      <c r="AV39" s="23">
        <f>EXP(-LN(2)/25)*AV38+(1-EXP(-LN(2)/25))/(LN(2)/25)*Calculateur!AQ39*Calculateur!AS39*VLOOKUP('Données projet'!$B$10,Paramètres!$A$1:$I$89,3,0)*0.475*44/12</f>
        <v>11.368672693564305</v>
      </c>
      <c r="AW39" s="23">
        <f>EXP(-LN(2)/2)*AW38+(1-EXP(-LN(2)/2))/(LN(2)/2)*AQ39*AT39*VLOOKUP('Données projet'!$B$10,Paramètres!$A$1:$I$89,3,0)*0.475*44/12</f>
        <v>1.1955523887656339</v>
      </c>
      <c r="AX39" s="23">
        <f t="shared" si="6"/>
        <v>15.596242954392492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21.354000000000003</v>
      </c>
      <c r="BD39" s="13">
        <f>IF('Données projet'!$A$88&gt;35,BD38+BC39-BL38,IF(A39&lt;'Données projet'!$A$88,$BA$205^A39,IF(A39='Données projet'!$A$88,'Données projet'!$B$88,BD38+BC39-BL38)))</f>
        <v>315.76600000000008</v>
      </c>
      <c r="BE39" s="14">
        <f>BD39*VLOOKUP('Données projet'!$B$11,Paramètres!$A$1:$I$89,3,0)*VLOOKUP('Données projet'!$B$11,Paramètres!$A$1:$I$89,5,0)</f>
        <v>188.82806800000006</v>
      </c>
      <c r="BF39" s="14">
        <f t="shared" si="37"/>
        <v>47.280762100017121</v>
      </c>
      <c r="BG39" s="22">
        <f t="shared" si="7"/>
        <v>411.22287909086322</v>
      </c>
      <c r="BH39" s="62">
        <f t="shared" si="8"/>
        <v>704.55621242419647</v>
      </c>
      <c r="BI39" s="62">
        <f ca="1">AVERAGE(OFFSET($BH$3,0,0,'Données projet'!$E$11+1,1))-AVERAGE(OFFSET($H$3,0,0,'Données projet'!$E$11+1,1))</f>
        <v>361.81625684745416</v>
      </c>
      <c r="BJ39" s="62">
        <f t="shared" si="38"/>
        <v>302.25424592654684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13.387810208398783</v>
      </c>
      <c r="BQ39" s="23">
        <f>EXP(-LN(2)/25)*BQ38+(1-EXP(-LN(2)/25))/(LN(2)/25)*Calculateur!BL39*Calculateur!BN39*VLOOKUP('Données projet'!$B$11,Paramètres!$A$1:$I$89,3,0)*0.475*44/12</f>
        <v>16.644105824297313</v>
      </c>
      <c r="BR39" s="23">
        <f>EXP(-LN(2)/2)*BR38+(1-EXP(-LN(2)/2))/(LN(2)/2)*BL39*BO39*VLOOKUP('Données projet'!$B$11,Paramètres!$A$1:$I$89,3,0)*0.475*44/12</f>
        <v>1.6710406321960589</v>
      </c>
      <c r="BS39" s="24">
        <f t="shared" si="9"/>
        <v>31.702956664892156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29</v>
      </c>
      <c r="N40" s="14">
        <f>IF('Données projet'!$A$36&gt;35,N39+M40-V39,IF(A40&lt;'Données projet'!$A$36,$K$205^A40,IF(A40='Données projet'!$A$36,'Données projet'!$B$36,N39+M40-V39)))</f>
        <v>445.99999999999989</v>
      </c>
      <c r="O40" s="14">
        <f>N40*VLOOKUP('Données projet'!$B$9,Paramètres!$A$1:$I$89,3,0)*VLOOKUP('Données projet'!$B$9,Paramètres!$A$1:$I$89,5,0)</f>
        <v>249.31399999999994</v>
      </c>
      <c r="P40" s="14">
        <f t="shared" si="33"/>
        <v>60.439020793600939</v>
      </c>
      <c r="Q40" s="22">
        <f t="shared" si="53"/>
        <v>539.48651121552155</v>
      </c>
      <c r="R40" s="62">
        <f t="shared" si="0"/>
        <v>832.81984454885492</v>
      </c>
      <c r="S40" s="62">
        <f ca="1">AVERAGE(OFFSET($R$3,0,0,'Données projet'!$E$9+1,1))-AVERAGE(OFFSET($H$3,0,0,'Données projet'!$E$9+1,1))</f>
        <v>500.52921520843432</v>
      </c>
      <c r="T40" s="62">
        <f t="shared" si="34"/>
        <v>430.43167430170087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35.466101748602703</v>
      </c>
      <c r="AA40" s="23">
        <f>EXP(-LN(2)/25)*AA39+(1-EXP(-LN(2)/25))/(LN(2)/25)*Calculateur!V40*Calculateur!X40*VLOOKUP('Données projet'!$B$9,Paramètres!$A$1:$I$89,3,0)*0.475*44/12</f>
        <v>41.857568011455776</v>
      </c>
      <c r="AB40" s="23">
        <f>EXP(-LN(2)/2)*AB39+(1-EXP(-LN(2)/2))/(LN(2)/2)*V40*Y40*VLOOKUP('Données projet'!$B$9,Paramètres!$A$1:$I$89,3,0)*0.475*44/12</f>
        <v>6.8009431897909494</v>
      </c>
      <c r="AC40" s="24">
        <f t="shared" si="3"/>
        <v>84.124612949849421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</v>
      </c>
      <c r="AI40" s="14">
        <f>IF('Données projet'!$A$62&gt;35,AI39+AH40-AQ39,IF(A40&lt;'Données projet'!$A$62,$AF$205^A40,IF(A40='Données projet'!$A$62,'Données projet'!$B$62,AI39+AH40-AQ39)))</f>
        <v>258</v>
      </c>
      <c r="AJ40" s="14">
        <f>AI40*VLOOKUP('Données projet'!$B$10,Paramètres!$A$1:$I$89,3,0)*VLOOKUP('Données projet'!$B$10,Paramètres!$A$1:$I$89,5,0)</f>
        <v>120.744</v>
      </c>
      <c r="AK40" s="14">
        <f t="shared" si="35"/>
        <v>31.848462605207807</v>
      </c>
      <c r="AL40" s="22">
        <f t="shared" si="4"/>
        <v>265.76520570407024</v>
      </c>
      <c r="AM40" s="62">
        <f t="shared" si="5"/>
        <v>559.0985390374035</v>
      </c>
      <c r="AN40" s="62">
        <f ca="1">AVERAGE(OFFSET($AM$3,0,0,'Données projet'!$E$10+1,1))-AVERAGE(OFFSET($H$3,0,0,'Données projet'!$E$10+1,1))</f>
        <v>265.57412766850422</v>
      </c>
      <c r="AO40" s="62">
        <f t="shared" si="36"/>
        <v>179.39213799913273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2.9725618509397007</v>
      </c>
      <c r="AV40" s="23">
        <f>EXP(-LN(2)/25)*AV39+(1-EXP(-LN(2)/25))/(LN(2)/25)*Calculateur!AQ40*Calculateur!AS40*VLOOKUP('Données projet'!$B$10,Paramètres!$A$1:$I$89,3,0)*0.475*44/12</f>
        <v>11.057795740906275</v>
      </c>
      <c r="AW40" s="23">
        <f>EXP(-LN(2)/2)*AW39+(1-EXP(-LN(2)/2))/(LN(2)/2)*AQ40*AT40*VLOOKUP('Données projet'!$B$10,Paramètres!$A$1:$I$89,3,0)*0.475*44/12</f>
        <v>0.84538320135995526</v>
      </c>
      <c r="AX40" s="23">
        <f t="shared" si="6"/>
        <v>14.875740793205932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337.12</v>
      </c>
      <c r="BB40" s="13">
        <f>VLOOKUP(A40,'Données projet'!$A$87:$I$107,9,0)</f>
        <v>21.354000000000003</v>
      </c>
      <c r="BC40" s="13">
        <f t="array" ref="BC40">INDEX(BB:BB,MIN(IF(ISNUMBER(BB40:BB236),ROW(BB40:BB236),"")))</f>
        <v>21.354000000000003</v>
      </c>
      <c r="BD40" s="13">
        <f>IF('Données projet'!$A$88&gt;35,BD39+BC40-BL39,IF(A40&lt;'Données projet'!$A$88,$BA$205^A40,IF(A40='Données projet'!$A$88,'Données projet'!$B$88,BD39+BC40-BL39)))</f>
        <v>337.12000000000006</v>
      </c>
      <c r="BE40" s="14">
        <f>BD40*VLOOKUP('Données projet'!$B$11,Paramètres!$A$1:$I$89,3,0)*VLOOKUP('Données projet'!$B$11,Paramètres!$A$1:$I$89,5,0)</f>
        <v>201.59776000000005</v>
      </c>
      <c r="BF40" s="14">
        <f t="shared" si="37"/>
        <v>50.095144235751</v>
      </c>
      <c r="BG40" s="22">
        <f t="shared" si="7"/>
        <v>438.36514154393308</v>
      </c>
      <c r="BH40" s="62">
        <f t="shared" si="8"/>
        <v>731.69847487726634</v>
      </c>
      <c r="BI40" s="62">
        <f ca="1">AVERAGE(OFFSET($BH$3,0,0,'Données projet'!$E$11+1,1))-AVERAGE(OFFSET($H$3,0,0,'Données projet'!$E$11+1,1))</f>
        <v>361.81625684745416</v>
      </c>
      <c r="BJ40" s="62">
        <f t="shared" si="38"/>
        <v>302.25424592654684</v>
      </c>
      <c r="BK40" s="16">
        <f>IF(ISNA(VLOOKUP(A40,'Données projet'!$A$87:$I$107,3,0)),0,VLOOKUP(A40,'Données projet'!$A$87:$I$107,3,0))</f>
        <v>6</v>
      </c>
      <c r="BL40" s="16">
        <f>IF(ISNA(VLOOKUP(A40,'Données projet'!$A$87:$I$107,4,0)),0,VLOOKUP(A40,'Données projet'!$A$87:$I$107,4,0))</f>
        <v>55</v>
      </c>
      <c r="BM40" s="17">
        <f>IF(ISNA(VLOOKUP(A40,'Données projet'!$A$87:$I$107,5,0)),0%,VLOOKUP(A40,'Données projet'!$A$87:$I$107,5,0)*VLOOKUP('Données projet'!$B$11,Paramètres!$A$1:$I$89,7,0))</f>
        <v>0.22500000000000001</v>
      </c>
      <c r="BN40" s="17">
        <f>IF(ISNA(VLOOKUP(A40,'Données projet'!$A$87:$I$107,6,0)),0%,VLOOKUP(A40,'Données projet'!$A$87:$I$107,6,0)*VLOOKUP('Données projet'!$B$11,Paramètres!$A$1:$I$89,7,0))</f>
        <v>0.12600000000000003</v>
      </c>
      <c r="BO40" s="17">
        <f>IF(ISNA(VLOOKUP(A40,'Données projet'!$A$87:$I$107,7,0)),0%,VLOOKUP(A40,'Données projet'!$A$87:$I$107,7,0))</f>
        <v>0.22</v>
      </c>
      <c r="BP40" s="23">
        <f>EXP(-LN(2)/35)*BP39+(1-EXP(-LN(2)/35))/(LN(2)/35)*BL40*BM40*VLOOKUP('Données projet'!$B$11,Paramètres!$A$1:$I$89,3,0)*0.475*44/12</f>
        <v>22.942192027336468</v>
      </c>
      <c r="BQ40" s="23">
        <f>EXP(-LN(2)/25)*BQ39+(1-EXP(-LN(2)/25))/(LN(2)/25)*Calculateur!BL40*Calculateur!BN40*VLOOKUP('Données projet'!$B$11,Paramètres!$A$1:$I$89,3,0)*0.475*44/12</f>
        <v>21.664795068168139</v>
      </c>
      <c r="BR40" s="23">
        <f>EXP(-LN(2)/2)*BR39+(1-EXP(-LN(2)/2))/(LN(2)/2)*BL40*BO40*VLOOKUP('Données projet'!$B$11,Paramètres!$A$1:$I$89,3,0)*0.475*44/12</f>
        <v>9.3742106211060889</v>
      </c>
      <c r="BS40" s="24">
        <f t="shared" si="9"/>
        <v>53.981197716610694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29</v>
      </c>
      <c r="N41" s="14">
        <f>IF('Données projet'!$A$36&gt;35,N40+M41-V40,IF(A41&lt;'Données projet'!$A$36,$K$205^A41,IF(A41='Données projet'!$A$36,'Données projet'!$B$36,N40+M41-V40)))</f>
        <v>474.99999999999989</v>
      </c>
      <c r="O41" s="14">
        <f>N41*VLOOKUP('Données projet'!$B$9,Paramètres!$A$1:$I$89,3,0)*VLOOKUP('Données projet'!$B$9,Paramètres!$A$1:$I$89,5,0)</f>
        <v>265.52499999999992</v>
      </c>
      <c r="P41" s="14">
        <f t="shared" si="33"/>
        <v>63.898639547235121</v>
      </c>
      <c r="Q41" s="22">
        <f t="shared" si="53"/>
        <v>573.74617221143433</v>
      </c>
      <c r="R41" s="62">
        <f t="shared" si="0"/>
        <v>867.0795055447677</v>
      </c>
      <c r="S41" s="62">
        <f ca="1">AVERAGE(OFFSET($R$3,0,0,'Données projet'!$E$9+1,1))-AVERAGE(OFFSET($H$3,0,0,'Données projet'!$E$9+1,1))</f>
        <v>500.52921520843432</v>
      </c>
      <c r="T41" s="62">
        <f t="shared" si="34"/>
        <v>430.43167430170087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34.770633125498669</v>
      </c>
      <c r="AA41" s="23">
        <f>EXP(-LN(2)/25)*AA40+(1-EXP(-LN(2)/25))/(LN(2)/25)*Calculateur!V41*Calculateur!X41*VLOOKUP('Données projet'!$B$9,Paramètres!$A$1:$I$89,3,0)*0.475*44/12</f>
        <v>40.712970612988684</v>
      </c>
      <c r="AB41" s="23">
        <f>EXP(-LN(2)/2)*AB40+(1-EXP(-LN(2)/2))/(LN(2)/2)*V41*Y41*VLOOKUP('Données projet'!$B$9,Paramètres!$A$1:$I$89,3,0)*0.475*44/12</f>
        <v>4.8089930479656493</v>
      </c>
      <c r="AC41" s="24">
        <f t="shared" si="3"/>
        <v>80.292596786452989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</v>
      </c>
      <c r="AI41" s="14">
        <f>IF('Données projet'!$A$62&gt;35,AI40+AH41-AQ40,IF(A41&lt;'Données projet'!$A$62,$AF$205^A41,IF(A41='Données projet'!$A$62,'Données projet'!$B$62,AI40+AH41-AQ40)))</f>
        <v>272</v>
      </c>
      <c r="AJ41" s="14">
        <f>AI41*VLOOKUP('Données projet'!$B$10,Paramètres!$A$1:$I$89,3,0)*VLOOKUP('Données projet'!$B$10,Paramètres!$A$1:$I$89,5,0)</f>
        <v>127.29600000000001</v>
      </c>
      <c r="AK41" s="14">
        <f t="shared" si="35"/>
        <v>33.370782027774453</v>
      </c>
      <c r="AL41" s="22">
        <f t="shared" si="4"/>
        <v>279.82797869837384</v>
      </c>
      <c r="AM41" s="62">
        <f t="shared" si="5"/>
        <v>573.16131203170721</v>
      </c>
      <c r="AN41" s="62">
        <f ca="1">AVERAGE(OFFSET($AM$3,0,0,'Données projet'!$E$10+1,1))-AVERAGE(OFFSET($H$3,0,0,'Données projet'!$E$10+1,1))</f>
        <v>265.57412766850422</v>
      </c>
      <c r="AO41" s="62">
        <f t="shared" si="36"/>
        <v>179.39213799913273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2.9142717261264752</v>
      </c>
      <c r="AV41" s="23">
        <f>EXP(-LN(2)/25)*AV40+(1-EXP(-LN(2)/25))/(LN(2)/25)*Calculateur!AQ41*Calculateur!AS41*VLOOKUP('Données projet'!$B$10,Paramètres!$A$1:$I$89,3,0)*0.475*44/12</f>
        <v>10.755419734866988</v>
      </c>
      <c r="AW41" s="23">
        <f>EXP(-LN(2)/2)*AW40+(1-EXP(-LN(2)/2))/(LN(2)/2)*AQ41*AT41*VLOOKUP('Données projet'!$B$10,Paramètres!$A$1:$I$89,3,0)*0.475*44/12</f>
        <v>0.59777619438281693</v>
      </c>
      <c r="AX41" s="23">
        <f t="shared" si="6"/>
        <v>14.267467655376281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20.269999999999996</v>
      </c>
      <c r="BD41" s="13">
        <f>IF('Données projet'!$A$88&gt;35,BD40+BC41-BL40,IF(A41&lt;'Données projet'!$A$88,$BA$205^A41,IF(A41='Données projet'!$A$88,'Données projet'!$B$88,BD40+BC41-BL40)))</f>
        <v>302.39000000000004</v>
      </c>
      <c r="BE41" s="14">
        <f>BD41*VLOOKUP('Données projet'!$B$11,Paramètres!$A$1:$I$89,3,0)*VLOOKUP('Données projet'!$B$11,Paramètres!$A$1:$I$89,5,0)</f>
        <v>180.82922000000005</v>
      </c>
      <c r="BF41" s="14">
        <f t="shared" si="37"/>
        <v>45.506622960271066</v>
      </c>
      <c r="BG41" s="22">
        <f t="shared" si="7"/>
        <v>394.20159315580548</v>
      </c>
      <c r="BH41" s="62">
        <f t="shared" si="8"/>
        <v>687.5349264891388</v>
      </c>
      <c r="BI41" s="62">
        <f ca="1">AVERAGE(OFFSET($BH$3,0,0,'Données projet'!$E$11+1,1))-AVERAGE(OFFSET($H$3,0,0,'Données projet'!$E$11+1,1))</f>
        <v>361.81625684745416</v>
      </c>
      <c r="BJ41" s="62">
        <f t="shared" si="38"/>
        <v>302.25424592654684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22.492309635035806</v>
      </c>
      <c r="BQ41" s="23">
        <f>EXP(-LN(2)/25)*BQ40+(1-EXP(-LN(2)/25))/(LN(2)/25)*Calculateur!BL41*Calculateur!BN41*VLOOKUP('Données projet'!$B$11,Paramètres!$A$1:$I$89,3,0)*0.475*44/12</f>
        <v>21.072370107727025</v>
      </c>
      <c r="BR41" s="23">
        <f>EXP(-LN(2)/2)*BR40+(1-EXP(-LN(2)/2))/(LN(2)/2)*BL41*BO41*VLOOKUP('Données projet'!$B$11,Paramètres!$A$1:$I$89,3,0)*0.475*44/12</f>
        <v>6.6285678984550733</v>
      </c>
      <c r="BS41" s="24">
        <f t="shared" si="9"/>
        <v>50.193247641217908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29</v>
      </c>
      <c r="N42" s="14">
        <f>IF('Données projet'!$A$36&gt;35,N41+M42-V41,IF(A42&lt;'Données projet'!$A$36,$K$205^A42,IF(A42='Données projet'!$A$36,'Données projet'!$B$36,N41+M42-V41)))</f>
        <v>503.99999999999989</v>
      </c>
      <c r="O42" s="14">
        <f>N42*VLOOKUP('Données projet'!$B$9,Paramètres!$A$1:$I$89,3,0)*VLOOKUP('Données projet'!$B$9,Paramètres!$A$1:$I$89,5,0)</f>
        <v>281.73599999999993</v>
      </c>
      <c r="P42" s="14">
        <f t="shared" si="33"/>
        <v>67.333743509453043</v>
      </c>
      <c r="Q42" s="22">
        <f t="shared" si="53"/>
        <v>607.96313661229726</v>
      </c>
      <c r="R42" s="62">
        <f t="shared" si="0"/>
        <v>901.29646994563063</v>
      </c>
      <c r="S42" s="62">
        <f ca="1">AVERAGE(OFFSET($R$3,0,0,'Données projet'!$E$9+1,1))-AVERAGE(OFFSET($H$3,0,0,'Données projet'!$E$9+1,1))</f>
        <v>500.52921520843432</v>
      </c>
      <c r="T42" s="62">
        <f t="shared" si="34"/>
        <v>430.43167430170087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34.088802217899733</v>
      </c>
      <c r="AA42" s="23">
        <f>EXP(-LN(2)/25)*AA41+(1-EXP(-LN(2)/25))/(LN(2)/25)*Calculateur!V42*Calculateur!X42*VLOOKUP('Données projet'!$B$9,Paramètres!$A$1:$I$89,3,0)*0.475*44/12</f>
        <v>39.599672290574432</v>
      </c>
      <c r="AB42" s="23">
        <f>EXP(-LN(2)/2)*AB41+(1-EXP(-LN(2)/2))/(LN(2)/2)*V42*Y42*VLOOKUP('Données projet'!$B$9,Paramètres!$A$1:$I$89,3,0)*0.475*44/12</f>
        <v>3.4004715948954747</v>
      </c>
      <c r="AC42" s="24">
        <f t="shared" si="3"/>
        <v>77.088946103369651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</v>
      </c>
      <c r="AI42" s="14">
        <f>IF('Données projet'!$A$62&gt;35,AI41+AH42-AQ41,IF(A42&lt;'Données projet'!$A$62,$AF$205^A42,IF(A42='Données projet'!$A$62,'Données projet'!$B$62,AI41+AH42-AQ41)))</f>
        <v>286</v>
      </c>
      <c r="AJ42" s="14">
        <f>AI42*VLOOKUP('Données projet'!$B$10,Paramètres!$A$1:$I$89,3,0)*VLOOKUP('Données projet'!$B$10,Paramètres!$A$1:$I$89,5,0)</f>
        <v>133.84799999999998</v>
      </c>
      <c r="AK42" s="14">
        <f t="shared" si="35"/>
        <v>34.884003992121656</v>
      </c>
      <c r="AL42" s="22">
        <f t="shared" si="4"/>
        <v>293.8749069529452</v>
      </c>
      <c r="AM42" s="62">
        <f t="shared" si="5"/>
        <v>587.20824028627851</v>
      </c>
      <c r="AN42" s="62">
        <f ca="1">AVERAGE(OFFSET($AM$3,0,0,'Données projet'!$E$10+1,1))-AVERAGE(OFFSET($H$3,0,0,'Données projet'!$E$10+1,1))</f>
        <v>265.57412766850422</v>
      </c>
      <c r="AO42" s="62">
        <f t="shared" si="36"/>
        <v>179.39213799913273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2.8571246351073714</v>
      </c>
      <c r="AV42" s="23">
        <f>EXP(-LN(2)/25)*AV41+(1-EXP(-LN(2)/25))/(LN(2)/25)*Calculateur!AQ42*Calculateur!AS42*VLOOKUP('Données projet'!$B$10,Paramètres!$A$1:$I$89,3,0)*0.475*44/12</f>
        <v>10.461312216614109</v>
      </c>
      <c r="AW42" s="23">
        <f>EXP(-LN(2)/2)*AW41+(1-EXP(-LN(2)/2))/(LN(2)/2)*AQ42*AT42*VLOOKUP('Données projet'!$B$10,Paramètres!$A$1:$I$89,3,0)*0.475*44/12</f>
        <v>0.42269160067997763</v>
      </c>
      <c r="AX42" s="23">
        <f t="shared" si="6"/>
        <v>13.741128452401458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20.269999999999996</v>
      </c>
      <c r="BD42" s="13">
        <f>IF('Données projet'!$A$88&gt;35,BD41+BC42-BL41,IF(A42&lt;'Données projet'!$A$88,$BA$205^A42,IF(A42='Données projet'!$A$88,'Données projet'!$B$88,BD41+BC42-BL41)))</f>
        <v>322.66000000000003</v>
      </c>
      <c r="BE42" s="14">
        <f>BD42*VLOOKUP('Données projet'!$B$11,Paramètres!$A$1:$I$89,3,0)*VLOOKUP('Données projet'!$B$11,Paramètres!$A$1:$I$89,5,0)</f>
        <v>192.95068000000003</v>
      </c>
      <c r="BF42" s="14">
        <f t="shared" si="37"/>
        <v>48.191720061592335</v>
      </c>
      <c r="BG42" s="22">
        <f t="shared" si="7"/>
        <v>419.98968010727327</v>
      </c>
      <c r="BH42" s="62">
        <f t="shared" si="8"/>
        <v>713.32301344060659</v>
      </c>
      <c r="BI42" s="62">
        <f ca="1">AVERAGE(OFFSET($BH$3,0,0,'Données projet'!$E$11+1,1))-AVERAGE(OFFSET($H$3,0,0,'Données projet'!$E$11+1,1))</f>
        <v>361.81625684745416</v>
      </c>
      <c r="BJ42" s="62">
        <f t="shared" si="38"/>
        <v>302.25424592654684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22.051249162046997</v>
      </c>
      <c r="BQ42" s="23">
        <f>EXP(-LN(2)/25)*BQ41+(1-EXP(-LN(2)/25))/(LN(2)/25)*Calculateur!BL42*Calculateur!BN42*VLOOKUP('Données projet'!$B$11,Paramètres!$A$1:$I$89,3,0)*0.475*44/12</f>
        <v>20.496145038983446</v>
      </c>
      <c r="BR42" s="23">
        <f>EXP(-LN(2)/2)*BR41+(1-EXP(-LN(2)/2))/(LN(2)/2)*BL42*BO42*VLOOKUP('Données projet'!$B$11,Paramètres!$A$1:$I$89,3,0)*0.475*44/12</f>
        <v>4.6871053105530454</v>
      </c>
      <c r="BS42" s="24">
        <f t="shared" si="9"/>
        <v>47.234499511583486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533</v>
      </c>
      <c r="L43" s="13">
        <f>VLOOKUP(A43,'Données projet'!$A$35:$I$55,9,0)</f>
        <v>29</v>
      </c>
      <c r="M43" s="13">
        <f t="array" ref="M43">INDEX(L:L,MIN(IF(ISNUMBER(L43:L239),ROW(L43:L239),"")))</f>
        <v>29</v>
      </c>
      <c r="N43" s="14">
        <f>IF('Données projet'!$A$36&gt;35,N42+M43-V42,IF(A43&lt;'Données projet'!$A$36,$K$205^A43,IF(A43='Données projet'!$A$36,'Données projet'!$B$36,N42+M43-V42)))</f>
        <v>532.99999999999989</v>
      </c>
      <c r="O43" s="14">
        <f>N43*VLOOKUP('Données projet'!$B$9,Paramètres!$A$1:$I$89,3,0)*VLOOKUP('Données projet'!$B$9,Paramètres!$A$1:$I$89,5,0)</f>
        <v>297.94699999999995</v>
      </c>
      <c r="P43" s="14">
        <f t="shared" si="33"/>
        <v>70.745903965311697</v>
      </c>
      <c r="Q43" s="22">
        <f t="shared" si="53"/>
        <v>642.1401410729178</v>
      </c>
      <c r="R43" s="62">
        <f t="shared" si="0"/>
        <v>935.47347440625117</v>
      </c>
      <c r="S43" s="62">
        <f ca="1">AVERAGE(OFFSET($R$3,0,0,'Données projet'!$E$9+1,1))-AVERAGE(OFFSET($H$3,0,0,'Données projet'!$E$9+1,1))</f>
        <v>500.52921520843432</v>
      </c>
      <c r="T43" s="62">
        <f t="shared" si="34"/>
        <v>430.43167430170087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77</v>
      </c>
      <c r="W43" s="17">
        <f>IF(ISNA(VLOOKUP(A43,'Données projet'!$A$35:$I$55,5,0)),0%,VLOOKUP(A43,'Données projet'!$A$35:$I$55,5,0)*VLOOKUP('Données projet'!$B$9,Paramètres!$A$1:$I$89,7,0))</f>
        <v>0.33</v>
      </c>
      <c r="X43" s="17">
        <f>IF(ISNA(VLOOKUP(A43,'Données projet'!$A$35:$I$55,6,0)),0%,VLOOKUP(A43,'Données projet'!$A$35:$I$55,6,0)*VLOOKUP('Données projet'!$B$9,Paramètres!$A$1:$I$89,7,0))</f>
        <v>0.12100000000000001</v>
      </c>
      <c r="Y43" s="17">
        <f>IF(ISNA(VLOOKUP(A43,'Données projet'!$A$35:$I$55,7,0)),0%,VLOOKUP(A43,'Données projet'!$A$35:$I$55,7,0))</f>
        <v>0.18</v>
      </c>
      <c r="Z43" s="23">
        <f>EXP(-LN(2)/35)*Z42+(1-EXP(-LN(2)/35))/(LN(2)/35)*V43*W43*VLOOKUP('Données projet'!$B$9,Paramètres!$A$1:$I$89,3,0)*0.475*44/12</f>
        <v>52.263115170832791</v>
      </c>
      <c r="AA43" s="23">
        <f>EXP(-LN(2)/25)*AA42+(1-EXP(-LN(2)/25))/(LN(2)/25)*Calculateur!V43*Calculateur!X43*VLOOKUP('Données projet'!$B$9,Paramètres!$A$1:$I$89,3,0)*0.475*44/12</f>
        <v>45.398630713467604</v>
      </c>
      <c r="AB43" s="23">
        <f>EXP(-LN(2)/2)*AB42+(1-EXP(-LN(2)/2))/(LN(2)/2)*V43*Y43*VLOOKUP('Données projet'!$B$9,Paramètres!$A$1:$I$89,3,0)*0.475*44/12</f>
        <v>11.176737984820525</v>
      </c>
      <c r="AC43" s="24">
        <f t="shared" si="3"/>
        <v>108.83848386912091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300</v>
      </c>
      <c r="AG43" s="13">
        <f>VLOOKUP(A43,'Données projet'!$A$61:$I$81,9,0)</f>
        <v>14</v>
      </c>
      <c r="AH43" s="13">
        <f t="array" ref="AH43">INDEX(AG:AG,MIN(IF(ISNUMBER(AG43:AG239),ROW(AG43:AG239),"")))</f>
        <v>14</v>
      </c>
      <c r="AI43" s="14">
        <f>IF('Données projet'!$A$62&gt;35,AI42+AH43-AQ42,IF(A43&lt;'Données projet'!$A$62,$AF$205^A43,IF(A43='Données projet'!$A$62,'Données projet'!$B$62,AI42+AH43-AQ42)))</f>
        <v>300</v>
      </c>
      <c r="AJ43" s="14">
        <f>AI43*VLOOKUP('Données projet'!$B$10,Paramètres!$A$1:$I$89,3,0)*VLOOKUP('Données projet'!$B$10,Paramètres!$A$1:$I$89,5,0)</f>
        <v>140.4</v>
      </c>
      <c r="AK43" s="14">
        <f t="shared" si="35"/>
        <v>36.388624656711201</v>
      </c>
      <c r="AL43" s="22">
        <f t="shared" si="4"/>
        <v>307.90685461043864</v>
      </c>
      <c r="AM43" s="62">
        <f t="shared" si="5"/>
        <v>601.24018794377196</v>
      </c>
      <c r="AN43" s="62">
        <f ca="1">AVERAGE(OFFSET($AM$3,0,0,'Données projet'!$E$10+1,1))-AVERAGE(OFFSET($H$3,0,0,'Données projet'!$E$10+1,1))</f>
        <v>265.57412766850422</v>
      </c>
      <c r="AO43" s="62">
        <f t="shared" si="36"/>
        <v>179.39213799913273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50</v>
      </c>
      <c r="AR43" s="17">
        <f>IF(ISNA(VLOOKUP(A43,'Données projet'!$A$61:$I$81,5,0)),0%,VLOOKUP(A43,'Données projet'!$A$61:$I$81,5,0)*VLOOKUP('Données projet'!$B$10,Paramètres!$A$1:$I$89,7,0))</f>
        <v>0.16500000000000001</v>
      </c>
      <c r="AS43" s="17">
        <f>IF(ISNA(VLOOKUP(A43,'Données projet'!$A$61:$I$81,6,0)),0%,VLOOKUP(A43,'Données projet'!$A$61:$I$81,6,0)*VLOOKUP('Données projet'!$B$10,Paramètres!$A$1:$I$89,7,0))</f>
        <v>0.21450000000000002</v>
      </c>
      <c r="AT43" s="17">
        <f>IF(ISNA(VLOOKUP(A43,'Données projet'!$A$61:$I$81,7,0)),0%,VLOOKUP(A43,'Données projet'!$A$61:$I$81,7,0))</f>
        <v>0.31</v>
      </c>
      <c r="AU43" s="23">
        <f>EXP(-LN(2)/35)*AU42+(1-EXP(-LN(2)/35))/(LN(2)/35)*AQ43*AR43*VLOOKUP('Données projet'!$B$10,Paramètres!$A$1:$I$89,3,0)*0.475*44/12</f>
        <v>7.9229635261389344</v>
      </c>
      <c r="AV43" s="23">
        <f>EXP(-LN(2)/25)*AV42+(1-EXP(-LN(2)/25))/(LN(2)/25)*Calculateur!AQ43*Calculateur!AS43*VLOOKUP('Données projet'!$B$10,Paramètres!$A$1:$I$89,3,0)*0.475*44/12</f>
        <v>16.8074552989316</v>
      </c>
      <c r="AW43" s="23">
        <f>EXP(-LN(2)/2)*AW42+(1-EXP(-LN(2)/2))/(LN(2)/2)*AQ43*AT43*VLOOKUP('Données projet'!$B$10,Paramètres!$A$1:$I$89,3,0)*0.475*44/12</f>
        <v>8.5121011834483884</v>
      </c>
      <c r="AX43" s="23">
        <f t="shared" si="6"/>
        <v>33.242520008518923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20.269999999999996</v>
      </c>
      <c r="BD43" s="13">
        <f>IF('Données projet'!$A$88&gt;35,BD42+BC43-BL42,IF(A43&lt;'Données projet'!$A$88,$BA$205^A43,IF(A43='Données projet'!$A$88,'Données projet'!$B$88,BD42+BC43-BL42)))</f>
        <v>342.93</v>
      </c>
      <c r="BE43" s="14">
        <f>BD43*VLOOKUP('Données projet'!$B$11,Paramètres!$A$1:$I$89,3,0)*VLOOKUP('Données projet'!$B$11,Paramètres!$A$1:$I$89,5,0)</f>
        <v>205.07214000000002</v>
      </c>
      <c r="BF43" s="14">
        <f t="shared" si="37"/>
        <v>50.857240608097577</v>
      </c>
      <c r="BG43" s="22">
        <f t="shared" si="7"/>
        <v>445.74367122576996</v>
      </c>
      <c r="BH43" s="62">
        <f t="shared" si="8"/>
        <v>739.07700455910322</v>
      </c>
      <c r="BI43" s="62">
        <f ca="1">AVERAGE(OFFSET($BH$3,0,0,'Données projet'!$E$11+1,1))-AVERAGE(OFFSET($H$3,0,0,'Données projet'!$E$11+1,1))</f>
        <v>361.81625684745416</v>
      </c>
      <c r="BJ43" s="62">
        <f t="shared" si="38"/>
        <v>302.25424592654684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21.618837615913172</v>
      </c>
      <c r="BQ43" s="23">
        <f>EXP(-LN(2)/25)*BQ42+(1-EXP(-LN(2)/25))/(LN(2)/25)*Calculateur!BL43*Calculateur!BN43*VLOOKUP('Données projet'!$B$11,Paramètres!$A$1:$I$89,3,0)*0.475*44/12</f>
        <v>19.935676875047022</v>
      </c>
      <c r="BR43" s="23">
        <f>EXP(-LN(2)/2)*BR42+(1-EXP(-LN(2)/2))/(LN(2)/2)*BL43*BO43*VLOOKUP('Données projet'!$B$11,Paramètres!$A$1:$I$89,3,0)*0.475*44/12</f>
        <v>3.3142839492275376</v>
      </c>
      <c r="BS43" s="24">
        <f t="shared" si="9"/>
        <v>44.868798440187732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26.8</v>
      </c>
      <c r="N44" s="14">
        <f>IF('Données projet'!$A$36&gt;35,N43+M44-V43,IF(A44&lt;'Données projet'!$A$36,$K$205^A44,IF(A44='Données projet'!$A$36,'Données projet'!$B$36,N43+M44-V43)))</f>
        <v>482.79999999999984</v>
      </c>
      <c r="O44" s="14">
        <f>N44*VLOOKUP('Données projet'!$B$9,Paramètres!$A$1:$I$89,3,0)*VLOOKUP('Données projet'!$B$9,Paramètres!$A$1:$I$89,5,0)</f>
        <v>269.88519999999994</v>
      </c>
      <c r="P44" s="14">
        <f t="shared" si="33"/>
        <v>64.824905227492977</v>
      </c>
      <c r="Q44" s="22">
        <f t="shared" si="53"/>
        <v>582.9534332712168</v>
      </c>
      <c r="R44" s="62">
        <f t="shared" si="0"/>
        <v>876.28676660455017</v>
      </c>
      <c r="S44" s="62">
        <f ca="1">AVERAGE(OFFSET($R$3,0,0,'Données projet'!$E$9+1,1))-AVERAGE(OFFSET($H$3,0,0,'Données projet'!$E$9+1,1))</f>
        <v>500.52921520843432</v>
      </c>
      <c r="T44" s="62">
        <f t="shared" si="34"/>
        <v>430.43167430170087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51.238267359685388</v>
      </c>
      <c r="AA44" s="23">
        <f>EXP(-LN(2)/25)*AA43+(1-EXP(-LN(2)/25))/(LN(2)/25)*Calculateur!V44*Calculateur!X44*VLOOKUP('Données projet'!$B$9,Paramètres!$A$1:$I$89,3,0)*0.475*44/12</f>
        <v>44.157202769197603</v>
      </c>
      <c r="AB44" s="23">
        <f>EXP(-LN(2)/2)*AB43+(1-EXP(-LN(2)/2))/(LN(2)/2)*V44*Y44*VLOOKUP('Données projet'!$B$9,Paramètres!$A$1:$I$89,3,0)*0.475*44/12</f>
        <v>7.9031472206118618</v>
      </c>
      <c r="AC44" s="24">
        <f t="shared" si="3"/>
        <v>103.29861734949485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</v>
      </c>
      <c r="AI44" s="14">
        <f>IF('Données projet'!$A$62&gt;35,AI43+AH44-AQ43,IF(A44&lt;'Données projet'!$A$62,$AF$205^A44,IF(A44='Données projet'!$A$62,'Données projet'!$B$62,AI43+AH44-AQ43)))</f>
        <v>264</v>
      </c>
      <c r="AJ44" s="14">
        <f>AI44*VLOOKUP('Données projet'!$B$10,Paramètres!$A$1:$I$89,3,0)*VLOOKUP('Données projet'!$B$10,Paramètres!$A$1:$I$89,5,0)</f>
        <v>123.55199999999999</v>
      </c>
      <c r="AK44" s="14">
        <f t="shared" si="35"/>
        <v>32.502033262579566</v>
      </c>
      <c r="AL44" s="22">
        <f t="shared" si="4"/>
        <v>271.79410793232609</v>
      </c>
      <c r="AM44" s="62">
        <f t="shared" si="5"/>
        <v>565.1274412656594</v>
      </c>
      <c r="AN44" s="62">
        <f ca="1">AVERAGE(OFFSET($AM$3,0,0,'Données projet'!$E$10+1,1))-AVERAGE(OFFSET($H$3,0,0,'Données projet'!$E$10+1,1))</f>
        <v>265.57412766850422</v>
      </c>
      <c r="AO44" s="62">
        <f t="shared" si="36"/>
        <v>179.39213799913273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7.767599043921928</v>
      </c>
      <c r="AV44" s="23">
        <f>EXP(-LN(2)/25)*AV43+(1-EXP(-LN(2)/25))/(LN(2)/25)*Calculateur!AQ44*Calculateur!AS44*VLOOKUP('Données projet'!$B$10,Paramètres!$A$1:$I$89,3,0)*0.475*44/12</f>
        <v>16.347854549916654</v>
      </c>
      <c r="AW44" s="23">
        <f>EXP(-LN(2)/2)*AW43+(1-EXP(-LN(2)/2))/(LN(2)/2)*AQ44*AT44*VLOOKUP('Données projet'!$B$10,Paramètres!$A$1:$I$89,3,0)*0.475*44/12</f>
        <v>6.018964468962392</v>
      </c>
      <c r="AX44" s="23">
        <f t="shared" si="6"/>
        <v>30.134418062800972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>
        <f>VLOOKUP(A44,'Données projet'!$A$87:$I$107,2,0)</f>
        <v>363.2</v>
      </c>
      <c r="BB44" s="13">
        <f>VLOOKUP(A44,'Données projet'!$A$87:$I$107,9,0)</f>
        <v>20.269999999999996</v>
      </c>
      <c r="BC44" s="13">
        <f t="array" ref="BC44">INDEX(BB:BB,MIN(IF(ISNUMBER(BB44:BB240),ROW(BB44:BB240),"")))</f>
        <v>20.269999999999996</v>
      </c>
      <c r="BD44" s="13">
        <f>IF('Données projet'!$A$88&gt;35,BD43+BC44-BL43,IF(A44&lt;'Données projet'!$A$88,$BA$205^A44,IF(A44='Données projet'!$A$88,'Données projet'!$B$88,BD43+BC44-BL43)))</f>
        <v>363.2</v>
      </c>
      <c r="BE44" s="14">
        <f>BD44*VLOOKUP('Données projet'!$B$11,Paramètres!$A$1:$I$89,3,0)*VLOOKUP('Données projet'!$B$11,Paramètres!$A$1:$I$89,5,0)</f>
        <v>217.1936</v>
      </c>
      <c r="BF44" s="14">
        <f t="shared" si="37"/>
        <v>53.504473537536725</v>
      </c>
      <c r="BG44" s="22">
        <f t="shared" si="7"/>
        <v>471.46581141120981</v>
      </c>
      <c r="BH44" s="62">
        <f t="shared" si="8"/>
        <v>764.79914474454313</v>
      </c>
      <c r="BI44" s="62">
        <f ca="1">AVERAGE(OFFSET($BH$3,0,0,'Données projet'!$E$11+1,1))-AVERAGE(OFFSET($H$3,0,0,'Données projet'!$E$11+1,1))</f>
        <v>361.81625684745416</v>
      </c>
      <c r="BJ44" s="62">
        <f t="shared" si="38"/>
        <v>302.25424592654684</v>
      </c>
      <c r="BK44" s="16">
        <f>IF(ISNA(VLOOKUP(A44,'Données projet'!$A$87:$I$107,3,0)),0,VLOOKUP(A44,'Données projet'!$A$87:$I$107,3,0))</f>
        <v>8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0.27</v>
      </c>
      <c r="BN44" s="17">
        <f>IF(ISNA(VLOOKUP(A44,'Données projet'!$A$87:$I$107,6,0)),0%,VLOOKUP(A44,'Données projet'!$A$87:$I$107,6,0)*VLOOKUP('Données projet'!$B$11,Paramètres!$A$1:$I$89,7,0))</f>
        <v>9.9000000000000005E-2</v>
      </c>
      <c r="BO44" s="17">
        <f>IF(ISNA(VLOOKUP(A44,'Données projet'!$A$87:$I$107,7,0)),0%,VLOOKUP(A44,'Données projet'!$A$87:$I$107,7,0))</f>
        <v>0.18</v>
      </c>
      <c r="BP44" s="23">
        <f>EXP(-LN(2)/35)*BP43+(1-EXP(-LN(2)/35))/(LN(2)/35)*BL44*BM44*VLOOKUP('Données projet'!$B$11,Paramètres!$A$1:$I$89,3,0)*0.475*44/12</f>
        <v>21.194905396454033</v>
      </c>
      <c r="BQ44" s="23">
        <f>EXP(-LN(2)/25)*BQ43+(1-EXP(-LN(2)/25))/(LN(2)/25)*Calculateur!BL44*Calculateur!BN44*VLOOKUP('Données projet'!$B$11,Paramètres!$A$1:$I$89,3,0)*0.475*44/12</f>
        <v>19.39053474252718</v>
      </c>
      <c r="BR44" s="23">
        <f>EXP(-LN(2)/2)*BR43+(1-EXP(-LN(2)/2))/(LN(2)/2)*BL44*BO44*VLOOKUP('Données projet'!$B$11,Paramètres!$A$1:$I$89,3,0)*0.475*44/12</f>
        <v>2.3435526552765231</v>
      </c>
      <c r="BS44" s="24">
        <f t="shared" si="9"/>
        <v>42.928992794257738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26.8</v>
      </c>
      <c r="N45" s="14">
        <f>IF('Données projet'!$A$36&gt;35,N44+M45-V44,IF(A45&lt;'Données projet'!$A$36,$K$205^A45,IF(A45='Données projet'!$A$36,'Données projet'!$B$36,N44+M45-V44)))</f>
        <v>509.59999999999985</v>
      </c>
      <c r="O45" s="14">
        <f>N45*VLOOKUP('Données projet'!$B$9,Paramètres!$A$1:$I$89,3,0)*VLOOKUP('Données projet'!$B$9,Paramètres!$A$1:$I$89,5,0)</f>
        <v>284.86639999999994</v>
      </c>
      <c r="P45" s="14">
        <f t="shared" si="33"/>
        <v>67.994385506982709</v>
      </c>
      <c r="Q45" s="22">
        <f t="shared" si="53"/>
        <v>614.56586809132807</v>
      </c>
      <c r="R45" s="62">
        <f t="shared" si="0"/>
        <v>907.89920142466144</v>
      </c>
      <c r="S45" s="62">
        <f ca="1">AVERAGE(OFFSET($R$3,0,0,'Données projet'!$E$9+1,1))-AVERAGE(OFFSET($H$3,0,0,'Données projet'!$E$9+1,1))</f>
        <v>500.52921520843432</v>
      </c>
      <c r="T45" s="62">
        <f t="shared" si="34"/>
        <v>430.43167430170087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50.233516189019142</v>
      </c>
      <c r="AA45" s="23">
        <f>EXP(-LN(2)/25)*AA44+(1-EXP(-LN(2)/25))/(LN(2)/25)*Calculateur!V45*Calculateur!X45*VLOOKUP('Données projet'!$B$9,Paramètres!$A$1:$I$89,3,0)*0.475*44/12</f>
        <v>42.949721737347524</v>
      </c>
      <c r="AB45" s="23">
        <f>EXP(-LN(2)/2)*AB44+(1-EXP(-LN(2)/2))/(LN(2)/2)*V45*Y45*VLOOKUP('Données projet'!$B$9,Paramètres!$A$1:$I$89,3,0)*0.475*44/12</f>
        <v>5.5883689924102633</v>
      </c>
      <c r="AC45" s="24">
        <f t="shared" si="3"/>
        <v>98.771606918776939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14</v>
      </c>
      <c r="AI45" s="14">
        <f>IF('Données projet'!$A$62&gt;35,AI44+AH45-AQ44,IF(A45&lt;'Données projet'!$A$62,$AF$205^A45,IF(A45='Données projet'!$A$62,'Données projet'!$B$62,AI44+AH45-AQ44)))</f>
        <v>278</v>
      </c>
      <c r="AJ45" s="14">
        <f>AI45*VLOOKUP('Données projet'!$B$10,Paramètres!$A$1:$I$89,3,0)*VLOOKUP('Données projet'!$B$10,Paramètres!$A$1:$I$89,5,0)</f>
        <v>130.10400000000001</v>
      </c>
      <c r="AK45" s="14">
        <f t="shared" si="35"/>
        <v>34.020389560268086</v>
      </c>
      <c r="AL45" s="22">
        <f t="shared" si="4"/>
        <v>285.8499784841336</v>
      </c>
      <c r="AM45" s="62">
        <f t="shared" si="5"/>
        <v>579.18331181746692</v>
      </c>
      <c r="AN45" s="62">
        <f ca="1">AVERAGE(OFFSET($AM$3,0,0,'Données projet'!$E$10+1,1))-AVERAGE(OFFSET($H$3,0,0,'Données projet'!$E$10+1,1))</f>
        <v>265.57412766850422</v>
      </c>
      <c r="AO45" s="62">
        <f t="shared" si="36"/>
        <v>179.39213799913273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7.6152811644382199</v>
      </c>
      <c r="AV45" s="23">
        <f>EXP(-LN(2)/25)*AV44+(1-EXP(-LN(2)/25))/(LN(2)/25)*Calculateur!AQ45*Calculateur!AS45*VLOOKUP('Données projet'!$B$10,Paramètres!$A$1:$I$89,3,0)*0.475*44/12</f>
        <v>15.900821607552876</v>
      </c>
      <c r="AW45" s="23">
        <f>EXP(-LN(2)/2)*AW44+(1-EXP(-LN(2)/2))/(LN(2)/2)*AQ45*AT45*VLOOKUP('Données projet'!$B$10,Paramètres!$A$1:$I$89,3,0)*0.475*44/12</f>
        <v>4.2560505917241942</v>
      </c>
      <c r="AX45" s="23">
        <f t="shared" si="6"/>
        <v>27.77215336371529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20.612000000000002</v>
      </c>
      <c r="BD45" s="13">
        <f>IF('Données projet'!$A$88&gt;35,BD44+BC45-BL44,IF(A45&lt;'Données projet'!$A$88,$BA$205^A45,IF(A45='Données projet'!$A$88,'Données projet'!$B$88,BD44+BC45-BL44)))</f>
        <v>383.81200000000001</v>
      </c>
      <c r="BE45" s="14">
        <f>BD45*VLOOKUP('Données projet'!$B$11,Paramètres!$A$1:$I$89,3,0)*VLOOKUP('Données projet'!$B$11,Paramètres!$A$1:$I$89,5,0)</f>
        <v>229.51957600000003</v>
      </c>
      <c r="BF45" s="14">
        <f t="shared" si="37"/>
        <v>56.178789991832062</v>
      </c>
      <c r="BG45" s="22">
        <f t="shared" si="7"/>
        <v>497.59132076910754</v>
      </c>
      <c r="BH45" s="62">
        <f t="shared" si="8"/>
        <v>790.92465410244085</v>
      </c>
      <c r="BI45" s="62">
        <f ca="1">AVERAGE(OFFSET($BH$3,0,0,'Données projet'!$E$11+1,1))-AVERAGE(OFFSET($H$3,0,0,'Données projet'!$E$11+1,1))</f>
        <v>361.81625684745416</v>
      </c>
      <c r="BJ45" s="62">
        <f t="shared" si="38"/>
        <v>302.25424592654684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20.779286229245365</v>
      </c>
      <c r="BQ45" s="23">
        <f>EXP(-LN(2)/25)*BQ44+(1-EXP(-LN(2)/25))/(LN(2)/25)*Calculateur!BL45*Calculateur!BN45*VLOOKUP('Données projet'!$B$11,Paramètres!$A$1:$I$89,3,0)*0.475*44/12</f>
        <v>18.860299550288868</v>
      </c>
      <c r="BR45" s="23">
        <f>EXP(-LN(2)/2)*BR44+(1-EXP(-LN(2)/2))/(LN(2)/2)*BL45*BO45*VLOOKUP('Données projet'!$B$11,Paramètres!$A$1:$I$89,3,0)*0.475*44/12</f>
        <v>1.657141974613769</v>
      </c>
      <c r="BS45" s="24">
        <f t="shared" si="9"/>
        <v>41.296727754148002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26.8</v>
      </c>
      <c r="N46" s="14">
        <f>IF('Données projet'!$A$36&gt;35,N45+M46-V45,IF(A46&lt;'Données projet'!$A$36,$K$205^A46,IF(A46='Données projet'!$A$36,'Données projet'!$B$36,N45+M46-V45)))</f>
        <v>536.39999999999986</v>
      </c>
      <c r="O46" s="14">
        <f>N46*VLOOKUP('Données projet'!$B$9,Paramètres!$A$1:$I$89,3,0)*VLOOKUP('Données projet'!$B$9,Paramètres!$A$1:$I$89,5,0)</f>
        <v>299.84759999999994</v>
      </c>
      <c r="P46" s="14">
        <f t="shared" si="33"/>
        <v>71.144513637172878</v>
      </c>
      <c r="Q46" s="22">
        <f t="shared" si="53"/>
        <v>646.14459791807587</v>
      </c>
      <c r="R46" s="62">
        <f t="shared" si="0"/>
        <v>939.47793125140925</v>
      </c>
      <c r="S46" s="62">
        <f ca="1">AVERAGE(OFFSET($R$3,0,0,'Données projet'!$E$9+1,1))-AVERAGE(OFFSET($H$3,0,0,'Données projet'!$E$9+1,1))</f>
        <v>500.52921520843432</v>
      </c>
      <c r="T46" s="62">
        <f t="shared" si="34"/>
        <v>430.43167430170087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49.248467575971958</v>
      </c>
      <c r="AA46" s="23">
        <f>EXP(-LN(2)/25)*AA45+(1-EXP(-LN(2)/25))/(LN(2)/25)*Calculateur!V46*Calculateur!X46*VLOOKUP('Données projet'!$B$9,Paramètres!$A$1:$I$89,3,0)*0.475*44/12</f>
        <v>41.775259337812052</v>
      </c>
      <c r="AB46" s="23">
        <f>EXP(-LN(2)/2)*AB45+(1-EXP(-LN(2)/2))/(LN(2)/2)*V46*Y46*VLOOKUP('Données projet'!$B$9,Paramètres!$A$1:$I$89,3,0)*0.475*44/12</f>
        <v>3.9515736103059313</v>
      </c>
      <c r="AC46" s="24">
        <f t="shared" si="3"/>
        <v>94.975300524089931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</v>
      </c>
      <c r="AI46" s="14">
        <f>IF('Données projet'!$A$62&gt;35,AI45+AH46-AQ45,IF(A46&lt;'Données projet'!$A$62,$AF$205^A46,IF(A46='Données projet'!$A$62,'Données projet'!$B$62,AI45+AH46-AQ45)))</f>
        <v>292</v>
      </c>
      <c r="AJ46" s="14">
        <f>AI46*VLOOKUP('Données projet'!$B$10,Paramètres!$A$1:$I$89,3,0)*VLOOKUP('Données projet'!$B$10,Paramètres!$A$1:$I$89,5,0)</f>
        <v>136.65600000000001</v>
      </c>
      <c r="AK46" s="14">
        <f t="shared" si="35"/>
        <v>35.52986752364091</v>
      </c>
      <c r="AL46" s="22">
        <f t="shared" si="4"/>
        <v>299.89038593700792</v>
      </c>
      <c r="AM46" s="62">
        <f t="shared" si="5"/>
        <v>593.22371927034123</v>
      </c>
      <c r="AN46" s="62">
        <f ca="1">AVERAGE(OFFSET($AM$3,0,0,'Données projet'!$E$10+1,1))-AVERAGE(OFFSET($H$3,0,0,'Données projet'!$E$10+1,1))</f>
        <v>265.57412766850422</v>
      </c>
      <c r="AO46" s="62">
        <f t="shared" si="36"/>
        <v>179.39213799913273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7.4659501456664543</v>
      </c>
      <c r="AV46" s="23">
        <f>EXP(-LN(2)/25)*AV45+(1-EXP(-LN(2)/25))/(LN(2)/25)*Calculateur!AQ46*Calculateur!AS46*VLOOKUP('Données projet'!$B$10,Paramètres!$A$1:$I$89,3,0)*0.475*44/12</f>
        <v>15.466012804506477</v>
      </c>
      <c r="AW46" s="23">
        <f>EXP(-LN(2)/2)*AW45+(1-EXP(-LN(2)/2))/(LN(2)/2)*AQ46*AT46*VLOOKUP('Données projet'!$B$10,Paramètres!$A$1:$I$89,3,0)*0.475*44/12</f>
        <v>3.009482234481196</v>
      </c>
      <c r="AX46" s="23">
        <f t="shared" si="6"/>
        <v>25.941445184654128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20.612000000000002</v>
      </c>
      <c r="BD46" s="13">
        <f>IF('Données projet'!$A$88&gt;35,BD45+BC46-BL45,IF(A46&lt;'Données projet'!$A$88,$BA$205^A46,IF(A46='Données projet'!$A$88,'Données projet'!$B$88,BD45+BC46-BL45)))</f>
        <v>404.42400000000004</v>
      </c>
      <c r="BE46" s="14">
        <f>BD46*VLOOKUP('Données projet'!$B$11,Paramètres!$A$1:$I$89,3,0)*VLOOKUP('Données projet'!$B$11,Paramètres!$A$1:$I$89,5,0)</f>
        <v>241.84555200000005</v>
      </c>
      <c r="BF46" s="14">
        <f t="shared" si="37"/>
        <v>58.836432780420971</v>
      </c>
      <c r="BG46" s="22">
        <f t="shared" si="7"/>
        <v>523.68779015923326</v>
      </c>
      <c r="BH46" s="62">
        <f t="shared" si="8"/>
        <v>817.02112349256663</v>
      </c>
      <c r="BI46" s="62">
        <f ca="1">AVERAGE(OFFSET($BH$3,0,0,'Données projet'!$E$11+1,1))-AVERAGE(OFFSET($H$3,0,0,'Données projet'!$E$11+1,1))</f>
        <v>361.81625684745416</v>
      </c>
      <c r="BJ46" s="62">
        <f t="shared" si="38"/>
        <v>302.25424592654684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20.371817100403</v>
      </c>
      <c r="BQ46" s="23">
        <f>EXP(-LN(2)/25)*BQ45+(1-EXP(-LN(2)/25))/(LN(2)/25)*Calculateur!BL46*Calculateur!BN46*VLOOKUP('Données projet'!$B$11,Paramètres!$A$1:$I$89,3,0)*0.475*44/12</f>
        <v>18.344563667266172</v>
      </c>
      <c r="BR46" s="23">
        <f>EXP(-LN(2)/2)*BR45+(1-EXP(-LN(2)/2))/(LN(2)/2)*BL46*BO46*VLOOKUP('Données projet'!$B$11,Paramètres!$A$1:$I$89,3,0)*0.475*44/12</f>
        <v>1.1717763276382618</v>
      </c>
      <c r="BS46" s="24">
        <f t="shared" si="9"/>
        <v>39.888157095307434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26.8</v>
      </c>
      <c r="N47" s="14">
        <f>IF('Données projet'!$A$36&gt;35,N46+M47-V46,IF(A47&lt;'Données projet'!$A$36,$K$205^A47,IF(A47='Données projet'!$A$36,'Données projet'!$B$36,N46+M47-V46)))</f>
        <v>563.19999999999982</v>
      </c>
      <c r="O47" s="14">
        <f>N47*VLOOKUP('Données projet'!$B$9,Paramètres!$A$1:$I$89,3,0)*VLOOKUP('Données projet'!$B$9,Paramètres!$A$1:$I$89,5,0)</f>
        <v>314.82879999999994</v>
      </c>
      <c r="P47" s="14">
        <f t="shared" si="33"/>
        <v>74.276366834686598</v>
      </c>
      <c r="Q47" s="22">
        <f t="shared" si="53"/>
        <v>677.6914989037457</v>
      </c>
      <c r="R47" s="62">
        <f t="shared" si="0"/>
        <v>971.02483223707895</v>
      </c>
      <c r="S47" s="62">
        <f ca="1">AVERAGE(OFFSET($R$3,0,0,'Données projet'!$E$9+1,1))-AVERAGE(OFFSET($H$3,0,0,'Données projet'!$E$9+1,1))</f>
        <v>500.52921520843432</v>
      </c>
      <c r="T47" s="62">
        <f t="shared" si="34"/>
        <v>430.43167430170087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48.282735165406301</v>
      </c>
      <c r="AA47" s="23">
        <f>EXP(-LN(2)/25)*AA46+(1-EXP(-LN(2)/25))/(LN(2)/25)*Calculateur!V47*Calculateur!X47*VLOOKUP('Données projet'!$B$9,Paramètres!$A$1:$I$89,3,0)*0.475*44/12</f>
        <v>40.632912674354174</v>
      </c>
      <c r="AB47" s="23">
        <f>EXP(-LN(2)/2)*AB46+(1-EXP(-LN(2)/2))/(LN(2)/2)*V47*Y47*VLOOKUP('Données projet'!$B$9,Paramètres!$A$1:$I$89,3,0)*0.475*44/12</f>
        <v>2.7941844962051321</v>
      </c>
      <c r="AC47" s="24">
        <f t="shared" si="3"/>
        <v>91.709832335965615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</v>
      </c>
      <c r="AI47" s="14">
        <f>IF('Données projet'!$A$62&gt;35,AI46+AH47-AQ46,IF(A47&lt;'Données projet'!$A$62,$AF$205^A47,IF(A47='Données projet'!$A$62,'Données projet'!$B$62,AI46+AH47-AQ46)))</f>
        <v>306</v>
      </c>
      <c r="AJ47" s="14">
        <f>AI47*VLOOKUP('Données projet'!$B$10,Paramètres!$A$1:$I$89,3,0)*VLOOKUP('Données projet'!$B$10,Paramètres!$A$1:$I$89,5,0)</f>
        <v>143.208</v>
      </c>
      <c r="AK47" s="14">
        <f t="shared" si="35"/>
        <v>37.030941422835802</v>
      </c>
      <c r="AL47" s="22">
        <f t="shared" si="4"/>
        <v>313.91615631143901</v>
      </c>
      <c r="AM47" s="62">
        <f t="shared" si="5"/>
        <v>607.24948964477232</v>
      </c>
      <c r="AN47" s="62">
        <f ca="1">AVERAGE(OFFSET($AM$3,0,0,'Données projet'!$E$10+1,1))-AVERAGE(OFFSET($H$3,0,0,'Données projet'!$E$10+1,1))</f>
        <v>265.57412766850422</v>
      </c>
      <c r="AO47" s="62">
        <f t="shared" si="36"/>
        <v>179.39213799913273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7.3195474170898756</v>
      </c>
      <c r="AV47" s="23">
        <f>EXP(-LN(2)/25)*AV46+(1-EXP(-LN(2)/25))/(LN(2)/25)*Calculateur!AQ47*Calculateur!AS47*VLOOKUP('Données projet'!$B$10,Paramètres!$A$1:$I$89,3,0)*0.475*44/12</f>
        <v>15.043093871044981</v>
      </c>
      <c r="AW47" s="23">
        <f>EXP(-LN(2)/2)*AW46+(1-EXP(-LN(2)/2))/(LN(2)/2)*AQ47*AT47*VLOOKUP('Données projet'!$B$10,Paramètres!$A$1:$I$89,3,0)*0.475*44/12</f>
        <v>2.1280252958620971</v>
      </c>
      <c r="AX47" s="23">
        <f t="shared" si="6"/>
        <v>24.490666583996955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20.612000000000002</v>
      </c>
      <c r="BD47" s="13">
        <f>IF('Données projet'!$A$88&gt;35,BD46+BC47-BL46,IF(A47&lt;'Données projet'!$A$88,$BA$205^A47,IF(A47='Données projet'!$A$88,'Données projet'!$B$88,BD46+BC47-BL46)))</f>
        <v>425.03600000000006</v>
      </c>
      <c r="BE47" s="14">
        <f>BD47*VLOOKUP('Données projet'!$B$11,Paramètres!$A$1:$I$89,3,0)*VLOOKUP('Données projet'!$B$11,Paramètres!$A$1:$I$89,5,0)</f>
        <v>254.17152800000005</v>
      </c>
      <c r="BF47" s="14">
        <f t="shared" si="37"/>
        <v>61.47834864609284</v>
      </c>
      <c r="BG47" s="22">
        <f t="shared" si="7"/>
        <v>549.75686849194506</v>
      </c>
      <c r="BH47" s="62">
        <f t="shared" si="8"/>
        <v>843.09020182527843</v>
      </c>
      <c r="BI47" s="62">
        <f ca="1">AVERAGE(OFFSET($BH$3,0,0,'Données projet'!$E$11+1,1))-AVERAGE(OFFSET($H$3,0,0,'Données projet'!$E$11+1,1))</f>
        <v>361.81625684745416</v>
      </c>
      <c r="BJ47" s="62">
        <f t="shared" si="38"/>
        <v>302.25424592654684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19.972338192645605</v>
      </c>
      <c r="BQ47" s="23">
        <f>EXP(-LN(2)/25)*BQ46+(1-EXP(-LN(2)/25))/(LN(2)/25)*Calculateur!BL47*Calculateur!BN47*VLOOKUP('Données projet'!$B$11,Paramètres!$A$1:$I$89,3,0)*0.475*44/12</f>
        <v>17.842930609086103</v>
      </c>
      <c r="BR47" s="23">
        <f>EXP(-LN(2)/2)*BR46+(1-EXP(-LN(2)/2))/(LN(2)/2)*BL47*BO47*VLOOKUP('Données projet'!$B$11,Paramètres!$A$1:$I$89,3,0)*0.475*44/12</f>
        <v>0.82857098730688461</v>
      </c>
      <c r="BS47" s="24">
        <f t="shared" si="9"/>
        <v>38.643839789038587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590</v>
      </c>
      <c r="L48" s="13">
        <f>VLOOKUP(A48,'Données projet'!$A$35:$I$55,9,0)</f>
        <v>26.8</v>
      </c>
      <c r="M48" s="13">
        <f t="array" ref="M48">INDEX(L:L,MIN(IF(ISNUMBER(L48:L244),ROW(L48:L244),"")))</f>
        <v>26.8</v>
      </c>
      <c r="N48" s="14">
        <f>IF('Données projet'!$A$36&gt;35,N47+M48-V47,IF(A48&lt;'Données projet'!$A$36,$K$205^A48,IF(A48='Données projet'!$A$36,'Données projet'!$B$36,N47+M48-V47)))</f>
        <v>589.99999999999977</v>
      </c>
      <c r="O48" s="14">
        <f>N48*VLOOKUP('Données projet'!$B$9,Paramètres!$A$1:$I$89,3,0)*VLOOKUP('Données projet'!$B$9,Paramètres!$A$1:$I$89,5,0)</f>
        <v>329.80999999999989</v>
      </c>
      <c r="P48" s="14">
        <f t="shared" si="33"/>
        <v>77.390914004010796</v>
      </c>
      <c r="Q48" s="22">
        <f t="shared" si="53"/>
        <v>709.20825855698513</v>
      </c>
      <c r="R48" s="62">
        <f t="shared" si="0"/>
        <v>1002.5415918903184</v>
      </c>
      <c r="S48" s="62">
        <f ca="1">AVERAGE(OFFSET($R$3,0,0,'Données projet'!$E$9+1,1))-AVERAGE(OFFSET($H$3,0,0,'Données projet'!$E$9+1,1))</f>
        <v>500.52921520843432</v>
      </c>
      <c r="T48" s="62">
        <f t="shared" si="34"/>
        <v>430.43167430170087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76</v>
      </c>
      <c r="W48" s="17">
        <f>IF(ISNA(VLOOKUP(A48,'Données projet'!$A$35:$I$55,5,0)),0%,VLOOKUP(A48,'Données projet'!$A$35:$I$55,5,0)*VLOOKUP('Données projet'!$B$9,Paramètres!$A$1:$I$89,7,0))</f>
        <v>0.38500000000000001</v>
      </c>
      <c r="X48" s="17">
        <f>IF(ISNA(VLOOKUP(A48,'Données projet'!$A$35:$I$55,6,0)),0%,VLOOKUP(A48,'Données projet'!$A$35:$I$55,6,0)*VLOOKUP('Données projet'!$B$9,Paramètres!$A$1:$I$89,7,0))</f>
        <v>9.3500000000000014E-2</v>
      </c>
      <c r="Y48" s="17">
        <f>IF(ISNA(VLOOKUP(A48,'Données projet'!$A$35:$I$55,7,0)),0%,VLOOKUP(A48,'Données projet'!$A$35:$I$55,7,0))</f>
        <v>0.13</v>
      </c>
      <c r="Z48" s="23">
        <f>EXP(-LN(2)/35)*Z47+(1-EXP(-LN(2)/35))/(LN(2)/35)*V48*W48*VLOOKUP('Données projet'!$B$9,Paramètres!$A$1:$I$89,3,0)*0.475*44/12</f>
        <v>69.033679443457203</v>
      </c>
      <c r="AA48" s="23">
        <f>EXP(-LN(2)/25)*AA47+(1-EXP(-LN(2)/25))/(LN(2)/25)*Calculateur!V48*Calculateur!X48*VLOOKUP('Données projet'!$B$9,Paramètres!$A$1:$I$89,3,0)*0.475*44/12</f>
        <v>44.7705066685945</v>
      </c>
      <c r="AB48" s="23">
        <f>EXP(-LN(2)/2)*AB47+(1-EXP(-LN(2)/2))/(LN(2)/2)*V48*Y48*VLOOKUP('Données projet'!$B$9,Paramètres!$A$1:$I$89,3,0)*0.475*44/12</f>
        <v>8.2290152058078352</v>
      </c>
      <c r="AC48" s="24">
        <f t="shared" si="3"/>
        <v>122.03320131785954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14</v>
      </c>
      <c r="AI48" s="14">
        <f>IF('Données projet'!$A$62&gt;35,AI47+AH48-AQ47,IF(A48&lt;'Données projet'!$A$62,$AF$205^A48,IF(A48='Données projet'!$A$62,'Données projet'!$B$62,AI47+AH48-AQ47)))</f>
        <v>320</v>
      </c>
      <c r="AJ48" s="14">
        <f>AI48*VLOOKUP('Données projet'!$B$10,Paramètres!$A$1:$I$89,3,0)*VLOOKUP('Données projet'!$B$10,Paramètres!$A$1:$I$89,5,0)</f>
        <v>149.76</v>
      </c>
      <c r="AK48" s="14">
        <f t="shared" si="35"/>
        <v>38.524039677774802</v>
      </c>
      <c r="AL48" s="22">
        <f t="shared" si="4"/>
        <v>327.92803577212442</v>
      </c>
      <c r="AM48" s="62">
        <f t="shared" si="5"/>
        <v>621.26136910545779</v>
      </c>
      <c r="AN48" s="62">
        <f ca="1">AVERAGE(OFFSET($AM$3,0,0,'Données projet'!$E$10+1,1))-AVERAGE(OFFSET($H$3,0,0,'Données projet'!$E$10+1,1))</f>
        <v>265.57412766850422</v>
      </c>
      <c r="AO48" s="62">
        <f t="shared" si="36"/>
        <v>179.39213799913273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7.1760155567238364</v>
      </c>
      <c r="AV48" s="23">
        <f>EXP(-LN(2)/25)*AV47+(1-EXP(-LN(2)/25))/(LN(2)/25)*Calculateur!AQ48*Calculateur!AS48*VLOOKUP('Données projet'!$B$10,Paramètres!$A$1:$I$89,3,0)*0.475*44/12</f>
        <v>14.631739678059331</v>
      </c>
      <c r="AW48" s="23">
        <f>EXP(-LN(2)/2)*AW47+(1-EXP(-LN(2)/2))/(LN(2)/2)*AQ48*AT48*VLOOKUP('Données projet'!$B$10,Paramètres!$A$1:$I$89,3,0)*0.475*44/12</f>
        <v>1.504741117240598</v>
      </c>
      <c r="AX48" s="23">
        <f t="shared" si="6"/>
        <v>23.312496352023764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20.612000000000002</v>
      </c>
      <c r="BD48" s="13">
        <f>IF('Données projet'!$A$88&gt;35,BD47+BC48-BL47,IF(A48&lt;'Données projet'!$A$88,$BA$205^A48,IF(A48='Données projet'!$A$88,'Données projet'!$B$88,BD47+BC48-BL47)))</f>
        <v>445.64800000000008</v>
      </c>
      <c r="BE48" s="14">
        <f>BD48*VLOOKUP('Données projet'!$B$11,Paramètres!$A$1:$I$89,3,0)*VLOOKUP('Données projet'!$B$11,Paramètres!$A$1:$I$89,5,0)</f>
        <v>266.49750400000005</v>
      </c>
      <c r="BF48" s="14">
        <f t="shared" si="37"/>
        <v>64.105387319635156</v>
      </c>
      <c r="BG48" s="22">
        <f t="shared" si="7"/>
        <v>575.80003571503119</v>
      </c>
      <c r="BH48" s="62">
        <f t="shared" si="8"/>
        <v>869.13336904836456</v>
      </c>
      <c r="BI48" s="62">
        <f ca="1">AVERAGE(OFFSET($BH$3,0,0,'Données projet'!$E$11+1,1))-AVERAGE(OFFSET($H$3,0,0,'Données projet'!$E$11+1,1))</f>
        <v>361.81625684745416</v>
      </c>
      <c r="BJ48" s="62">
        <f t="shared" si="38"/>
        <v>302.25424592654684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19.580692822611258</v>
      </c>
      <c r="BQ48" s="23">
        <f>EXP(-LN(2)/25)*BQ47+(1-EXP(-LN(2)/25))/(LN(2)/25)*Calculateur!BL48*Calculateur!BN48*VLOOKUP('Données projet'!$B$11,Paramètres!$A$1:$I$89,3,0)*0.475*44/12</f>
        <v>17.355014733261704</v>
      </c>
      <c r="BR48" s="23">
        <f>EXP(-LN(2)/2)*BR47+(1-EXP(-LN(2)/2))/(LN(2)/2)*BL48*BO48*VLOOKUP('Données projet'!$B$11,Paramètres!$A$1:$I$89,3,0)*0.475*44/12</f>
        <v>0.58588816381913089</v>
      </c>
      <c r="BS48" s="24">
        <f t="shared" si="9"/>
        <v>37.521595719692094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24.4</v>
      </c>
      <c r="N49" s="14">
        <f>IF('Données projet'!$A$36&gt;35,N48+M49-V48,IF(A49&lt;'Données projet'!$A$36,$K$205^A49,IF(A49='Données projet'!$A$36,'Données projet'!$B$36,N48+M49-V48)))</f>
        <v>538.39999999999975</v>
      </c>
      <c r="O49" s="14">
        <f>N49*VLOOKUP('Données projet'!$B$9,Paramètres!$A$1:$I$89,3,0)*VLOOKUP('Données projet'!$B$9,Paramètres!$A$1:$I$89,5,0)</f>
        <v>300.96559999999988</v>
      </c>
      <c r="P49" s="14">
        <f t="shared" si="33"/>
        <v>71.378852450242732</v>
      </c>
      <c r="Q49" s="22">
        <f t="shared" si="53"/>
        <v>648.49992135083914</v>
      </c>
      <c r="R49" s="62">
        <f t="shared" si="0"/>
        <v>941.83325468417252</v>
      </c>
      <c r="S49" s="62">
        <f ca="1">AVERAGE(OFFSET($R$3,0,0,'Données projet'!$E$9+1,1))-AVERAGE(OFFSET($H$3,0,0,'Données projet'!$E$9+1,1))</f>
        <v>500.52921520843432</v>
      </c>
      <c r="T49" s="62">
        <f t="shared" si="34"/>
        <v>430.43167430170087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67.679971095957811</v>
      </c>
      <c r="AA49" s="23">
        <f>EXP(-LN(2)/25)*AA48+(1-EXP(-LN(2)/25))/(LN(2)/25)*Calculateur!V49*Calculateur!X49*VLOOKUP('Données projet'!$B$9,Paramètres!$A$1:$I$89,3,0)*0.475*44/12</f>
        <v>43.546254809363163</v>
      </c>
      <c r="AB49" s="23">
        <f>EXP(-LN(2)/2)*AB48+(1-EXP(-LN(2)/2))/(LN(2)/2)*V49*Y49*VLOOKUP('Données projet'!$B$9,Paramètres!$A$1:$I$89,3,0)*0.475*44/12</f>
        <v>5.8187924545139333</v>
      </c>
      <c r="AC49" s="24">
        <f t="shared" si="3"/>
        <v>117.04501835983491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</v>
      </c>
      <c r="AI49" s="14">
        <f>IF('Données projet'!$A$62&gt;35,AI48+AH49-AQ48,IF(A49&lt;'Données projet'!$A$62,$AF$205^A49,IF(A49='Données projet'!$A$62,'Données projet'!$B$62,AI48+AH49-AQ48)))</f>
        <v>334</v>
      </c>
      <c r="AJ49" s="14">
        <f>AI49*VLOOKUP('Données projet'!$B$10,Paramètres!$A$1:$I$89,3,0)*VLOOKUP('Données projet'!$B$10,Paramètres!$A$1:$I$89,5,0)</f>
        <v>156.31200000000001</v>
      </c>
      <c r="AK49" s="14">
        <f t="shared" si="35"/>
        <v>40.009551101892576</v>
      </c>
      <c r="AL49" s="22">
        <f t="shared" si="4"/>
        <v>341.92670150246295</v>
      </c>
      <c r="AM49" s="62">
        <f t="shared" si="5"/>
        <v>635.2600348357962</v>
      </c>
      <c r="AN49" s="62">
        <f ca="1">AVERAGE(OFFSET($AM$3,0,0,'Données projet'!$E$10+1,1))-AVERAGE(OFFSET($H$3,0,0,'Données projet'!$E$10+1,1))</f>
        <v>265.57412766850422</v>
      </c>
      <c r="AO49" s="62">
        <f t="shared" si="36"/>
        <v>179.39213799913273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7.0352982685937846</v>
      </c>
      <c r="AV49" s="23">
        <f>EXP(-LN(2)/25)*AV48+(1-EXP(-LN(2)/25))/(LN(2)/25)*Calculateur!AQ49*Calculateur!AS49*VLOOKUP('Données projet'!$B$10,Paramètres!$A$1:$I$89,3,0)*0.475*44/12</f>
        <v>14.231633987113049</v>
      </c>
      <c r="AW49" s="23">
        <f>EXP(-LN(2)/2)*AW48+(1-EXP(-LN(2)/2))/(LN(2)/2)*AQ49*AT49*VLOOKUP('Données projet'!$B$10,Paramètres!$A$1:$I$89,3,0)*0.475*44/12</f>
        <v>1.0640126479310485</v>
      </c>
      <c r="AX49" s="23">
        <f t="shared" si="6"/>
        <v>22.330944903637882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466.26</v>
      </c>
      <c r="BB49" s="13">
        <f>VLOOKUP(A49,'Données projet'!$A$87:$I$107,9,0)</f>
        <v>20.612000000000002</v>
      </c>
      <c r="BC49" s="13">
        <f t="array" ref="BC49">INDEX(BB:BB,MIN(IF(ISNUMBER(BB49:BB245),ROW(BB49:BB245),"")))</f>
        <v>20.612000000000002</v>
      </c>
      <c r="BD49" s="13">
        <f>IF('Données projet'!$A$88&gt;35,BD48+BC49-BL48,IF(A49&lt;'Données projet'!$A$88,$BA$205^A49,IF(A49='Données projet'!$A$88,'Données projet'!$B$88,BD48+BC49-BL48)))</f>
        <v>466.2600000000001</v>
      </c>
      <c r="BE49" s="14">
        <f>BD49*VLOOKUP('Données projet'!$B$11,Paramètres!$A$1:$I$89,3,0)*VLOOKUP('Données projet'!$B$11,Paramètres!$A$1:$I$89,5,0)</f>
        <v>278.82348000000007</v>
      </c>
      <c r="BF49" s="14">
        <f t="shared" si="37"/>
        <v>66.718315486273781</v>
      </c>
      <c r="BG49" s="22">
        <f t="shared" si="7"/>
        <v>601.81862713859357</v>
      </c>
      <c r="BH49" s="62">
        <f t="shared" si="8"/>
        <v>895.15196047192694</v>
      </c>
      <c r="BI49" s="62">
        <f ca="1">AVERAGE(OFFSET($BH$3,0,0,'Données projet'!$E$11+1,1))-AVERAGE(OFFSET($H$3,0,0,'Données projet'!$E$11+1,1))</f>
        <v>361.81625684745416</v>
      </c>
      <c r="BJ49" s="62">
        <f t="shared" si="38"/>
        <v>302.25424592654684</v>
      </c>
      <c r="BK49" s="16">
        <f>IF(ISNA(VLOOKUP(A49,'Données projet'!$A$87:$I$107,3,0)),0,VLOOKUP(A49,'Données projet'!$A$87:$I$107,3,0))</f>
        <v>9</v>
      </c>
      <c r="BL49" s="16">
        <f>IF(ISNA(VLOOKUP(A49,'Données projet'!$A$87:$I$107,4,0)),0,VLOOKUP(A49,'Données projet'!$A$87:$I$107,4,0))</f>
        <v>93</v>
      </c>
      <c r="BM49" s="17">
        <f>IF(ISNA(VLOOKUP(A49,'Données projet'!$A$87:$I$107,5,0)),0%,VLOOKUP(A49,'Données projet'!$A$87:$I$107,5,0)*VLOOKUP('Données projet'!$B$11,Paramètres!$A$1:$I$89,7,0))</f>
        <v>0.315</v>
      </c>
      <c r="BN49" s="17">
        <f>IF(ISNA(VLOOKUP(A49,'Données projet'!$A$87:$I$107,6,0)),0%,VLOOKUP(A49,'Données projet'!$A$87:$I$107,6,0)*VLOOKUP('Données projet'!$B$11,Paramètres!$A$1:$I$89,7,0))</f>
        <v>7.6500000000000012E-2</v>
      </c>
      <c r="BO49" s="17">
        <f>IF(ISNA(VLOOKUP(A49,'Données projet'!$A$87:$I$107,7,0)),0%,VLOOKUP(A49,'Données projet'!$A$87:$I$107,7,0))</f>
        <v>0.13</v>
      </c>
      <c r="BP49" s="23">
        <f>EXP(-LN(2)/35)*BP48+(1-EXP(-LN(2)/35))/(LN(2)/35)*BL49*BM49*VLOOKUP('Données projet'!$B$11,Paramètres!$A$1:$I$89,3,0)*0.475*44/12</f>
        <v>42.436027401219789</v>
      </c>
      <c r="BQ49" s="23">
        <f>EXP(-LN(2)/25)*BQ48+(1-EXP(-LN(2)/25))/(LN(2)/25)*Calculateur!BL49*Calculateur!BN49*VLOOKUP('Données projet'!$B$11,Paramètres!$A$1:$I$89,3,0)*0.475*44/12</f>
        <v>22.502049038819735</v>
      </c>
      <c r="BR49" s="23">
        <f>EXP(-LN(2)/2)*BR48+(1-EXP(-LN(2)/2))/(LN(2)/2)*BL49*BO49*VLOOKUP('Données projet'!$B$11,Paramètres!$A$1:$I$89,3,0)*0.475*44/12</f>
        <v>8.6001212029562382</v>
      </c>
      <c r="BS49" s="24">
        <f t="shared" si="9"/>
        <v>73.538197642995755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24.4</v>
      </c>
      <c r="N50" s="14">
        <f>IF('Données projet'!$A$36&gt;35,N49+M50-V49,IF(A50&lt;'Données projet'!$A$36,$K$205^A50,IF(A50='Données projet'!$A$36,'Données projet'!$B$36,N49+M50-V49)))</f>
        <v>562.79999999999973</v>
      </c>
      <c r="O50" s="14">
        <f>N50*VLOOKUP('Données projet'!$B$9,Paramètres!$A$1:$I$89,3,0)*VLOOKUP('Données projet'!$B$9,Paramètres!$A$1:$I$89,5,0)</f>
        <v>314.60519999999985</v>
      </c>
      <c r="P50" s="14">
        <f t="shared" si="33"/>
        <v>74.229752266996201</v>
      </c>
      <c r="Q50" s="22">
        <f t="shared" si="53"/>
        <v>677.22087519835145</v>
      </c>
      <c r="R50" s="62">
        <f t="shared" si="0"/>
        <v>970.55420853168471</v>
      </c>
      <c r="S50" s="62">
        <f ca="1">AVERAGE(OFFSET($R$3,0,0,'Données projet'!$E$9+1,1))-AVERAGE(OFFSET($H$3,0,0,'Données projet'!$E$9+1,1))</f>
        <v>500.52921520843432</v>
      </c>
      <c r="T50" s="62">
        <f t="shared" si="34"/>
        <v>430.43167430170087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66.352808143472316</v>
      </c>
      <c r="AA50" s="23">
        <f>EXP(-LN(2)/25)*AA49+(1-EXP(-LN(2)/25))/(LN(2)/25)*Calculateur!V50*Calculateur!X50*VLOOKUP('Données projet'!$B$9,Paramètres!$A$1:$I$89,3,0)*0.475*44/12</f>
        <v>42.355480181603113</v>
      </c>
      <c r="AB50" s="23">
        <f>EXP(-LN(2)/2)*AB49+(1-EXP(-LN(2)/2))/(LN(2)/2)*V50*Y50*VLOOKUP('Données projet'!$B$9,Paramètres!$A$1:$I$89,3,0)*0.475*44/12</f>
        <v>4.1145076029039176</v>
      </c>
      <c r="AC50" s="24">
        <f t="shared" si="3"/>
        <v>112.82279592797934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</v>
      </c>
      <c r="AI50" s="14">
        <f>IF('Données projet'!$A$62&gt;35,AI49+AH50-AQ49,IF(A50&lt;'Données projet'!$A$62,$AF$205^A50,IF(A50='Données projet'!$A$62,'Données projet'!$B$62,AI49+AH50-AQ49)))</f>
        <v>348</v>
      </c>
      <c r="AJ50" s="14">
        <f>AI50*VLOOKUP('Données projet'!$B$10,Paramètres!$A$1:$I$89,3,0)*VLOOKUP('Données projet'!$B$10,Paramètres!$A$1:$I$89,5,0)</f>
        <v>162.864</v>
      </c>
      <c r="AK50" s="14">
        <f t="shared" si="35"/>
        <v>41.487830069509123</v>
      </c>
      <c r="AL50" s="22">
        <f t="shared" si="4"/>
        <v>355.91277070439509</v>
      </c>
      <c r="AM50" s="62">
        <f t="shared" si="5"/>
        <v>649.2461040377284</v>
      </c>
      <c r="AN50" s="62">
        <f ca="1">AVERAGE(OFFSET($AM$3,0,0,'Données projet'!$E$10+1,1))-AVERAGE(OFFSET($H$3,0,0,'Données projet'!$E$10+1,1))</f>
        <v>265.57412766850422</v>
      </c>
      <c r="AO50" s="62">
        <f t="shared" si="36"/>
        <v>179.39213799913273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6.8973403606548924</v>
      </c>
      <c r="AV50" s="23">
        <f>EXP(-LN(2)/25)*AV49+(1-EXP(-LN(2)/25))/(LN(2)/25)*Calculateur!AQ50*Calculateur!AS50*VLOOKUP('Données projet'!$B$10,Paramètres!$A$1:$I$89,3,0)*0.475*44/12</f>
        <v>13.842469207326339</v>
      </c>
      <c r="AW50" s="23">
        <f>EXP(-LN(2)/2)*AW49+(1-EXP(-LN(2)/2))/(LN(2)/2)*AQ50*AT50*VLOOKUP('Données projet'!$B$10,Paramètres!$A$1:$I$89,3,0)*0.475*44/12</f>
        <v>0.752370558620299</v>
      </c>
      <c r="AX50" s="23">
        <f t="shared" si="6"/>
        <v>21.492180126601532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17.617500000000007</v>
      </c>
      <c r="BD50" s="13">
        <f>IF('Données projet'!$A$88&gt;35,BD49+BC50-BL49,IF(A50&lt;'Données projet'!$A$88,$BA$205^A50,IF(A50='Données projet'!$A$88,'Données projet'!$B$88,BD49+BC50-BL49)))</f>
        <v>390.87750000000011</v>
      </c>
      <c r="BE50" s="14">
        <f>BD50*VLOOKUP('Données projet'!$B$11,Paramètres!$A$1:$I$89,3,0)*VLOOKUP('Données projet'!$B$11,Paramètres!$A$1:$I$89,5,0)</f>
        <v>233.74474500000008</v>
      </c>
      <c r="BF50" s="14">
        <f t="shared" si="37"/>
        <v>57.091620301844813</v>
      </c>
      <c r="BG50" s="22">
        <f t="shared" si="7"/>
        <v>506.5400029007132</v>
      </c>
      <c r="BH50" s="62">
        <f t="shared" si="8"/>
        <v>799.87333623404652</v>
      </c>
      <c r="BI50" s="62">
        <f ca="1">AVERAGE(OFFSET($BH$3,0,0,'Données projet'!$E$11+1,1))-AVERAGE(OFFSET($H$3,0,0,'Données projet'!$E$11+1,1))</f>
        <v>361.81625684745416</v>
      </c>
      <c r="BJ50" s="62">
        <f t="shared" si="38"/>
        <v>302.25424592654684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41.603882787302808</v>
      </c>
      <c r="BQ50" s="23">
        <f>EXP(-LN(2)/25)*BQ49+(1-EXP(-LN(2)/25))/(LN(2)/25)*Calculateur!BL50*Calculateur!BN50*VLOOKUP('Données projet'!$B$11,Paramètres!$A$1:$I$89,3,0)*0.475*44/12</f>
        <v>21.88672932452188</v>
      </c>
      <c r="BR50" s="23">
        <f>EXP(-LN(2)/2)*BR49+(1-EXP(-LN(2)/2))/(LN(2)/2)*BL50*BO50*VLOOKUP('Données projet'!$B$11,Paramètres!$A$1:$I$89,3,0)*0.475*44/12</f>
        <v>6.081204021636565</v>
      </c>
      <c r="BS50" s="24">
        <f t="shared" si="9"/>
        <v>69.571816133461255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24.4</v>
      </c>
      <c r="N51" s="14">
        <f>IF('Données projet'!$A$36&gt;35,N50+M51-V50,IF(A51&lt;'Données projet'!$A$36,$K$205^A51,IF(A51='Données projet'!$A$36,'Données projet'!$B$36,N50+M51-V50)))</f>
        <v>587.1999999999997</v>
      </c>
      <c r="O51" s="14">
        <f>N51*VLOOKUP('Données projet'!$B$9,Paramètres!$A$1:$I$89,3,0)*VLOOKUP('Données projet'!$B$9,Paramètres!$A$1:$I$89,5,0)</f>
        <v>328.24479999999983</v>
      </c>
      <c r="P51" s="14">
        <f t="shared" si="33"/>
        <v>77.066296561336628</v>
      </c>
      <c r="Q51" s="22">
        <f t="shared" si="53"/>
        <v>705.91682651099427</v>
      </c>
      <c r="R51" s="62">
        <f t="shared" si="0"/>
        <v>999.25015984432753</v>
      </c>
      <c r="S51" s="62">
        <f ca="1">AVERAGE(OFFSET($R$3,0,0,'Données projet'!$E$9+1,1))-AVERAGE(OFFSET($H$3,0,0,'Données projet'!$E$9+1,1))</f>
        <v>500.52921520843432</v>
      </c>
      <c r="T51" s="62">
        <f t="shared" si="34"/>
        <v>430.43167430170087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65.051670046995596</v>
      </c>
      <c r="AA51" s="23">
        <f>EXP(-LN(2)/25)*AA50+(1-EXP(-LN(2)/25))/(LN(2)/25)*Calculateur!V51*Calculateur!X51*VLOOKUP('Données projet'!$B$9,Paramètres!$A$1:$I$89,3,0)*0.475*44/12</f>
        <v>41.197267348659281</v>
      </c>
      <c r="AB51" s="23">
        <f>EXP(-LN(2)/2)*AB50+(1-EXP(-LN(2)/2))/(LN(2)/2)*V51*Y51*VLOOKUP('Données projet'!$B$9,Paramètres!$A$1:$I$89,3,0)*0.475*44/12</f>
        <v>2.9093962272569667</v>
      </c>
      <c r="AC51" s="24">
        <f t="shared" si="3"/>
        <v>109.15833362291184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</v>
      </c>
      <c r="AI51" s="14">
        <f>IF('Données projet'!$A$62&gt;35,AI50+AH51-AQ50,IF(A51&lt;'Données projet'!$A$62,$AF$205^A51,IF(A51='Données projet'!$A$62,'Données projet'!$B$62,AI50+AH51-AQ50)))</f>
        <v>362</v>
      </c>
      <c r="AJ51" s="14">
        <f>AI51*VLOOKUP('Données projet'!$B$10,Paramètres!$A$1:$I$89,3,0)*VLOOKUP('Données projet'!$B$10,Paramètres!$A$1:$I$89,5,0)</f>
        <v>169.416</v>
      </c>
      <c r="AK51" s="14">
        <f t="shared" si="35"/>
        <v>42.959200828261054</v>
      </c>
      <c r="AL51" s="22">
        <f t="shared" si="4"/>
        <v>369.88680810922136</v>
      </c>
      <c r="AM51" s="62">
        <f t="shared" si="5"/>
        <v>663.22014144255468</v>
      </c>
      <c r="AN51" s="62">
        <f ca="1">AVERAGE(OFFSET($AM$3,0,0,'Données projet'!$E$10+1,1))-AVERAGE(OFFSET($H$3,0,0,'Données projet'!$E$10+1,1))</f>
        <v>265.57412766850422</v>
      </c>
      <c r="AO51" s="62">
        <f t="shared" si="36"/>
        <v>179.39213799913273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6.762087723144667</v>
      </c>
      <c r="AV51" s="23">
        <f>EXP(-LN(2)/25)*AV50+(1-EXP(-LN(2)/25))/(LN(2)/25)*Calculateur!AQ51*Calculateur!AS51*VLOOKUP('Données projet'!$B$10,Paramètres!$A$1:$I$89,3,0)*0.475*44/12</f>
        <v>13.463946158908183</v>
      </c>
      <c r="AW51" s="23">
        <f>EXP(-LN(2)/2)*AW50+(1-EXP(-LN(2)/2))/(LN(2)/2)*AQ51*AT51*VLOOKUP('Données projet'!$B$10,Paramètres!$A$1:$I$89,3,0)*0.475*44/12</f>
        <v>0.53200632396552427</v>
      </c>
      <c r="AX51" s="23">
        <f t="shared" si="6"/>
        <v>20.758040206018375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17.617500000000007</v>
      </c>
      <c r="BD51" s="13">
        <f>IF('Données projet'!$A$88&gt;35,BD50+BC51-BL50,IF(A51&lt;'Données projet'!$A$88,$BA$205^A51,IF(A51='Données projet'!$A$88,'Données projet'!$B$88,BD50+BC51-BL50)))</f>
        <v>408.49500000000012</v>
      </c>
      <c r="BE51" s="14">
        <f>BD51*VLOOKUP('Données projet'!$B$11,Paramètres!$A$1:$I$89,3,0)*VLOOKUP('Données projet'!$B$11,Paramètres!$A$1:$I$89,5,0)</f>
        <v>244.28001000000009</v>
      </c>
      <c r="BF51" s="14">
        <f t="shared" si="37"/>
        <v>59.359445998964169</v>
      </c>
      <c r="BG51" s="22">
        <f t="shared" si="7"/>
        <v>528.83871919819615</v>
      </c>
      <c r="BH51" s="62">
        <f t="shared" si="8"/>
        <v>822.17205253152952</v>
      </c>
      <c r="BI51" s="62">
        <f ca="1">AVERAGE(OFFSET($BH$3,0,0,'Données projet'!$E$11+1,1))-AVERAGE(OFFSET($H$3,0,0,'Données projet'!$E$11+1,1))</f>
        <v>361.81625684745416</v>
      </c>
      <c r="BJ51" s="62">
        <f t="shared" si="38"/>
        <v>302.25424592654684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40.788056021706645</v>
      </c>
      <c r="BQ51" s="23">
        <f>EXP(-LN(2)/25)*BQ50+(1-EXP(-LN(2)/25))/(LN(2)/25)*Calculateur!BL51*Calculateur!BN51*VLOOKUP('Données projet'!$B$11,Paramètres!$A$1:$I$89,3,0)*0.475*44/12</f>
        <v>21.288235560169756</v>
      </c>
      <c r="BR51" s="23">
        <f>EXP(-LN(2)/2)*BR50+(1-EXP(-LN(2)/2))/(LN(2)/2)*BL51*BO51*VLOOKUP('Données projet'!$B$11,Paramètres!$A$1:$I$89,3,0)*0.475*44/12</f>
        <v>4.30006060147812</v>
      </c>
      <c r="BS51" s="24">
        <f t="shared" si="9"/>
        <v>66.376352183354527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24.4</v>
      </c>
      <c r="N52" s="14">
        <f>IF('Données projet'!$A$36&gt;35,N51+M52-V51,IF(A52&lt;'Données projet'!$A$36,$K$205^A52,IF(A52='Données projet'!$A$36,'Données projet'!$B$36,N51+M52-V51)))</f>
        <v>611.59999999999968</v>
      </c>
      <c r="O52" s="14">
        <f>N52*VLOOKUP('Données projet'!$B$9,Paramètres!$A$1:$I$89,3,0)*VLOOKUP('Données projet'!$B$9,Paramètres!$A$1:$I$89,5,0)</f>
        <v>341.88439999999986</v>
      </c>
      <c r="P52" s="14">
        <f t="shared" si="33"/>
        <v>79.889150066970018</v>
      </c>
      <c r="Q52" s="22">
        <f t="shared" si="53"/>
        <v>734.58893303330581</v>
      </c>
      <c r="R52" s="62">
        <f t="shared" si="0"/>
        <v>1027.9222663666392</v>
      </c>
      <c r="S52" s="62">
        <f ca="1">AVERAGE(OFFSET($R$3,0,0,'Données projet'!$E$9+1,1))-AVERAGE(OFFSET($H$3,0,0,'Données projet'!$E$9+1,1))</f>
        <v>500.52921520843432</v>
      </c>
      <c r="T52" s="62">
        <f t="shared" si="34"/>
        <v>430.43167430170087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63.776046474974905</v>
      </c>
      <c r="AA52" s="23">
        <f>EXP(-LN(2)/25)*AA51+(1-EXP(-LN(2)/25))/(LN(2)/25)*Calculateur!V52*Calculateur!X52*VLOOKUP('Données projet'!$B$9,Paramètres!$A$1:$I$89,3,0)*0.475*44/12</f>
        <v>40.070725906540062</v>
      </c>
      <c r="AB52" s="23">
        <f>EXP(-LN(2)/2)*AB51+(1-EXP(-LN(2)/2))/(LN(2)/2)*V52*Y52*VLOOKUP('Données projet'!$B$9,Paramètres!$A$1:$I$89,3,0)*0.475*44/12</f>
        <v>2.0572538014519588</v>
      </c>
      <c r="AC52" s="24">
        <f t="shared" si="3"/>
        <v>105.90402618296693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</v>
      </c>
      <c r="AI52" s="14">
        <f>IF('Données projet'!$A$62&gt;35,AI51+AH52-AQ51,IF(A52&lt;'Données projet'!$A$62,$AF$205^A52,IF(A52='Données projet'!$A$62,'Données projet'!$B$62,AI51+AH52-AQ51)))</f>
        <v>376</v>
      </c>
      <c r="AJ52" s="14">
        <f>AI52*VLOOKUP('Données projet'!$B$10,Paramètres!$A$1:$I$89,3,0)*VLOOKUP('Données projet'!$B$10,Paramètres!$A$1:$I$89,5,0)</f>
        <v>175.96799999999999</v>
      </c>
      <c r="AK52" s="14">
        <f t="shared" si="35"/>
        <v>44.423961125650585</v>
      </c>
      <c r="AL52" s="22">
        <f t="shared" si="4"/>
        <v>383.84933229384137</v>
      </c>
      <c r="AM52" s="62">
        <f t="shared" si="5"/>
        <v>677.18266562717463</v>
      </c>
      <c r="AN52" s="62">
        <f ca="1">AVERAGE(OFFSET($AM$3,0,0,'Données projet'!$E$10+1,1))-AVERAGE(OFFSET($H$3,0,0,'Données projet'!$E$10+1,1))</f>
        <v>265.57412766850422</v>
      </c>
      <c r="AO52" s="62">
        <f t="shared" si="36"/>
        <v>179.39213799913273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6.629487307360054</v>
      </c>
      <c r="AV52" s="23">
        <f>EXP(-LN(2)/25)*AV51+(1-EXP(-LN(2)/25))/(LN(2)/25)*Calculateur!AQ52*Calculateur!AS52*VLOOKUP('Données projet'!$B$10,Paramètres!$A$1:$I$89,3,0)*0.475*44/12</f>
        <v>13.095773843154682</v>
      </c>
      <c r="AW52" s="23">
        <f>EXP(-LN(2)/2)*AW51+(1-EXP(-LN(2)/2))/(LN(2)/2)*AQ52*AT52*VLOOKUP('Données projet'!$B$10,Paramètres!$A$1:$I$89,3,0)*0.475*44/12</f>
        <v>0.3761852793101495</v>
      </c>
      <c r="AX52" s="23">
        <f t="shared" si="6"/>
        <v>20.101446429824886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17.617500000000007</v>
      </c>
      <c r="BD52" s="13">
        <f>IF('Données projet'!$A$88&gt;35,BD51+BC52-BL51,IF(A52&lt;'Données projet'!$A$88,$BA$205^A52,IF(A52='Données projet'!$A$88,'Données projet'!$B$88,BD51+BC52-BL51)))</f>
        <v>426.11250000000013</v>
      </c>
      <c r="BE52" s="14">
        <f>BD52*VLOOKUP('Données projet'!$B$11,Paramètres!$A$1:$I$89,3,0)*VLOOKUP('Données projet'!$B$11,Paramètres!$A$1:$I$89,5,0)</f>
        <v>254.8152750000001</v>
      </c>
      <c r="BF52" s="14">
        <f t="shared" si="37"/>
        <v>61.61591184221087</v>
      </c>
      <c r="BG52" s="22">
        <f t="shared" si="7"/>
        <v>551.11765041685078</v>
      </c>
      <c r="BH52" s="62">
        <f t="shared" si="8"/>
        <v>844.45098375018415</v>
      </c>
      <c r="BI52" s="62">
        <f ca="1">AVERAGE(OFFSET($BH$3,0,0,'Données projet'!$E$11+1,1))-AVERAGE(OFFSET($H$3,0,0,'Données projet'!$E$11+1,1))</f>
        <v>361.81625684745416</v>
      </c>
      <c r="BJ52" s="62">
        <f t="shared" si="38"/>
        <v>302.25424592654684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39.988227121378628</v>
      </c>
      <c r="BQ52" s="23">
        <f>EXP(-LN(2)/25)*BQ51+(1-EXP(-LN(2)/25))/(LN(2)/25)*Calculateur!BL52*Calculateur!BN52*VLOOKUP('Données projet'!$B$11,Paramètres!$A$1:$I$89,3,0)*0.475*44/12</f>
        <v>20.70610763927726</v>
      </c>
      <c r="BR52" s="23">
        <f>EXP(-LN(2)/2)*BR51+(1-EXP(-LN(2)/2))/(LN(2)/2)*BL52*BO52*VLOOKUP('Données projet'!$B$11,Paramètres!$A$1:$I$89,3,0)*0.475*44/12</f>
        <v>3.040602010818283</v>
      </c>
      <c r="BS52" s="24">
        <f t="shared" si="9"/>
        <v>63.734936771474175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636</v>
      </c>
      <c r="L53" s="13">
        <f>VLOOKUP(A53,'Données projet'!$A$35:$I$55,9,0)</f>
        <v>24.4</v>
      </c>
      <c r="M53" s="13">
        <f t="array" ref="M53">INDEX(L:L,MIN(IF(ISNUMBER(L53:L249),ROW(L53:L249),"")))</f>
        <v>24.4</v>
      </c>
      <c r="N53" s="14">
        <f>IF('Données projet'!$A$36&gt;35,N52+M53-V52,IF(A53&lt;'Données projet'!$A$36,$K$205^A53,IF(A53='Données projet'!$A$36,'Données projet'!$B$36,N52+M53-V52)))</f>
        <v>635.99999999999966</v>
      </c>
      <c r="O53" s="14">
        <f>N53*VLOOKUP('Données projet'!$B$9,Paramètres!$A$1:$I$89,3,0)*VLOOKUP('Données projet'!$B$9,Paramètres!$A$1:$I$89,5,0)</f>
        <v>355.52399999999983</v>
      </c>
      <c r="P53" s="14">
        <f t="shared" si="33"/>
        <v>82.698921475720084</v>
      </c>
      <c r="Q53" s="22">
        <f t="shared" si="53"/>
        <v>763.23825490354545</v>
      </c>
      <c r="R53" s="62">
        <f t="shared" si="0"/>
        <v>1056.5715882368788</v>
      </c>
      <c r="S53" s="62">
        <f ca="1">AVERAGE(OFFSET($R$3,0,0,'Données projet'!$E$9+1,1))-AVERAGE(OFFSET($H$3,0,0,'Données projet'!$E$9+1,1))</f>
        <v>500.52921520843432</v>
      </c>
      <c r="T53" s="62">
        <f t="shared" si="34"/>
        <v>430.43167430170087</v>
      </c>
      <c r="U53" s="16">
        <f>IF(ISNA(VLOOKUP(A53,'Données projet'!$A$35:$I$55,3,0)),0,VLOOKUP(A53,'Données projet'!$A$35:$I$55,3,0))</f>
        <v>9</v>
      </c>
      <c r="V53" s="16">
        <f>IF(ISNA(VLOOKUP(A53,'Données projet'!$A$35:$I$55,4,0)),0,VLOOKUP(A53,'Données projet'!$A$35:$I$55,4,0))</f>
        <v>62</v>
      </c>
      <c r="W53" s="17">
        <f>IF(ISNA(VLOOKUP(A53,'Données projet'!$A$35:$I$55,5,0)),0%,VLOOKUP(A53,'Données projet'!$A$35:$I$55,5,0)*VLOOKUP('Données projet'!$B$9,Paramètres!$A$1:$I$89,7,0))</f>
        <v>0.44000000000000006</v>
      </c>
      <c r="X53" s="17">
        <f>IF(ISNA(VLOOKUP(A53,'Données projet'!$A$35:$I$55,6,0)),0%,VLOOKUP(A53,'Données projet'!$A$35:$I$55,6,0)*VLOOKUP('Données projet'!$B$9,Paramètres!$A$1:$I$89,7,0))</f>
        <v>6.0500000000000005E-2</v>
      </c>
      <c r="Y53" s="17">
        <f>IF(ISNA(VLOOKUP(A53,'Données projet'!$A$35:$I$55,7,0)),0%,VLOOKUP(A53,'Données projet'!$A$35:$I$55,7,0))</f>
        <v>0.09</v>
      </c>
      <c r="Z53" s="23">
        <f>EXP(-LN(2)/35)*Z52+(1-EXP(-LN(2)/35))/(LN(2)/35)*V53*W53*VLOOKUP('Données projet'!$B$9,Paramètres!$A$1:$I$89,3,0)*0.475*44/12</f>
        <v>82.754908297662368</v>
      </c>
      <c r="AA53" s="23">
        <f>EXP(-LN(2)/25)*AA52+(1-EXP(-LN(2)/25))/(LN(2)/25)*Calculateur!V53*Calculateur!X53*VLOOKUP('Données projet'!$B$9,Paramètres!$A$1:$I$89,3,0)*0.475*44/12</f>
        <v>41.745590057426284</v>
      </c>
      <c r="AB53" s="23">
        <f>EXP(-LN(2)/2)*AB52+(1-EXP(-LN(2)/2))/(LN(2)/2)*V53*Y53*VLOOKUP('Données projet'!$B$9,Paramètres!$A$1:$I$89,3,0)*0.475*44/12</f>
        <v>4.986379740718986</v>
      </c>
      <c r="AC53" s="24">
        <f t="shared" si="3"/>
        <v>129.48687809580764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390</v>
      </c>
      <c r="AG53" s="13">
        <f>VLOOKUP(A53,'Données projet'!$A$61:$I$81,9,0)</f>
        <v>14</v>
      </c>
      <c r="AH53" s="13">
        <f t="array" ref="AH53">INDEX(AG:AG,MIN(IF(ISNUMBER(AG53:AG249),ROW(AG53:AG249),"")))</f>
        <v>14</v>
      </c>
      <c r="AI53" s="14">
        <f>IF('Données projet'!$A$62&gt;35,AI52+AH53-AQ52,IF(A53&lt;'Données projet'!$A$62,$AF$205^A53,IF(A53='Données projet'!$A$62,'Données projet'!$B$62,AI52+AH53-AQ52)))</f>
        <v>390</v>
      </c>
      <c r="AJ53" s="14">
        <f>AI53*VLOOKUP('Données projet'!$B$10,Paramètres!$A$1:$I$89,3,0)*VLOOKUP('Données projet'!$B$10,Paramètres!$A$1:$I$89,5,0)</f>
        <v>182.52</v>
      </c>
      <c r="AK53" s="14">
        <f t="shared" si="35"/>
        <v>45.882385280285632</v>
      </c>
      <c r="AL53" s="22">
        <f t="shared" si="4"/>
        <v>397.80082102983079</v>
      </c>
      <c r="AM53" s="62">
        <f t="shared" si="5"/>
        <v>691.13415436316404</v>
      </c>
      <c r="AN53" s="62">
        <f ca="1">AVERAGE(OFFSET($AM$3,0,0,'Données projet'!$E$10+1,1))-AVERAGE(OFFSET($H$3,0,0,'Données projet'!$E$10+1,1))</f>
        <v>265.57412766850422</v>
      </c>
      <c r="AO53" s="62">
        <f t="shared" si="36"/>
        <v>179.39213799913273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50</v>
      </c>
      <c r="AR53" s="17">
        <f>IF(ISNA(VLOOKUP(A53,'Données projet'!$A$61:$I$81,5,0)),0%,VLOOKUP(A53,'Données projet'!$A$61:$I$81,5,0)*VLOOKUP('Données projet'!$B$10,Paramètres!$A$1:$I$89,7,0))</f>
        <v>0.22000000000000003</v>
      </c>
      <c r="AS53" s="17">
        <f>IF(ISNA(VLOOKUP(A53,'Données projet'!$A$61:$I$81,6,0)),0%,VLOOKUP(A53,'Données projet'!$A$61:$I$81,6,0)*VLOOKUP('Données projet'!$B$10,Paramètres!$A$1:$I$89,7,0))</f>
        <v>0.18700000000000003</v>
      </c>
      <c r="AT53" s="17">
        <f>IF(ISNA(VLOOKUP(A53,'Données projet'!$A$61:$I$81,7,0)),0%,VLOOKUP(A53,'Données projet'!$A$61:$I$81,7,0))</f>
        <v>0.26</v>
      </c>
      <c r="AU53" s="23">
        <f>EXP(-LN(2)/35)*AU52+(1-EXP(-LN(2)/35))/(LN(2)/35)*AQ53*AR53*VLOOKUP('Données projet'!$B$10,Paramètres!$A$1:$I$89,3,0)*0.475*44/12</f>
        <v>13.328640921453463</v>
      </c>
      <c r="AV53" s="23">
        <f>EXP(-LN(2)/25)*AV52+(1-EXP(-LN(2)/25))/(LN(2)/25)*Calculateur!AQ53*Calculateur!AS53*VLOOKUP('Données projet'!$B$10,Paramètres!$A$1:$I$89,3,0)*0.475*44/12</f>
        <v>18.519594329264706</v>
      </c>
      <c r="AW53" s="23">
        <f>EXP(-LN(2)/2)*AW52+(1-EXP(-LN(2)/2))/(LN(2)/2)*AQ53*AT53*VLOOKUP('Données projet'!$B$10,Paramètres!$A$1:$I$89,3,0)*0.475*44/12</f>
        <v>7.1545044601337793</v>
      </c>
      <c r="AX53" s="23">
        <f t="shared" si="6"/>
        <v>39.002739710851948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443.73</v>
      </c>
      <c r="BB53" s="13">
        <f>VLOOKUP(A53,'Données projet'!$A$87:$I$107,9,0)</f>
        <v>17.617500000000007</v>
      </c>
      <c r="BC53" s="13">
        <f t="array" ref="BC53">INDEX(BB:BB,MIN(IF(ISNUMBER(BB53:BB249),ROW(BB53:BB249),"")))</f>
        <v>17.617500000000007</v>
      </c>
      <c r="BD53" s="13">
        <f>IF('Données projet'!$A$88&gt;35,BD52+BC53-BL52,IF(A53&lt;'Données projet'!$A$88,$BA$205^A53,IF(A53='Données projet'!$A$88,'Données projet'!$B$88,BD52+BC53-BL52)))</f>
        <v>443.73000000000013</v>
      </c>
      <c r="BE53" s="14">
        <f>BD53*VLOOKUP('Données projet'!$B$11,Paramètres!$A$1:$I$89,3,0)*VLOOKUP('Données projet'!$B$11,Paramètres!$A$1:$I$89,5,0)</f>
        <v>265.35054000000008</v>
      </c>
      <c r="BF53" s="14">
        <f t="shared" si="37"/>
        <v>63.861541215481004</v>
      </c>
      <c r="BG53" s="22">
        <f t="shared" si="7"/>
        <v>573.37770811696282</v>
      </c>
      <c r="BH53" s="62">
        <f t="shared" si="8"/>
        <v>866.71104145029608</v>
      </c>
      <c r="BI53" s="62">
        <f ca="1">AVERAGE(OFFSET($BH$3,0,0,'Données projet'!$E$11+1,1))-AVERAGE(OFFSET($H$3,0,0,'Données projet'!$E$11+1,1))</f>
        <v>361.81625684745416</v>
      </c>
      <c r="BJ53" s="62">
        <f t="shared" si="38"/>
        <v>302.25424592654684</v>
      </c>
      <c r="BK53" s="16">
        <f>IF(ISNA(VLOOKUP(A53,'Données projet'!$A$87:$I$107,3,0)),0,VLOOKUP(A53,'Données projet'!$A$87:$I$107,3,0))</f>
        <v>10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0.36000000000000004</v>
      </c>
      <c r="BN53" s="17">
        <f>IF(ISNA(VLOOKUP(A53,'Données projet'!$A$87:$I$107,6,0)),0%,VLOOKUP(A53,'Données projet'!$A$87:$I$107,6,0)*VLOOKUP('Données projet'!$B$11,Paramètres!$A$1:$I$89,7,0))</f>
        <v>4.9500000000000002E-2</v>
      </c>
      <c r="BO53" s="17">
        <f>IF(ISNA(VLOOKUP(A53,'Données projet'!$A$87:$I$107,7,0)),0%,VLOOKUP(A53,'Données projet'!$A$87:$I$107,7,0))</f>
        <v>0.09</v>
      </c>
      <c r="BP53" s="23">
        <f>EXP(-LN(2)/35)*BP52+(1-EXP(-LN(2)/35))/(LN(2)/35)*BL53*BM53*VLOOKUP('Données projet'!$B$11,Paramètres!$A$1:$I$89,3,0)*0.475*44/12</f>
        <v>39.204082377938583</v>
      </c>
      <c r="BQ53" s="23">
        <f>EXP(-LN(2)/25)*BQ52+(1-EXP(-LN(2)/25))/(LN(2)/25)*Calculateur!BL53*Calculateur!BN53*VLOOKUP('Données projet'!$B$11,Paramètres!$A$1:$I$89,3,0)*0.475*44/12</f>
        <v>20.139898036994346</v>
      </c>
      <c r="BR53" s="23">
        <f>EXP(-LN(2)/2)*BR52+(1-EXP(-LN(2)/2))/(LN(2)/2)*BL53*BO53*VLOOKUP('Données projet'!$B$11,Paramètres!$A$1:$I$89,3,0)*0.475*44/12</f>
        <v>2.15003030073906</v>
      </c>
      <c r="BS53" s="24">
        <f t="shared" si="9"/>
        <v>61.49401071567199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22.4</v>
      </c>
      <c r="N54" s="14">
        <f>IF('Données projet'!$A$36&gt;35,N53+M54-V53,IF(A54&lt;'Données projet'!$A$36,$K$205^A54,IF(A54='Données projet'!$A$36,'Données projet'!$B$36,N53+M54-V53)))</f>
        <v>596.39999999999964</v>
      </c>
      <c r="O54" s="14">
        <f>N54*VLOOKUP('Données projet'!$B$9,Paramètres!$A$1:$I$89,3,0)*VLOOKUP('Données projet'!$B$9,Paramètres!$A$1:$I$89,5,0)</f>
        <v>333.38759999999979</v>
      </c>
      <c r="P54" s="14">
        <f t="shared" si="33"/>
        <v>78.132225065068099</v>
      </c>
      <c r="Q54" s="22">
        <f t="shared" si="53"/>
        <v>716.73036198832654</v>
      </c>
      <c r="R54" s="62">
        <f t="shared" si="0"/>
        <v>1010.0636953216599</v>
      </c>
      <c r="S54" s="62">
        <f ca="1">AVERAGE(OFFSET($R$3,0,0,'Données projet'!$E$9+1,1))-AVERAGE(OFFSET($H$3,0,0,'Données projet'!$E$9+1,1))</f>
        <v>500.52921520843432</v>
      </c>
      <c r="T54" s="62">
        <f t="shared" si="34"/>
        <v>430.43167430170087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81.132135021455227</v>
      </c>
      <c r="AA54" s="23">
        <f>EXP(-LN(2)/25)*AA53+(1-EXP(-LN(2)/25))/(LN(2)/25)*Calculateur!V54*Calculateur!X54*VLOOKUP('Données projet'!$B$9,Paramètres!$A$1:$I$89,3,0)*0.475*44/12</f>
        <v>40.604054702000795</v>
      </c>
      <c r="AB54" s="23">
        <f>EXP(-LN(2)/2)*AB53+(1-EXP(-LN(2)/2))/(LN(2)/2)*V54*Y54*VLOOKUP('Données projet'!$B$9,Paramètres!$A$1:$I$89,3,0)*0.475*44/12</f>
        <v>3.5259029282336138</v>
      </c>
      <c r="AC54" s="24">
        <f t="shared" si="3"/>
        <v>125.26209265168964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</v>
      </c>
      <c r="AI54" s="14">
        <f>IF('Données projet'!$A$62&gt;35,AI53+AH54-AQ53,IF(A54&lt;'Données projet'!$A$62,$AF$205^A54,IF(A54='Données projet'!$A$62,'Données projet'!$B$62,AI53+AH54-AQ53)))</f>
        <v>353</v>
      </c>
      <c r="AJ54" s="14">
        <f>AI54*VLOOKUP('Données projet'!$B$10,Paramètres!$A$1:$I$89,3,0)*VLOOKUP('Données projet'!$B$10,Paramètres!$A$1:$I$89,5,0)</f>
        <v>165.20400000000001</v>
      </c>
      <c r="AK54" s="14">
        <f t="shared" si="35"/>
        <v>42.01409666579589</v>
      </c>
      <c r="AL54" s="22">
        <f t="shared" si="4"/>
        <v>360.90485169292782</v>
      </c>
      <c r="AM54" s="62">
        <f t="shared" si="5"/>
        <v>654.23818502626114</v>
      </c>
      <c r="AN54" s="62">
        <f ca="1">AVERAGE(OFFSET($AM$3,0,0,'Données projet'!$E$10+1,1))-AVERAGE(OFFSET($H$3,0,0,'Données projet'!$E$10+1,1))</f>
        <v>265.57412766850422</v>
      </c>
      <c r="AO54" s="62">
        <f t="shared" si="36"/>
        <v>179.39213799913273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13.067274402651984</v>
      </c>
      <c r="AV54" s="23">
        <f>EXP(-LN(2)/25)*AV53+(1-EXP(-LN(2)/25))/(LN(2)/25)*Calculateur!AQ54*Calculateur!AS54*VLOOKUP('Données projet'!$B$10,Paramètres!$A$1:$I$89,3,0)*0.475*44/12</f>
        <v>18.013175048427822</v>
      </c>
      <c r="AW54" s="23">
        <f>EXP(-LN(2)/2)*AW53+(1-EXP(-LN(2)/2))/(LN(2)/2)*AQ54*AT54*VLOOKUP('Données projet'!$B$10,Paramètres!$A$1:$I$89,3,0)*0.475*44/12</f>
        <v>5.0589986197899952</v>
      </c>
      <c r="AX54" s="23">
        <f t="shared" si="6"/>
        <v>36.139448070869804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17.995000000000005</v>
      </c>
      <c r="BD54" s="13">
        <f>IF('Données projet'!$A$88&gt;35,BD53+BC54-BL53,IF(A54&lt;'Données projet'!$A$88,$BA$205^A54,IF(A54='Données projet'!$A$88,'Données projet'!$B$88,BD53+BC54-BL53)))</f>
        <v>461.72500000000014</v>
      </c>
      <c r="BE54" s="14">
        <f>BD54*VLOOKUP('Données projet'!$B$11,Paramètres!$A$1:$I$89,3,0)*VLOOKUP('Données projet'!$B$11,Paramètres!$A$1:$I$89,5,0)</f>
        <v>276.11155000000008</v>
      </c>
      <c r="BF54" s="14">
        <f t="shared" si="37"/>
        <v>66.144599992702055</v>
      </c>
      <c r="BG54" s="22">
        <f t="shared" si="7"/>
        <v>596.09612790395624</v>
      </c>
      <c r="BH54" s="62">
        <f t="shared" si="8"/>
        <v>889.42946123728962</v>
      </c>
      <c r="BI54" s="62">
        <f ca="1">AVERAGE(OFFSET($BH$3,0,0,'Données projet'!$E$11+1,1))-AVERAGE(OFFSET($H$3,0,0,'Données projet'!$E$11+1,1))</f>
        <v>361.81625684745416</v>
      </c>
      <c r="BJ54" s="62">
        <f t="shared" si="38"/>
        <v>302.25424592654684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38.43531423463633</v>
      </c>
      <c r="BQ54" s="23">
        <f>EXP(-LN(2)/25)*BQ53+(1-EXP(-LN(2)/25))/(LN(2)/25)*Calculateur!BL54*Calculateur!BN54*VLOOKUP('Données projet'!$B$11,Paramètres!$A$1:$I$89,3,0)*0.475*44/12</f>
        <v>19.589171466061529</v>
      </c>
      <c r="BR54" s="23">
        <f>EXP(-LN(2)/2)*BR53+(1-EXP(-LN(2)/2))/(LN(2)/2)*BL54*BO54*VLOOKUP('Données projet'!$B$11,Paramètres!$A$1:$I$89,3,0)*0.475*44/12</f>
        <v>1.5203010054091415</v>
      </c>
      <c r="BS54" s="24">
        <f t="shared" si="9"/>
        <v>59.544786706107004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22.4</v>
      </c>
      <c r="N55" s="14">
        <f>IF('Données projet'!$A$36&gt;35,N54+M55-V54,IF(A55&lt;'Données projet'!$A$36,$K$205^A55,IF(A55='Données projet'!$A$36,'Données projet'!$B$36,N54+M55-V54)))</f>
        <v>618.79999999999961</v>
      </c>
      <c r="O55" s="14">
        <f>N55*VLOOKUP('Données projet'!$B$9,Paramètres!$A$1:$I$89,3,0)*VLOOKUP('Données projet'!$B$9,Paramètres!$A$1:$I$89,5,0)</f>
        <v>345.90919999999977</v>
      </c>
      <c r="P55" s="14">
        <f t="shared" si="33"/>
        <v>80.719597531747937</v>
      </c>
      <c r="Q55" s="22">
        <f t="shared" si="53"/>
        <v>743.0451557011271</v>
      </c>
      <c r="R55" s="62">
        <f t="shared" si="0"/>
        <v>1036.3784890344605</v>
      </c>
      <c r="S55" s="62">
        <f ca="1">AVERAGE(OFFSET($R$3,0,0,'Données projet'!$E$9+1,1))-AVERAGE(OFFSET($H$3,0,0,'Données projet'!$E$9+1,1))</f>
        <v>500.52921520843432</v>
      </c>
      <c r="T55" s="62">
        <f t="shared" si="34"/>
        <v>430.43167430170087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79.541183339400547</v>
      </c>
      <c r="AA55" s="23">
        <f>EXP(-LN(2)/25)*AA54+(1-EXP(-LN(2)/25))/(LN(2)/25)*Calculateur!V55*Calculateur!X55*VLOOKUP('Données projet'!$B$9,Paramètres!$A$1:$I$89,3,0)*0.475*44/12</f>
        <v>39.493734690900148</v>
      </c>
      <c r="AB55" s="23">
        <f>EXP(-LN(2)/2)*AB54+(1-EXP(-LN(2)/2))/(LN(2)/2)*V55*Y55*VLOOKUP('Données projet'!$B$9,Paramètres!$A$1:$I$89,3,0)*0.475*44/12</f>
        <v>2.4931898703594935</v>
      </c>
      <c r="AC55" s="24">
        <f t="shared" si="3"/>
        <v>121.52810790066019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</v>
      </c>
      <c r="AI55" s="14">
        <f>IF('Données projet'!$A$62&gt;35,AI54+AH55-AQ54,IF(A55&lt;'Données projet'!$A$62,$AF$205^A55,IF(A55='Données projet'!$A$62,'Données projet'!$B$62,AI54+AH55-AQ54)))</f>
        <v>366</v>
      </c>
      <c r="AJ55" s="14">
        <f>AI55*VLOOKUP('Données projet'!$B$10,Paramètres!$A$1:$I$89,3,0)*VLOOKUP('Données projet'!$B$10,Paramètres!$A$1:$I$89,5,0)</f>
        <v>171.28799999999998</v>
      </c>
      <c r="AK55" s="14">
        <f t="shared" si="35"/>
        <v>43.37836589572138</v>
      </c>
      <c r="AL55" s="22">
        <f t="shared" si="4"/>
        <v>373.87725393504803</v>
      </c>
      <c r="AM55" s="62">
        <f t="shared" si="5"/>
        <v>667.21058726838135</v>
      </c>
      <c r="AN55" s="62">
        <f ca="1">AVERAGE(OFFSET($AM$3,0,0,'Données projet'!$E$10+1,1))-AVERAGE(OFFSET($H$3,0,0,'Données projet'!$E$10+1,1))</f>
        <v>265.57412766850422</v>
      </c>
      <c r="AO55" s="62">
        <f t="shared" si="36"/>
        <v>179.39213799913273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12.811033121866368</v>
      </c>
      <c r="AV55" s="23">
        <f>EXP(-LN(2)/25)*AV54+(1-EXP(-LN(2)/25))/(LN(2)/25)*Calculateur!AQ55*Calculateur!AS55*VLOOKUP('Données projet'!$B$10,Paramètres!$A$1:$I$89,3,0)*0.475*44/12</f>
        <v>17.520603829456856</v>
      </c>
      <c r="AW55" s="23">
        <f>EXP(-LN(2)/2)*AW54+(1-EXP(-LN(2)/2))/(LN(2)/2)*AQ55*AT55*VLOOKUP('Données projet'!$B$10,Paramètres!$A$1:$I$89,3,0)*0.475*44/12</f>
        <v>3.5772522300668905</v>
      </c>
      <c r="AX55" s="23">
        <f t="shared" si="6"/>
        <v>33.908889181390116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17.995000000000005</v>
      </c>
      <c r="BD55" s="13">
        <f>IF('Données projet'!$A$88&gt;35,BD54+BC55-BL54,IF(A55&lt;'Données projet'!$A$88,$BA$205^A55,IF(A55='Données projet'!$A$88,'Données projet'!$B$88,BD54+BC55-BL54)))</f>
        <v>479.72000000000014</v>
      </c>
      <c r="BE55" s="14">
        <f>BD55*VLOOKUP('Données projet'!$B$11,Paramètres!$A$1:$I$89,3,0)*VLOOKUP('Données projet'!$B$11,Paramètres!$A$1:$I$89,5,0)</f>
        <v>286.87256000000014</v>
      </c>
      <c r="BF55" s="14">
        <f t="shared" si="37"/>
        <v>68.41732235454451</v>
      </c>
      <c r="BG55" s="22">
        <f t="shared" si="7"/>
        <v>618.79654510083196</v>
      </c>
      <c r="BH55" s="62">
        <f t="shared" si="8"/>
        <v>912.12987843416522</v>
      </c>
      <c r="BI55" s="62">
        <f ca="1">AVERAGE(OFFSET($BH$3,0,0,'Données projet'!$E$11+1,1))-AVERAGE(OFFSET($H$3,0,0,'Données projet'!$E$11+1,1))</f>
        <v>361.81625684745416</v>
      </c>
      <c r="BJ55" s="62">
        <f t="shared" si="38"/>
        <v>302.25424592654684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37.681621165721971</v>
      </c>
      <c r="BQ55" s="23">
        <f>EXP(-LN(2)/25)*BQ54+(1-EXP(-LN(2)/25))/(LN(2)/25)*Calculateur!BL55*Calculateur!BN55*VLOOKUP('Données projet'!$B$11,Paramètres!$A$1:$I$89,3,0)*0.475*44/12</f>
        <v>19.05350454217232</v>
      </c>
      <c r="BR55" s="23">
        <f>EXP(-LN(2)/2)*BR54+(1-EXP(-LN(2)/2))/(LN(2)/2)*BL55*BO55*VLOOKUP('Données projet'!$B$11,Paramètres!$A$1:$I$89,3,0)*0.475*44/12</f>
        <v>1.07501515036953</v>
      </c>
      <c r="BS55" s="24">
        <f t="shared" si="9"/>
        <v>57.810140858263821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22.4</v>
      </c>
      <c r="N56" s="14">
        <f>IF('Données projet'!$A$36&gt;35,N55+M56-V55,IF(A56&lt;'Données projet'!$A$36,$K$205^A56,IF(A56='Données projet'!$A$36,'Données projet'!$B$36,N55+M56-V55)))</f>
        <v>641.19999999999959</v>
      </c>
      <c r="O56" s="14">
        <f>N56*VLOOKUP('Données projet'!$B$9,Paramètres!$A$1:$I$89,3,0)*VLOOKUP('Données projet'!$B$9,Paramètres!$A$1:$I$89,5,0)</f>
        <v>358.43079999999981</v>
      </c>
      <c r="P56" s="14">
        <f t="shared" si="33"/>
        <v>83.296088337193382</v>
      </c>
      <c r="Q56" s="22">
        <f t="shared" si="53"/>
        <v>769.34099718727805</v>
      </c>
      <c r="R56" s="62">
        <f t="shared" si="0"/>
        <v>1062.6743305206114</v>
      </c>
      <c r="S56" s="62">
        <f ca="1">AVERAGE(OFFSET($R$3,0,0,'Données projet'!$E$9+1,1))-AVERAGE(OFFSET($H$3,0,0,'Données projet'!$E$9+1,1))</f>
        <v>500.52921520843432</v>
      </c>
      <c r="T56" s="62">
        <f t="shared" si="34"/>
        <v>430.43167430170087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77.981429249446251</v>
      </c>
      <c r="AA56" s="23">
        <f>EXP(-LN(2)/25)*AA55+(1-EXP(-LN(2)/25))/(LN(2)/25)*Calculateur!V56*Calculateur!X56*VLOOKUP('Données projet'!$B$9,Paramètres!$A$1:$I$89,3,0)*0.475*44/12</f>
        <v>38.413776438892242</v>
      </c>
      <c r="AB56" s="23">
        <f>EXP(-LN(2)/2)*AB55+(1-EXP(-LN(2)/2))/(LN(2)/2)*V56*Y56*VLOOKUP('Données projet'!$B$9,Paramètres!$A$1:$I$89,3,0)*0.475*44/12</f>
        <v>1.7629514641168074</v>
      </c>
      <c r="AC56" s="24">
        <f t="shared" si="3"/>
        <v>118.1581571524553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</v>
      </c>
      <c r="AI56" s="14">
        <f>IF('Données projet'!$A$62&gt;35,AI55+AH56-AQ55,IF(A56&lt;'Données projet'!$A$62,$AF$205^A56,IF(A56='Données projet'!$A$62,'Données projet'!$B$62,AI55+AH56-AQ55)))</f>
        <v>379</v>
      </c>
      <c r="AJ56" s="14">
        <f>AI56*VLOOKUP('Données projet'!$B$10,Paramètres!$A$1:$I$89,3,0)*VLOOKUP('Données projet'!$B$10,Paramètres!$A$1:$I$89,5,0)</f>
        <v>177.37200000000001</v>
      </c>
      <c r="AK56" s="14">
        <f t="shared" si="35"/>
        <v>44.737005048641883</v>
      </c>
      <c r="AL56" s="22">
        <f t="shared" si="4"/>
        <v>386.83985045971798</v>
      </c>
      <c r="AM56" s="62">
        <f t="shared" si="5"/>
        <v>680.17318379305129</v>
      </c>
      <c r="AN56" s="62">
        <f ca="1">AVERAGE(OFFSET($AM$3,0,0,'Données projet'!$E$10+1,1))-AVERAGE(OFFSET($H$3,0,0,'Données projet'!$E$10+1,1))</f>
        <v>265.57412766850422</v>
      </c>
      <c r="AO56" s="62">
        <f t="shared" si="36"/>
        <v>179.39213799913273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12.559816576305208</v>
      </c>
      <c r="AV56" s="23">
        <f>EXP(-LN(2)/25)*AV55+(1-EXP(-LN(2)/25))/(LN(2)/25)*Calculateur!AQ56*Calculateur!AS56*VLOOKUP('Données projet'!$B$10,Paramètres!$A$1:$I$89,3,0)*0.475*44/12</f>
        <v>17.041501996371846</v>
      </c>
      <c r="AW56" s="23">
        <f>EXP(-LN(2)/2)*AW55+(1-EXP(-LN(2)/2))/(LN(2)/2)*AQ56*AT56*VLOOKUP('Données projet'!$B$10,Paramètres!$A$1:$I$89,3,0)*0.475*44/12</f>
        <v>2.529499309894998</v>
      </c>
      <c r="AX56" s="23">
        <f t="shared" si="6"/>
        <v>32.130817882572046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17.995000000000005</v>
      </c>
      <c r="BD56" s="13">
        <f>IF('Données projet'!$A$88&gt;35,BD55+BC56-BL55,IF(A56&lt;'Données projet'!$A$88,$BA$205^A56,IF(A56='Données projet'!$A$88,'Données projet'!$B$88,BD55+BC56-BL55)))</f>
        <v>497.71500000000015</v>
      </c>
      <c r="BE56" s="14">
        <f>BD56*VLOOKUP('Données projet'!$B$11,Paramètres!$A$1:$I$89,3,0)*VLOOKUP('Données projet'!$B$11,Paramètres!$A$1:$I$89,5,0)</f>
        <v>297.63357000000008</v>
      </c>
      <c r="BF56" s="14">
        <f t="shared" si="37"/>
        <v>70.680140429959067</v>
      </c>
      <c r="BG56" s="22">
        <f t="shared" si="7"/>
        <v>641.47971233217879</v>
      </c>
      <c r="BH56" s="62">
        <f t="shared" si="8"/>
        <v>934.81304566551216</v>
      </c>
      <c r="BI56" s="62">
        <f ca="1">AVERAGE(OFFSET($BH$3,0,0,'Données projet'!$E$11+1,1))-AVERAGE(OFFSET($H$3,0,0,'Données projet'!$E$11+1,1))</f>
        <v>361.81625684745416</v>
      </c>
      <c r="BJ56" s="62">
        <f t="shared" si="38"/>
        <v>302.25424592654684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36.942707558181638</v>
      </c>
      <c r="BQ56" s="23">
        <f>EXP(-LN(2)/25)*BQ55+(1-EXP(-LN(2)/25))/(LN(2)/25)*Calculateur!BL56*Calculateur!BN56*VLOOKUP('Données projet'!$B$11,Paramètres!$A$1:$I$89,3,0)*0.475*44/12</f>
        <v>18.532485458486359</v>
      </c>
      <c r="BR56" s="23">
        <f>EXP(-LN(2)/2)*BR55+(1-EXP(-LN(2)/2))/(LN(2)/2)*BL56*BO56*VLOOKUP('Données projet'!$B$11,Paramètres!$A$1:$I$89,3,0)*0.475*44/12</f>
        <v>0.76015050270457074</v>
      </c>
      <c r="BS56" s="24">
        <f t="shared" si="9"/>
        <v>56.23534351937257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22.4</v>
      </c>
      <c r="N57" s="14">
        <f>IF('Données projet'!$A$36&gt;35,N56+M57-V56,IF(A57&lt;'Données projet'!$A$36,$K$205^A57,IF(A57='Données projet'!$A$36,'Données projet'!$B$36,N56+M57-V56)))</f>
        <v>663.59999999999957</v>
      </c>
      <c r="O57" s="14">
        <f>N57*VLOOKUP('Données projet'!$B$9,Paramètres!$A$1:$I$89,3,0)*VLOOKUP('Données projet'!$B$9,Paramètres!$A$1:$I$89,5,0)</f>
        <v>370.95239999999973</v>
      </c>
      <c r="P57" s="14">
        <f t="shared" si="33"/>
        <v>85.862121189180868</v>
      </c>
      <c r="Q57" s="22">
        <f t="shared" si="53"/>
        <v>795.61862440448965</v>
      </c>
      <c r="R57" s="62">
        <f t="shared" si="0"/>
        <v>1088.951957737823</v>
      </c>
      <c r="S57" s="62">
        <f ca="1">AVERAGE(OFFSET($R$3,0,0,'Données projet'!$E$9+1,1))-AVERAGE(OFFSET($H$3,0,0,'Données projet'!$E$9+1,1))</f>
        <v>500.52921520843432</v>
      </c>
      <c r="T57" s="62">
        <f t="shared" si="34"/>
        <v>430.43167430170087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76.452260985839899</v>
      </c>
      <c r="AA57" s="23">
        <f>EXP(-LN(2)/25)*AA56+(1-EXP(-LN(2)/25))/(LN(2)/25)*Calculateur!V57*Calculateur!X57*VLOOKUP('Données projet'!$B$9,Paramètres!$A$1:$I$89,3,0)*0.475*44/12</f>
        <v>37.363349702078025</v>
      </c>
      <c r="AB57" s="23">
        <f>EXP(-LN(2)/2)*AB56+(1-EXP(-LN(2)/2))/(LN(2)/2)*V57*Y57*VLOOKUP('Données projet'!$B$9,Paramètres!$A$1:$I$89,3,0)*0.475*44/12</f>
        <v>1.246594935179747</v>
      </c>
      <c r="AC57" s="24">
        <f t="shared" si="3"/>
        <v>115.06220562309767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</v>
      </c>
      <c r="AI57" s="14">
        <f>IF('Données projet'!$A$62&gt;35,AI56+AH57-AQ56,IF(A57&lt;'Données projet'!$A$62,$AF$205^A57,IF(A57='Données projet'!$A$62,'Données projet'!$B$62,AI56+AH57-AQ56)))</f>
        <v>392</v>
      </c>
      <c r="AJ57" s="14">
        <f>AI57*VLOOKUP('Données projet'!$B$10,Paramètres!$A$1:$I$89,3,0)*VLOOKUP('Données projet'!$B$10,Paramètres!$A$1:$I$89,5,0)</f>
        <v>183.45600000000002</v>
      </c>
      <c r="AK57" s="14">
        <f t="shared" si="35"/>
        <v>46.090229375321144</v>
      </c>
      <c r="AL57" s="22">
        <f t="shared" si="4"/>
        <v>399.79301616201769</v>
      </c>
      <c r="AM57" s="62">
        <f t="shared" si="5"/>
        <v>693.12634949535095</v>
      </c>
      <c r="AN57" s="62">
        <f ca="1">AVERAGE(OFFSET($AM$3,0,0,'Données projet'!$E$10+1,1))-AVERAGE(OFFSET($H$3,0,0,'Données projet'!$E$10+1,1))</f>
        <v>265.57412766850422</v>
      </c>
      <c r="AO57" s="62">
        <f t="shared" si="36"/>
        <v>179.39213799913273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12.313526233975539</v>
      </c>
      <c r="AV57" s="23">
        <f>EXP(-LN(2)/25)*AV56+(1-EXP(-LN(2)/25))/(LN(2)/25)*Calculateur!AQ57*Calculateur!AS57*VLOOKUP('Données projet'!$B$10,Paramètres!$A$1:$I$89,3,0)*0.475*44/12</f>
        <v>16.575501228107417</v>
      </c>
      <c r="AW57" s="23">
        <f>EXP(-LN(2)/2)*AW56+(1-EXP(-LN(2)/2))/(LN(2)/2)*AQ57*AT57*VLOOKUP('Données projet'!$B$10,Paramètres!$A$1:$I$89,3,0)*0.475*44/12</f>
        <v>1.7886261150334455</v>
      </c>
      <c r="AX57" s="23">
        <f t="shared" si="6"/>
        <v>30.677653577116402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17.995000000000005</v>
      </c>
      <c r="BD57" s="13">
        <f>IF('Données projet'!$A$88&gt;35,BD56+BC57-BL56,IF(A57&lt;'Données projet'!$A$88,$BA$205^A57,IF(A57='Données projet'!$A$88,'Données projet'!$B$88,BD56+BC57-BL56)))</f>
        <v>515.71000000000015</v>
      </c>
      <c r="BE57" s="14">
        <f>BD57*VLOOKUP('Données projet'!$B$11,Paramètres!$A$1:$I$89,3,0)*VLOOKUP('Données projet'!$B$11,Paramètres!$A$1:$I$89,5,0)</f>
        <v>308.39458000000013</v>
      </c>
      <c r="BF57" s="14">
        <f t="shared" si="37"/>
        <v>72.933453329394183</v>
      </c>
      <c r="BG57" s="22">
        <f t="shared" si="7"/>
        <v>664.14632471536174</v>
      </c>
      <c r="BH57" s="62">
        <f t="shared" si="8"/>
        <v>957.479658048695</v>
      </c>
      <c r="BI57" s="62">
        <f ca="1">AVERAGE(OFFSET($BH$3,0,0,'Données projet'!$E$11+1,1))-AVERAGE(OFFSET($H$3,0,0,'Données projet'!$E$11+1,1))</f>
        <v>361.81625684745416</v>
      </c>
      <c r="BJ57" s="62">
        <f t="shared" si="38"/>
        <v>302.25424592654684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36.218283595792371</v>
      </c>
      <c r="BQ57" s="23">
        <f>EXP(-LN(2)/25)*BQ56+(1-EXP(-LN(2)/25))/(LN(2)/25)*Calculateur!BL57*Calculateur!BN57*VLOOKUP('Données projet'!$B$11,Paramètres!$A$1:$I$89,3,0)*0.475*44/12</f>
        <v>18.025713669042997</v>
      </c>
      <c r="BR57" s="23">
        <f>EXP(-LN(2)/2)*BR56+(1-EXP(-LN(2)/2))/(LN(2)/2)*BL57*BO57*VLOOKUP('Données projet'!$B$11,Paramètres!$A$1:$I$89,3,0)*0.475*44/12</f>
        <v>0.537507575184765</v>
      </c>
      <c r="BS57" s="24">
        <f t="shared" si="9"/>
        <v>54.781504840020133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686</v>
      </c>
      <c r="L58" s="13">
        <f>VLOOKUP(A58,'Données projet'!$A$35:$I$55,9,0)</f>
        <v>22.4</v>
      </c>
      <c r="M58" s="13">
        <f t="array" ref="M58">INDEX(L:L,MIN(IF(ISNUMBER(L58:L254),ROW(L58:L254),"")))</f>
        <v>22.4</v>
      </c>
      <c r="N58" s="14">
        <f>IF('Données projet'!$A$36&gt;35,N57+M58-V57,IF(A58&lt;'Données projet'!$A$36,$K$205^A58,IF(A58='Données projet'!$A$36,'Données projet'!$B$36,N57+M58-V57)))</f>
        <v>685.99999999999955</v>
      </c>
      <c r="O58" s="14">
        <f>N58*VLOOKUP('Données projet'!$B$9,Paramètres!$A$1:$I$89,3,0)*VLOOKUP('Données projet'!$B$9,Paramètres!$A$1:$I$89,5,0)</f>
        <v>383.47399999999976</v>
      </c>
      <c r="P58" s="14">
        <f t="shared" si="33"/>
        <v>88.41808956787203</v>
      </c>
      <c r="Q58" s="22">
        <f t="shared" si="53"/>
        <v>821.87872266404338</v>
      </c>
      <c r="R58" s="62">
        <f t="shared" si="0"/>
        <v>1115.2120559973766</v>
      </c>
      <c r="S58" s="62">
        <f ca="1">AVERAGE(OFFSET($R$3,0,0,'Données projet'!$E$9+1,1))-AVERAGE(OFFSET($H$3,0,0,'Données projet'!$E$9+1,1))</f>
        <v>500.52921520843432</v>
      </c>
      <c r="T58" s="62">
        <f t="shared" si="34"/>
        <v>430.43167430170087</v>
      </c>
      <c r="U58" s="16">
        <f>IF(ISNA(VLOOKUP(A58,'Données projet'!$A$35:$I$55,3,0)),0,VLOOKUP(A58,'Données projet'!$A$35:$I$55,3,0))</f>
        <v>10</v>
      </c>
      <c r="V58" s="16">
        <f>IF(ISNA(VLOOKUP(A58,'Données projet'!$A$35:$I$55,4,0)),0,VLOOKUP(A58,'Données projet'!$A$35:$I$55,4,0))</f>
        <v>53</v>
      </c>
      <c r="W58" s="17">
        <f>IF(ISNA(VLOOKUP(A58,'Données projet'!$A$35:$I$55,5,0)),0%,VLOOKUP(A58,'Données projet'!$A$35:$I$55,5,0)*VLOOKUP('Données projet'!$B$9,Paramètres!$A$1:$I$89,7,0))</f>
        <v>0.49500000000000005</v>
      </c>
      <c r="X58" s="17">
        <f>IF(ISNA(VLOOKUP(A58,'Données projet'!$A$35:$I$55,6,0)),0%,VLOOKUP(A58,'Données projet'!$A$35:$I$55,6,0)*VLOOKUP('Données projet'!$B$9,Paramètres!$A$1:$I$89,7,0))</f>
        <v>3.3000000000000002E-2</v>
      </c>
      <c r="Y58" s="17">
        <f>IF(ISNA(VLOOKUP(A58,'Données projet'!$A$35:$I$55,7,0)),0%,VLOOKUP(A58,'Données projet'!$A$35:$I$55,7,0))</f>
        <v>0.04</v>
      </c>
      <c r="Z58" s="23">
        <f>EXP(-LN(2)/35)*Z57+(1-EXP(-LN(2)/35))/(LN(2)/35)*V58*W58*VLOOKUP('Données projet'!$B$9,Paramètres!$A$1:$I$89,3,0)*0.475*44/12</f>
        <v>94.407630714229413</v>
      </c>
      <c r="AA58" s="23">
        <f>EXP(-LN(2)/25)*AA57+(1-EXP(-LN(2)/25))/(LN(2)/25)*Calculateur!V58*Calculateur!X58*VLOOKUP('Données projet'!$B$9,Paramètres!$A$1:$I$89,3,0)*0.475*44/12</f>
        <v>37.633510403042422</v>
      </c>
      <c r="AB58" s="23">
        <f>EXP(-LN(2)/2)*AB57+(1-EXP(-LN(2)/2))/(LN(2)/2)*V58*Y58*VLOOKUP('Données projet'!$B$9,Paramètres!$A$1:$I$89,3,0)*0.475*44/12</f>
        <v>2.2232615832110678</v>
      </c>
      <c r="AC58" s="24">
        <f t="shared" si="3"/>
        <v>134.26440270048289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</v>
      </c>
      <c r="AI58" s="14">
        <f>IF('Données projet'!$A$62&gt;35,AI57+AH58-AQ57,IF(A58&lt;'Données projet'!$A$62,$AF$205^A58,IF(A58='Données projet'!$A$62,'Données projet'!$B$62,AI57+AH58-AQ57)))</f>
        <v>405</v>
      </c>
      <c r="AJ58" s="14">
        <f>AI58*VLOOKUP('Données projet'!$B$10,Paramètres!$A$1:$I$89,3,0)*VLOOKUP('Données projet'!$B$10,Paramètres!$A$1:$I$89,5,0)</f>
        <v>189.54</v>
      </c>
      <c r="AK58" s="14">
        <f t="shared" si="35"/>
        <v>47.438239039488813</v>
      </c>
      <c r="AL58" s="22">
        <f t="shared" si="4"/>
        <v>412.73709966044299</v>
      </c>
      <c r="AM58" s="62">
        <f t="shared" si="5"/>
        <v>706.07043299377631</v>
      </c>
      <c r="AN58" s="62">
        <f ca="1">AVERAGE(OFFSET($AM$3,0,0,'Données projet'!$E$10+1,1))-AVERAGE(OFFSET($H$3,0,0,'Données projet'!$E$10+1,1))</f>
        <v>265.57412766850422</v>
      </c>
      <c r="AO58" s="62">
        <f t="shared" si="36"/>
        <v>179.39213799913273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12.07206549503668</v>
      </c>
      <c r="AV58" s="23">
        <f>EXP(-LN(2)/25)*AV57+(1-EXP(-LN(2)/25))/(LN(2)/25)*Calculateur!AQ58*Calculateur!AS58*VLOOKUP('Données projet'!$B$10,Paramètres!$A$1:$I$89,3,0)*0.475*44/12</f>
        <v>16.122243275357093</v>
      </c>
      <c r="AW58" s="23">
        <f>EXP(-LN(2)/2)*AW57+(1-EXP(-LN(2)/2))/(LN(2)/2)*AQ58*AT58*VLOOKUP('Données projet'!$B$10,Paramètres!$A$1:$I$89,3,0)*0.475*44/12</f>
        <v>1.2647496549474992</v>
      </c>
      <c r="AX58" s="23">
        <f t="shared" si="6"/>
        <v>29.459058425341276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17.995000000000005</v>
      </c>
      <c r="BD58" s="13">
        <f>IF('Données projet'!$A$88&gt;35,BD57+BC58-BL57,IF(A58&lt;'Données projet'!$A$88,$BA$205^A58,IF(A58='Données projet'!$A$88,'Données projet'!$B$88,BD57+BC58-BL57)))</f>
        <v>533.70500000000015</v>
      </c>
      <c r="BE58" s="14">
        <f>BD58*VLOOKUP('Données projet'!$B$11,Paramètres!$A$1:$I$89,3,0)*VLOOKUP('Données projet'!$B$11,Paramètres!$A$1:$I$89,5,0)</f>
        <v>319.15559000000013</v>
      </c>
      <c r="BF58" s="14">
        <f t="shared" si="37"/>
        <v>75.177630731012741</v>
      </c>
      <c r="BG58" s="22">
        <f t="shared" si="7"/>
        <v>686.79702610651418</v>
      </c>
      <c r="BH58" s="62">
        <f t="shared" si="8"/>
        <v>980.13035943984755</v>
      </c>
      <c r="BI58" s="62">
        <f ca="1">AVERAGE(OFFSET($BH$3,0,0,'Données projet'!$E$11+1,1))-AVERAGE(OFFSET($H$3,0,0,'Données projet'!$E$11+1,1))</f>
        <v>361.81625684745416</v>
      </c>
      <c r="BJ58" s="62">
        <f t="shared" si="38"/>
        <v>302.25424592654684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35.508065145450573</v>
      </c>
      <c r="BQ58" s="23">
        <f>EXP(-LN(2)/25)*BQ57+(1-EXP(-LN(2)/25))/(LN(2)/25)*Calculateur!BL58*Calculateur!BN58*VLOOKUP('Données projet'!$B$11,Paramètres!$A$1:$I$89,3,0)*0.475*44/12</f>
        <v>17.532799580831931</v>
      </c>
      <c r="BR58" s="23">
        <f>EXP(-LN(2)/2)*BR57+(1-EXP(-LN(2)/2))/(LN(2)/2)*BL58*BO58*VLOOKUP('Données projet'!$B$11,Paramètres!$A$1:$I$89,3,0)*0.475*44/12</f>
        <v>0.38007525135228537</v>
      </c>
      <c r="BS58" s="24">
        <f t="shared" si="9"/>
        <v>53.420939977634795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20.6</v>
      </c>
      <c r="N59" s="14">
        <f>IF('Données projet'!$A$36&gt;35,N58+M59-V58,IF(A59&lt;'Données projet'!$A$36,$K$205^A59,IF(A59='Données projet'!$A$36,'Données projet'!$B$36,N58+M59-V58)))</f>
        <v>653.59999999999957</v>
      </c>
      <c r="O59" s="14">
        <f>N59*VLOOKUP('Données projet'!$B$9,Paramètres!$A$1:$I$89,3,0)*VLOOKUP('Données projet'!$B$9,Paramètres!$A$1:$I$89,5,0)</f>
        <v>365.36239999999981</v>
      </c>
      <c r="P59" s="14">
        <f t="shared" si="33"/>
        <v>84.717837206926646</v>
      </c>
      <c r="Q59" s="22">
        <f t="shared" si="53"/>
        <v>783.88974646873021</v>
      </c>
      <c r="R59" s="62">
        <f t="shared" si="0"/>
        <v>1077.2230798020635</v>
      </c>
      <c r="S59" s="62">
        <f ca="1">AVERAGE(OFFSET($R$3,0,0,'Données projet'!$E$9+1,1))-AVERAGE(OFFSET($H$3,0,0,'Données projet'!$E$9+1,1))</f>
        <v>500.52921520843432</v>
      </c>
      <c r="T59" s="62">
        <f t="shared" si="34"/>
        <v>430.43167430170087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92.556354658892261</v>
      </c>
      <c r="AA59" s="23">
        <f>EXP(-LN(2)/25)*AA58+(1-EXP(-LN(2)/25))/(LN(2)/25)*Calculateur!V59*Calculateur!X59*VLOOKUP('Données projet'!$B$9,Paramètres!$A$1:$I$89,3,0)*0.475*44/12</f>
        <v>36.604420082010925</v>
      </c>
      <c r="AB59" s="23">
        <f>EXP(-LN(2)/2)*AB58+(1-EXP(-LN(2)/2))/(LN(2)/2)*V59*Y59*VLOOKUP('Données projet'!$B$9,Paramètres!$A$1:$I$89,3,0)*0.475*44/12</f>
        <v>1.5720833418400859</v>
      </c>
      <c r="AC59" s="24">
        <f t="shared" si="3"/>
        <v>130.73285808274326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</v>
      </c>
      <c r="AI59" s="14">
        <f>IF('Données projet'!$A$62&gt;35,AI58+AH59-AQ58,IF(A59&lt;'Données projet'!$A$62,$AF$205^A59,IF(A59='Données projet'!$A$62,'Données projet'!$B$62,AI58+AH59-AQ58)))</f>
        <v>418</v>
      </c>
      <c r="AJ59" s="14">
        <f>AI59*VLOOKUP('Données projet'!$B$10,Paramètres!$A$1:$I$89,3,0)*VLOOKUP('Données projet'!$B$10,Paramètres!$A$1:$I$89,5,0)</f>
        <v>195.624</v>
      </c>
      <c r="AK59" s="14">
        <f t="shared" si="35"/>
        <v>48.781220625276006</v>
      </c>
      <c r="AL59" s="22">
        <f t="shared" si="4"/>
        <v>425.67242592235567</v>
      </c>
      <c r="AM59" s="62">
        <f t="shared" si="5"/>
        <v>719.00575925568899</v>
      </c>
      <c r="AN59" s="62">
        <f ca="1">AVERAGE(OFFSET($AM$3,0,0,'Données projet'!$E$10+1,1))-AVERAGE(OFFSET($H$3,0,0,'Données projet'!$E$10+1,1))</f>
        <v>265.57412766850422</v>
      </c>
      <c r="AO59" s="62">
        <f t="shared" si="36"/>
        <v>179.39213799913273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11.835339653911904</v>
      </c>
      <c r="AV59" s="23">
        <f>EXP(-LN(2)/25)*AV58+(1-EXP(-LN(2)/25))/(LN(2)/25)*Calculateur!AQ59*Calculateur!AS59*VLOOKUP('Données projet'!$B$10,Paramètres!$A$1:$I$89,3,0)*0.475*44/12</f>
        <v>15.681379685160527</v>
      </c>
      <c r="AW59" s="23">
        <f>EXP(-LN(2)/2)*AW58+(1-EXP(-LN(2)/2))/(LN(2)/2)*AQ59*AT59*VLOOKUP('Données projet'!$B$10,Paramètres!$A$1:$I$89,3,0)*0.475*44/12</f>
        <v>0.89431305751672285</v>
      </c>
      <c r="AX59" s="23">
        <f t="shared" si="6"/>
        <v>28.411032396589153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551.70000000000005</v>
      </c>
      <c r="BB59" s="13">
        <f>VLOOKUP(A59,'Données projet'!$A$87:$I$107,9,0)</f>
        <v>17.995000000000005</v>
      </c>
      <c r="BC59" s="13">
        <f t="array" ref="BC59">INDEX(BB:BB,MIN(IF(ISNUMBER(BB59:BB255),ROW(BB59:BB255),"")))</f>
        <v>17.995000000000005</v>
      </c>
      <c r="BD59" s="13">
        <f>IF('Données projet'!$A$88&gt;35,BD58+BC59-BL58,IF(A59&lt;'Données projet'!$A$88,$BA$205^A59,IF(A59='Données projet'!$A$88,'Données projet'!$B$88,BD58+BC59-BL58)))</f>
        <v>551.70000000000016</v>
      </c>
      <c r="BE59" s="14">
        <f>BD59*VLOOKUP('Données projet'!$B$11,Paramètres!$A$1:$I$89,3,0)*VLOOKUP('Données projet'!$B$11,Paramètres!$A$1:$I$89,5,0)</f>
        <v>329.91660000000013</v>
      </c>
      <c r="BF59" s="14">
        <f t="shared" si="37"/>
        <v>77.413015969653813</v>
      </c>
      <c r="BG59" s="22">
        <f t="shared" si="7"/>
        <v>709.43241448048059</v>
      </c>
      <c r="BH59" s="62">
        <f t="shared" si="8"/>
        <v>1002.765747813814</v>
      </c>
      <c r="BI59" s="62">
        <f ca="1">AVERAGE(OFFSET($BH$3,0,0,'Données projet'!$E$11+1,1))-AVERAGE(OFFSET($H$3,0,0,'Données projet'!$E$11+1,1))</f>
        <v>361.81625684745416</v>
      </c>
      <c r="BJ59" s="62">
        <f t="shared" si="38"/>
        <v>302.25424592654684</v>
      </c>
      <c r="BK59" s="16">
        <f>IF(ISNA(VLOOKUP(A59,'Données projet'!$A$87:$I$107,3,0)),0,VLOOKUP(A59,'Données projet'!$A$87:$I$107,3,0))</f>
        <v>11</v>
      </c>
      <c r="BL59" s="16">
        <f>IF(ISNA(VLOOKUP(A59,'Données projet'!$A$87:$I$107,4,0)),0,VLOOKUP(A59,'Données projet'!$A$87:$I$107,4,0))</f>
        <v>77</v>
      </c>
      <c r="BM59" s="17">
        <f>IF(ISNA(VLOOKUP(A59,'Données projet'!$A$87:$I$107,5,0)),0%,VLOOKUP(A59,'Données projet'!$A$87:$I$107,5,0)*VLOOKUP('Données projet'!$B$11,Paramètres!$A$1:$I$89,7,0))</f>
        <v>0.40500000000000003</v>
      </c>
      <c r="BN59" s="17">
        <f>IF(ISNA(VLOOKUP(A59,'Données projet'!$A$87:$I$107,6,0)),0%,VLOOKUP(A59,'Données projet'!$A$87:$I$107,6,0)*VLOOKUP('Données projet'!$B$11,Paramètres!$A$1:$I$89,7,0))</f>
        <v>2.7E-2</v>
      </c>
      <c r="BO59" s="17">
        <f>IF(ISNA(VLOOKUP(A59,'Données projet'!$A$87:$I$107,7,0)),0%,VLOOKUP(A59,'Données projet'!$A$87:$I$107,7,0))</f>
        <v>0.04</v>
      </c>
      <c r="BP59" s="23">
        <f>EXP(-LN(2)/35)*BP58+(1-EXP(-LN(2)/35))/(LN(2)/35)*BL59*BM59*VLOOKUP('Données projet'!$B$11,Paramètres!$A$1:$I$89,3,0)*0.475*44/12</f>
        <v>59.550383346372968</v>
      </c>
      <c r="BQ59" s="23">
        <f>EXP(-LN(2)/25)*BQ58+(1-EXP(-LN(2)/25))/(LN(2)/25)*Calculateur!BL59*Calculateur!BN59*VLOOKUP('Données projet'!$B$11,Paramètres!$A$1:$I$89,3,0)*0.475*44/12</f>
        <v>18.696111212157739</v>
      </c>
      <c r="BR59" s="23">
        <f>EXP(-LN(2)/2)*BR58+(1-EXP(-LN(2)/2))/(LN(2)/2)*BL59*BO59*VLOOKUP('Données projet'!$B$11,Paramètres!$A$1:$I$89,3,0)*0.475*44/12</f>
        <v>2.3541445224685287</v>
      </c>
      <c r="BS59" s="24">
        <f t="shared" si="9"/>
        <v>80.600639080999244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20.6</v>
      </c>
      <c r="N60" s="14">
        <f>IF('Données projet'!$A$36&gt;35,N59+M60-V59,IF(A60&lt;'Données projet'!$A$36,$K$205^A60,IF(A60='Données projet'!$A$36,'Données projet'!$B$36,N59+M60-V59)))</f>
        <v>674.19999999999959</v>
      </c>
      <c r="O60" s="14">
        <f>N60*VLOOKUP('Données projet'!$B$9,Paramètres!$A$1:$I$89,3,0)*VLOOKUP('Données projet'!$B$9,Paramètres!$A$1:$I$89,5,0)</f>
        <v>376.87779999999981</v>
      </c>
      <c r="P60" s="14">
        <f t="shared" si="33"/>
        <v>87.072873364789544</v>
      </c>
      <c r="Q60" s="22">
        <f t="shared" si="53"/>
        <v>808.04742277700814</v>
      </c>
      <c r="R60" s="62">
        <f t="shared" si="0"/>
        <v>1101.3807561103415</v>
      </c>
      <c r="S60" s="62">
        <f ca="1">AVERAGE(OFFSET($R$3,0,0,'Données projet'!$E$9+1,1))-AVERAGE(OFFSET($H$3,0,0,'Données projet'!$E$9+1,1))</f>
        <v>500.52921520843432</v>
      </c>
      <c r="T60" s="62">
        <f t="shared" si="34"/>
        <v>430.43167430170087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90.741380997833375</v>
      </c>
      <c r="AA60" s="23">
        <f>EXP(-LN(2)/25)*AA59+(1-EXP(-LN(2)/25))/(LN(2)/25)*Calculateur!V60*Calculateur!X60*VLOOKUP('Données projet'!$B$9,Paramètres!$A$1:$I$89,3,0)*0.475*44/12</f>
        <v>35.603470289925546</v>
      </c>
      <c r="AB60" s="23">
        <f>EXP(-LN(2)/2)*AB59+(1-EXP(-LN(2)/2))/(LN(2)/2)*V60*Y60*VLOOKUP('Données projet'!$B$9,Paramètres!$A$1:$I$89,3,0)*0.475*44/12</f>
        <v>1.1116307916055341</v>
      </c>
      <c r="AC60" s="24">
        <f t="shared" si="3"/>
        <v>127.45648207936446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</v>
      </c>
      <c r="AI60" s="14">
        <f>IF('Données projet'!$A$62&gt;35,AI59+AH60-AQ59,IF(A60&lt;'Données projet'!$A$62,$AF$205^A60,IF(A60='Données projet'!$A$62,'Données projet'!$B$62,AI59+AH60-AQ59)))</f>
        <v>431</v>
      </c>
      <c r="AJ60" s="14">
        <f>AI60*VLOOKUP('Données projet'!$B$10,Paramètres!$A$1:$I$89,3,0)*VLOOKUP('Données projet'!$B$10,Paramètres!$A$1:$I$89,5,0)</f>
        <v>201.708</v>
      </c>
      <c r="AK60" s="14">
        <f t="shared" si="35"/>
        <v>50.119348451854286</v>
      </c>
      <c r="AL60" s="22">
        <f t="shared" si="4"/>
        <v>438.59929855364618</v>
      </c>
      <c r="AM60" s="62">
        <f t="shared" si="5"/>
        <v>731.93263188697949</v>
      </c>
      <c r="AN60" s="62">
        <f ca="1">AVERAGE(OFFSET($AM$3,0,0,'Données projet'!$E$10+1,1))-AVERAGE(OFFSET($H$3,0,0,'Données projet'!$E$10+1,1))</f>
        <v>265.57412766850422</v>
      </c>
      <c r="AO60" s="62">
        <f t="shared" si="36"/>
        <v>179.39213799913273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11.603255862143078</v>
      </c>
      <c r="AV60" s="23">
        <f>EXP(-LN(2)/25)*AV59+(1-EXP(-LN(2)/25))/(LN(2)/25)*Calculateur!AQ60*Calculateur!AS60*VLOOKUP('Données projet'!$B$10,Paramètres!$A$1:$I$89,3,0)*0.475*44/12</f>
        <v>15.252571533021895</v>
      </c>
      <c r="AW60" s="23">
        <f>EXP(-LN(2)/2)*AW59+(1-EXP(-LN(2)/2))/(LN(2)/2)*AQ60*AT60*VLOOKUP('Données projet'!$B$10,Paramètres!$A$1:$I$89,3,0)*0.475*44/12</f>
        <v>0.63237482747374973</v>
      </c>
      <c r="AX60" s="23">
        <f t="shared" si="6"/>
        <v>27.488202222638723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15.683333333333318</v>
      </c>
      <c r="BD60" s="13">
        <f>IF('Données projet'!$A$88&gt;35,BD59+BC60-BL59,IF(A60&lt;'Données projet'!$A$88,$BA$205^A60,IF(A60='Données projet'!$A$88,'Données projet'!$B$88,BD59+BC60-BL59)))</f>
        <v>490.38333333333344</v>
      </c>
      <c r="BE60" s="14">
        <f>BD60*VLOOKUP('Données projet'!$B$11,Paramètres!$A$1:$I$89,3,0)*VLOOKUP('Données projet'!$B$11,Paramètres!$A$1:$I$89,5,0)</f>
        <v>293.24923333333345</v>
      </c>
      <c r="BF60" s="14">
        <f t="shared" si="37"/>
        <v>69.759374333428127</v>
      </c>
      <c r="BG60" s="22">
        <f t="shared" si="7"/>
        <v>632.23999168627631</v>
      </c>
      <c r="BH60" s="62">
        <f t="shared" si="8"/>
        <v>925.57332501960968</v>
      </c>
      <c r="BI60" s="62">
        <f ca="1">AVERAGE(OFFSET($BH$3,0,0,'Données projet'!$E$11+1,1))-AVERAGE(OFFSET($H$3,0,0,'Données projet'!$E$11+1,1))</f>
        <v>361.81625684745416</v>
      </c>
      <c r="BJ60" s="62">
        <f t="shared" si="38"/>
        <v>302.25424592654684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58.382636651097918</v>
      </c>
      <c r="BQ60" s="23">
        <f>EXP(-LN(2)/25)*BQ59+(1-EXP(-LN(2)/25))/(LN(2)/25)*Calculateur!BL60*Calculateur!BN60*VLOOKUP('Données projet'!$B$11,Paramètres!$A$1:$I$89,3,0)*0.475*44/12</f>
        <v>18.184865067875528</v>
      </c>
      <c r="BR60" s="23">
        <f>EXP(-LN(2)/2)*BR59+(1-EXP(-LN(2)/2))/(LN(2)/2)*BL60*BO60*VLOOKUP('Données projet'!$B$11,Paramètres!$A$1:$I$89,3,0)*0.475*44/12</f>
        <v>1.6646315557306635</v>
      </c>
      <c r="BS60" s="24">
        <f t="shared" si="9"/>
        <v>78.232133274704111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20.6</v>
      </c>
      <c r="N61" s="14">
        <f>IF('Données projet'!$A$36&gt;35,N60+M61-V60,IF(A61&lt;'Données projet'!$A$36,$K$205^A61,IF(A61='Données projet'!$A$36,'Données projet'!$B$36,N60+M61-V60)))</f>
        <v>694.79999999999961</v>
      </c>
      <c r="O61" s="14">
        <f>N61*VLOOKUP('Données projet'!$B$9,Paramètres!$A$1:$I$89,3,0)*VLOOKUP('Données projet'!$B$9,Paramètres!$A$1:$I$89,5,0)</f>
        <v>388.39319999999981</v>
      </c>
      <c r="P61" s="14">
        <f t="shared" si="33"/>
        <v>89.419547172188828</v>
      </c>
      <c r="Q61" s="22">
        <f t="shared" si="53"/>
        <v>832.19053465822856</v>
      </c>
      <c r="R61" s="62">
        <f t="shared" si="0"/>
        <v>1125.5238679915619</v>
      </c>
      <c r="S61" s="62">
        <f ca="1">AVERAGE(OFFSET($R$3,0,0,'Données projet'!$E$9+1,1))-AVERAGE(OFFSET($H$3,0,0,'Données projet'!$E$9+1,1))</f>
        <v>500.52921520843432</v>
      </c>
      <c r="T61" s="62">
        <f t="shared" si="34"/>
        <v>430.43167430170087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88.961997863243226</v>
      </c>
      <c r="AA61" s="23">
        <f>EXP(-LN(2)/25)*AA60+(1-EXP(-LN(2)/25))/(LN(2)/25)*Calculateur!V61*Calculateur!X61*VLOOKUP('Données projet'!$B$9,Paramètres!$A$1:$I$89,3,0)*0.475*44/12</f>
        <v>34.629891522542401</v>
      </c>
      <c r="AB61" s="23">
        <f>EXP(-LN(2)/2)*AB60+(1-EXP(-LN(2)/2))/(LN(2)/2)*V61*Y61*VLOOKUP('Données projet'!$B$9,Paramètres!$A$1:$I$89,3,0)*0.475*44/12</f>
        <v>0.78604167092004307</v>
      </c>
      <c r="AC61" s="24">
        <f t="shared" si="3"/>
        <v>124.37793105670568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</v>
      </c>
      <c r="AI61" s="14">
        <f>IF('Données projet'!$A$62&gt;35,AI60+AH61-AQ60,IF(A61&lt;'Données projet'!$A$62,$AF$205^A61,IF(A61='Données projet'!$A$62,'Données projet'!$B$62,AI60+AH61-AQ60)))</f>
        <v>444</v>
      </c>
      <c r="AJ61" s="14">
        <f>AI61*VLOOKUP('Données projet'!$B$10,Paramètres!$A$1:$I$89,3,0)*VLOOKUP('Données projet'!$B$10,Paramètres!$A$1:$I$89,5,0)</f>
        <v>207.792</v>
      </c>
      <c r="AK61" s="14">
        <f t="shared" si="35"/>
        <v>51.452785725007864</v>
      </c>
      <c r="AL61" s="22">
        <f t="shared" si="4"/>
        <v>451.51800180438869</v>
      </c>
      <c r="AM61" s="62">
        <f t="shared" si="5"/>
        <v>744.851335137722</v>
      </c>
      <c r="AN61" s="62">
        <f ca="1">AVERAGE(OFFSET($AM$3,0,0,'Données projet'!$E$10+1,1))-AVERAGE(OFFSET($H$3,0,0,'Données projet'!$E$10+1,1))</f>
        <v>265.57412766850422</v>
      </c>
      <c r="AO61" s="62">
        <f t="shared" si="36"/>
        <v>179.39213799913273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11.375723091973704</v>
      </c>
      <c r="AV61" s="23">
        <f>EXP(-LN(2)/25)*AV60+(1-EXP(-LN(2)/25))/(LN(2)/25)*Calculateur!AQ61*Calculateur!AS61*VLOOKUP('Données projet'!$B$10,Paramètres!$A$1:$I$89,3,0)*0.475*44/12</f>
        <v>14.835489162353534</v>
      </c>
      <c r="AW61" s="23">
        <f>EXP(-LN(2)/2)*AW60+(1-EXP(-LN(2)/2))/(LN(2)/2)*AQ61*AT61*VLOOKUP('Données projet'!$B$10,Paramètres!$A$1:$I$89,3,0)*0.475*44/12</f>
        <v>0.44715652875836154</v>
      </c>
      <c r="AX61" s="23">
        <f t="shared" si="6"/>
        <v>26.658368783085599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15.683333333333318</v>
      </c>
      <c r="BD61" s="13">
        <f>IF('Données projet'!$A$88&gt;35,BD60+BC61-BL60,IF(A61&lt;'Données projet'!$A$88,$BA$205^A61,IF(A61='Données projet'!$A$88,'Données projet'!$B$88,BD60+BC61-BL60)))</f>
        <v>506.06666666666678</v>
      </c>
      <c r="BE61" s="14">
        <f>BD61*VLOOKUP('Données projet'!$B$11,Paramètres!$A$1:$I$89,3,0)*VLOOKUP('Données projet'!$B$11,Paramètres!$A$1:$I$89,5,0)</f>
        <v>302.62786666666676</v>
      </c>
      <c r="BF61" s="14">
        <f t="shared" si="37"/>
        <v>71.727085324665211</v>
      </c>
      <c r="BG61" s="22">
        <f t="shared" si="7"/>
        <v>652.00154138490313</v>
      </c>
      <c r="BH61" s="62">
        <f t="shared" si="8"/>
        <v>945.33487471823651</v>
      </c>
      <c r="BI61" s="62">
        <f ca="1">AVERAGE(OFFSET($BH$3,0,0,'Données projet'!$E$11+1,1))-AVERAGE(OFFSET($H$3,0,0,'Données projet'!$E$11+1,1))</f>
        <v>361.81625684745416</v>
      </c>
      <c r="BJ61" s="62">
        <f t="shared" si="38"/>
        <v>302.25424592654684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57.237788756262063</v>
      </c>
      <c r="BQ61" s="23">
        <f>EXP(-LN(2)/25)*BQ60+(1-EXP(-LN(2)/25))/(LN(2)/25)*Calculateur!BL61*Calculateur!BN61*VLOOKUP('Données projet'!$B$11,Paramètres!$A$1:$I$89,3,0)*0.475*44/12</f>
        <v>17.68759897629398</v>
      </c>
      <c r="BR61" s="23">
        <f>EXP(-LN(2)/2)*BR60+(1-EXP(-LN(2)/2))/(LN(2)/2)*BL61*BO61*VLOOKUP('Données projet'!$B$11,Paramètres!$A$1:$I$89,3,0)*0.475*44/12</f>
        <v>1.1770722612342646</v>
      </c>
      <c r="BS61" s="24">
        <f t="shared" si="9"/>
        <v>76.102459993790305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20.6</v>
      </c>
      <c r="N62" s="14">
        <f>IF('Données projet'!$A$36&gt;35,N61+M62-V61,IF(A62&lt;'Données projet'!$A$36,$K$205^A62,IF(A62='Données projet'!$A$36,'Données projet'!$B$36,N61+M62-V61)))</f>
        <v>715.39999999999964</v>
      </c>
      <c r="O62" s="14">
        <f>N62*VLOOKUP('Données projet'!$B$9,Paramètres!$A$1:$I$89,3,0)*VLOOKUP('Données projet'!$B$9,Paramètres!$A$1:$I$89,5,0)</f>
        <v>399.90859999999981</v>
      </c>
      <c r="P62" s="14">
        <f t="shared" si="33"/>
        <v>91.758135027472846</v>
      </c>
      <c r="Q62" s="22">
        <f t="shared" si="53"/>
        <v>856.31956350618145</v>
      </c>
      <c r="R62" s="62">
        <f t="shared" si="0"/>
        <v>1149.6528968395148</v>
      </c>
      <c r="S62" s="62">
        <f ca="1">AVERAGE(OFFSET($R$3,0,0,'Données projet'!$E$9+1,1))-AVERAGE(OFFSET($H$3,0,0,'Données projet'!$E$9+1,1))</f>
        <v>500.52921520843432</v>
      </c>
      <c r="T62" s="62">
        <f t="shared" si="34"/>
        <v>430.43167430170087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87.217507346605842</v>
      </c>
      <c r="AA62" s="23">
        <f>EXP(-LN(2)/25)*AA61+(1-EXP(-LN(2)/25))/(LN(2)/25)*Calculateur!V62*Calculateur!X62*VLOOKUP('Données projet'!$B$9,Paramètres!$A$1:$I$89,3,0)*0.475*44/12</f>
        <v>33.682935317751628</v>
      </c>
      <c r="AB62" s="23">
        <f>EXP(-LN(2)/2)*AB61+(1-EXP(-LN(2)/2))/(LN(2)/2)*V62*Y62*VLOOKUP('Données projet'!$B$9,Paramètres!$A$1:$I$89,3,0)*0.475*44/12</f>
        <v>0.55581539580276718</v>
      </c>
      <c r="AC62" s="24">
        <f t="shared" si="3"/>
        <v>121.45625806016024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</v>
      </c>
      <c r="AI62" s="14">
        <f>IF('Données projet'!$A$62&gt;35,AI61+AH62-AQ61,IF(A62&lt;'Données projet'!$A$62,$AF$205^A62,IF(A62='Données projet'!$A$62,'Données projet'!$B$62,AI61+AH62-AQ61)))</f>
        <v>457</v>
      </c>
      <c r="AJ62" s="14">
        <f>AI62*VLOOKUP('Données projet'!$B$10,Paramètres!$A$1:$I$89,3,0)*VLOOKUP('Données projet'!$B$10,Paramètres!$A$1:$I$89,5,0)</f>
        <v>213.87599999999998</v>
      </c>
      <c r="AK62" s="14">
        <f t="shared" si="35"/>
        <v>52.781685550046873</v>
      </c>
      <c r="AL62" s="22">
        <f t="shared" si="4"/>
        <v>464.4288023329982</v>
      </c>
      <c r="AM62" s="62">
        <f t="shared" si="5"/>
        <v>757.76213566633146</v>
      </c>
      <c r="AN62" s="62">
        <f ca="1">AVERAGE(OFFSET($AM$3,0,0,'Données projet'!$E$10+1,1))-AVERAGE(OFFSET($H$3,0,0,'Données projet'!$E$10+1,1))</f>
        <v>265.57412766850422</v>
      </c>
      <c r="AO62" s="62">
        <f t="shared" si="36"/>
        <v>179.39213799913273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11.152652100646065</v>
      </c>
      <c r="AV62" s="23">
        <f>EXP(-LN(2)/25)*AV61+(1-EXP(-LN(2)/25))/(LN(2)/25)*Calculateur!AQ62*Calculateur!AS62*VLOOKUP('Données projet'!$B$10,Paramètres!$A$1:$I$89,3,0)*0.475*44/12</f>
        <v>14.429811931044508</v>
      </c>
      <c r="AW62" s="23">
        <f>EXP(-LN(2)/2)*AW61+(1-EXP(-LN(2)/2))/(LN(2)/2)*AQ62*AT62*VLOOKUP('Données projet'!$B$10,Paramètres!$A$1:$I$89,3,0)*0.475*44/12</f>
        <v>0.31618741373687492</v>
      </c>
      <c r="AX62" s="23">
        <f t="shared" si="6"/>
        <v>25.898651445427447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>
        <f>VLOOKUP(A62,'Données projet'!$A$87:$I$107,2,0)</f>
        <v>521.75</v>
      </c>
      <c r="BB62" s="13">
        <f>VLOOKUP(A62,'Données projet'!$A$87:$I$107,9,0)</f>
        <v>15.683333333333318</v>
      </c>
      <c r="BC62" s="13">
        <f t="array" ref="BC62">INDEX(BB:BB,MIN(IF(ISNUMBER(BB62:BB258),ROW(BB62:BB258),"")))</f>
        <v>15.683333333333318</v>
      </c>
      <c r="BD62" s="13">
        <f>IF('Données projet'!$A$88&gt;35,BD61+BC62-BL61,IF(A62&lt;'Données projet'!$A$88,$BA$205^A62,IF(A62='Données projet'!$A$88,'Données projet'!$B$88,BD61+BC62-BL61)))</f>
        <v>521.75000000000011</v>
      </c>
      <c r="BE62" s="14">
        <f>BD62*VLOOKUP('Données projet'!$B$11,Paramètres!$A$1:$I$89,3,0)*VLOOKUP('Données projet'!$B$11,Paramètres!$A$1:$I$89,5,0)</f>
        <v>312.00650000000007</v>
      </c>
      <c r="BF62" s="14">
        <f t="shared" si="37"/>
        <v>73.687709758579885</v>
      </c>
      <c r="BG62" s="22">
        <f t="shared" si="7"/>
        <v>671.75074866286002</v>
      </c>
      <c r="BH62" s="62">
        <f t="shared" si="8"/>
        <v>965.08408199619339</v>
      </c>
      <c r="BI62" s="62">
        <f ca="1">AVERAGE(OFFSET($BH$3,0,0,'Données projet'!$E$11+1,1))-AVERAGE(OFFSET($H$3,0,0,'Données projet'!$E$11+1,1))</f>
        <v>361.81625684745416</v>
      </c>
      <c r="BJ62" s="62">
        <f t="shared" si="38"/>
        <v>302.25424592654684</v>
      </c>
      <c r="BK62" s="16">
        <f>IF(ISNA(VLOOKUP(A62,'Données projet'!$A$87:$I$107,3,0)),0,VLOOKUP(A62,'Données projet'!$A$87:$I$107,3,0))</f>
        <v>12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0.40500000000000003</v>
      </c>
      <c r="BN62" s="17">
        <f>IF(ISNA(VLOOKUP(A62,'Données projet'!$A$87:$I$107,6,0)),0%,VLOOKUP(A62,'Données projet'!$A$87:$I$107,6,0)*VLOOKUP('Données projet'!$B$11,Paramètres!$A$1:$I$89,7,0))</f>
        <v>2.7E-2</v>
      </c>
      <c r="BO62" s="17">
        <f>IF(ISNA(VLOOKUP(A62,'Données projet'!$A$87:$I$107,7,0)),0%,VLOOKUP(A62,'Données projet'!$A$87:$I$107,7,0))</f>
        <v>0.04</v>
      </c>
      <c r="BP62" s="23">
        <f>EXP(-LN(2)/35)*BP61+(1-EXP(-LN(2)/35))/(LN(2)/35)*BL62*BM62*VLOOKUP('Données projet'!$B$11,Paramètres!$A$1:$I$89,3,0)*0.475*44/12</f>
        <v>56.11539063035567</v>
      </c>
      <c r="BQ62" s="23">
        <f>EXP(-LN(2)/25)*BQ61+(1-EXP(-LN(2)/25))/(LN(2)/25)*Calculateur!BL62*Calculateur!BN62*VLOOKUP('Données projet'!$B$11,Paramètres!$A$1:$I$89,3,0)*0.475*44/12</f>
        <v>17.203930652136815</v>
      </c>
      <c r="BR62" s="23">
        <f>EXP(-LN(2)/2)*BR61+(1-EXP(-LN(2)/2))/(LN(2)/2)*BL62*BO62*VLOOKUP('Données projet'!$B$11,Paramètres!$A$1:$I$89,3,0)*0.475*44/12</f>
        <v>0.83231577786533184</v>
      </c>
      <c r="BS62" s="24">
        <f t="shared" si="9"/>
        <v>74.151637060357814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736</v>
      </c>
      <c r="L63" s="13">
        <f>VLOOKUP(A63,'Données projet'!$A$35:$I$55,9,0)</f>
        <v>20.6</v>
      </c>
      <c r="M63" s="13">
        <f t="array" ref="M63">INDEX(L:L,MIN(IF(ISNUMBER(L63:L259),ROW(L63:L259),"")))</f>
        <v>20.6</v>
      </c>
      <c r="N63" s="14">
        <f>IF('Données projet'!$A$36&gt;35,N62+M63-V62,IF(A63&lt;'Données projet'!$A$36,$K$205^A63,IF(A63='Données projet'!$A$36,'Données projet'!$B$36,N62+M63-V62)))</f>
        <v>735.99999999999966</v>
      </c>
      <c r="O63" s="14">
        <f>N63*VLOOKUP('Données projet'!$B$9,Paramètres!$A$1:$I$89,3,0)*VLOOKUP('Données projet'!$B$9,Paramètres!$A$1:$I$89,5,0)</f>
        <v>411.42399999999981</v>
      </c>
      <c r="P63" s="14">
        <f t="shared" si="33"/>
        <v>94.088896505909162</v>
      </c>
      <c r="Q63" s="22">
        <f t="shared" si="53"/>
        <v>880.43496141445814</v>
      </c>
      <c r="R63" s="62">
        <f t="shared" si="0"/>
        <v>1173.7682947477915</v>
      </c>
      <c r="S63" s="62">
        <f ca="1">AVERAGE(OFFSET($R$3,0,0,'Données projet'!$E$9+1,1))-AVERAGE(OFFSET($H$3,0,0,'Données projet'!$E$9+1,1))</f>
        <v>500.52921520843432</v>
      </c>
      <c r="T63" s="62">
        <f t="shared" si="34"/>
        <v>430.43167430170087</v>
      </c>
      <c r="U63" s="16">
        <f>IF(ISNA(VLOOKUP(A63,'Données projet'!$A$35:$I$55,3,0)),0,VLOOKUP(A63,'Données projet'!$A$35:$I$55,3,0))</f>
        <v>11</v>
      </c>
      <c r="V63" s="16">
        <f>IF(ISNA(VLOOKUP(A63,'Données projet'!$A$35:$I$55,4,0)),0,VLOOKUP(A63,'Données projet'!$A$35:$I$55,4,0))</f>
        <v>48</v>
      </c>
      <c r="W63" s="17">
        <f>IF(ISNA(VLOOKUP(A63,'Données projet'!$A$35:$I$55,5,0)),0%,VLOOKUP(A63,'Données projet'!$A$35:$I$55,5,0)*VLOOKUP('Données projet'!$B$9,Paramètres!$A$1:$I$89,7,0))</f>
        <v>0.49500000000000005</v>
      </c>
      <c r="X63" s="17">
        <f>IF(ISNA(VLOOKUP(A63,'Données projet'!$A$35:$I$55,6,0)),0%,VLOOKUP(A63,'Données projet'!$A$35:$I$55,6,0)*VLOOKUP('Données projet'!$B$9,Paramètres!$A$1:$I$89,7,0))</f>
        <v>3.3000000000000002E-2</v>
      </c>
      <c r="Y63" s="17">
        <f>IF(ISNA(VLOOKUP(A63,'Données projet'!$A$35:$I$55,7,0)),0%,VLOOKUP(A63,'Données projet'!$A$35:$I$55,7,0))</f>
        <v>0.04</v>
      </c>
      <c r="Z63" s="23">
        <f>EXP(-LN(2)/35)*Z62+(1-EXP(-LN(2)/35))/(LN(2)/35)*V63*W63*VLOOKUP('Données projet'!$B$9,Paramètres!$A$1:$I$89,3,0)*0.475*44/12</f>
        <v>103.12644207180068</v>
      </c>
      <c r="AA63" s="23">
        <f>EXP(-LN(2)/25)*AA62+(1-EXP(-LN(2)/25))/(LN(2)/25)*Calculateur!V63*Calculateur!X63*VLOOKUP('Données projet'!$B$9,Paramètres!$A$1:$I$89,3,0)*0.475*44/12</f>
        <v>33.931863231956534</v>
      </c>
      <c r="AB63" s="23">
        <f>EXP(-LN(2)/2)*AB62+(1-EXP(-LN(2)/2))/(LN(2)/2)*V63*Y63*VLOOKUP('Données projet'!$B$9,Paramètres!$A$1:$I$89,3,0)*0.475*44/12</f>
        <v>1.6082231157492268</v>
      </c>
      <c r="AC63" s="24">
        <f t="shared" si="3"/>
        <v>138.66652841950645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470</v>
      </c>
      <c r="AG63" s="13">
        <f>VLOOKUP(A63,'Données projet'!$A$61:$I$81,9,0)</f>
        <v>13</v>
      </c>
      <c r="AH63" s="13">
        <f t="array" ref="AH63">INDEX(AG:AG,MIN(IF(ISNUMBER(AG63:AG259),ROW(AG63:AG259),"")))</f>
        <v>13</v>
      </c>
      <c r="AI63" s="14">
        <f>IF('Données projet'!$A$62&gt;35,AI62+AH63-AQ62,IF(A63&lt;'Données projet'!$A$62,$AF$205^A63,IF(A63='Données projet'!$A$62,'Données projet'!$B$62,AI62+AH63-AQ62)))</f>
        <v>470</v>
      </c>
      <c r="AJ63" s="14">
        <f>AI63*VLOOKUP('Données projet'!$B$10,Paramètres!$A$1:$I$89,3,0)*VLOOKUP('Données projet'!$B$10,Paramètres!$A$1:$I$89,5,0)</f>
        <v>219.95999999999998</v>
      </c>
      <c r="AK63" s="14">
        <f t="shared" si="35"/>
        <v>54.106191826225746</v>
      </c>
      <c r="AL63" s="22">
        <f t="shared" si="4"/>
        <v>477.33195076400972</v>
      </c>
      <c r="AM63" s="62">
        <f t="shared" si="5"/>
        <v>770.66528409734303</v>
      </c>
      <c r="AN63" s="62">
        <f ca="1">AVERAGE(OFFSET($AM$3,0,0,'Données projet'!$E$10+1,1))-AVERAGE(OFFSET($H$3,0,0,'Données projet'!$E$10+1,1))</f>
        <v>265.57412766850422</v>
      </c>
      <c r="AO63" s="62">
        <f t="shared" si="36"/>
        <v>179.39213799913273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40</v>
      </c>
      <c r="AR63" s="17">
        <f>IF(ISNA(VLOOKUP(A63,'Données projet'!$A$61:$I$81,5,0)),0%,VLOOKUP(A63,'Données projet'!$A$61:$I$81,5,0)*VLOOKUP('Données projet'!$B$10,Paramètres!$A$1:$I$89,7,0))</f>
        <v>0.27500000000000002</v>
      </c>
      <c r="AS63" s="17">
        <f>IF(ISNA(VLOOKUP(A63,'Données projet'!$A$61:$I$81,6,0)),0%,VLOOKUP(A63,'Données projet'!$A$61:$I$81,6,0)*VLOOKUP('Données projet'!$B$10,Paramètres!$A$1:$I$89,7,0))</f>
        <v>0.15400000000000003</v>
      </c>
      <c r="AT63" s="17">
        <f>IF(ISNA(VLOOKUP(A63,'Données projet'!$A$61:$I$81,7,0)),0%,VLOOKUP(A63,'Données projet'!$A$61:$I$81,7,0))</f>
        <v>0.22</v>
      </c>
      <c r="AU63" s="23">
        <f>EXP(-LN(2)/35)*AU62+(1-EXP(-LN(2)/35))/(LN(2)/35)*AQ63*AR63*VLOOKUP('Données projet'!$B$10,Paramètres!$A$1:$I$89,3,0)*0.475*44/12</f>
        <v>17.763109212001243</v>
      </c>
      <c r="AV63" s="23">
        <f>EXP(-LN(2)/25)*AV62+(1-EXP(-LN(2)/25))/(LN(2)/25)*Calculateur!AQ63*Calculateur!AS63*VLOOKUP('Données projet'!$B$10,Paramètres!$A$1:$I$89,3,0)*0.475*44/12</f>
        <v>17.844496273071769</v>
      </c>
      <c r="AW63" s="23">
        <f>EXP(-LN(2)/2)*AW62+(1-EXP(-LN(2)/2))/(LN(2)/2)*AQ63*AT63*VLOOKUP('Données projet'!$B$10,Paramètres!$A$1:$I$89,3,0)*0.475*44/12</f>
        <v>4.8865637585121773</v>
      </c>
      <c r="AX63" s="23">
        <f t="shared" si="6"/>
        <v>40.494169243585183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15.515714285714287</v>
      </c>
      <c r="BD63" s="13">
        <f>IF('Données projet'!$A$88&gt;35,BD62+BC63-BL62,IF(A63&lt;'Données projet'!$A$88,$BA$205^A63,IF(A63='Données projet'!$A$88,'Données projet'!$B$88,BD62+BC63-BL62)))</f>
        <v>537.26571428571435</v>
      </c>
      <c r="BE63" s="14">
        <f>BD63*VLOOKUP('Données projet'!$B$11,Paramètres!$A$1:$I$89,3,0)*VLOOKUP('Données projet'!$B$11,Paramètres!$A$1:$I$89,5,0)</f>
        <v>321.28489714285718</v>
      </c>
      <c r="BF63" s="14">
        <f t="shared" si="37"/>
        <v>75.620639118286675</v>
      </c>
      <c r="BG63" s="22">
        <f t="shared" si="7"/>
        <v>691.27714232149219</v>
      </c>
      <c r="BH63" s="62">
        <f t="shared" si="8"/>
        <v>984.61047565482545</v>
      </c>
      <c r="BI63" s="62">
        <f ca="1">AVERAGE(OFFSET($BH$3,0,0,'Données projet'!$E$11+1,1))-AVERAGE(OFFSET($H$3,0,0,'Données projet'!$E$11+1,1))</f>
        <v>361.81625684745416</v>
      </c>
      <c r="BJ63" s="62">
        <f t="shared" si="38"/>
        <v>302.25424592654684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55.015002047103046</v>
      </c>
      <c r="BQ63" s="23">
        <f>EXP(-LN(2)/25)*BQ62+(1-EXP(-LN(2)/25))/(LN(2)/25)*Calculateur!BL63*Calculateur!BN63*VLOOKUP('Données projet'!$B$11,Paramètres!$A$1:$I$89,3,0)*0.475*44/12</f>
        <v>16.733488263738742</v>
      </c>
      <c r="BR63" s="23">
        <f>EXP(-LN(2)/2)*BR62+(1-EXP(-LN(2)/2))/(LN(2)/2)*BL63*BO63*VLOOKUP('Données projet'!$B$11,Paramètres!$A$1:$I$89,3,0)*0.475*44/12</f>
        <v>0.58853613061713239</v>
      </c>
      <c r="BS63" s="24">
        <f t="shared" si="9"/>
        <v>72.337026441458917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18.399999999999999</v>
      </c>
      <c r="N64" s="14">
        <f>IF('Données projet'!$A$36&gt;35,N63+M64-V63,IF(A64&lt;'Données projet'!$A$36,$K$205^A64,IF(A64='Données projet'!$A$36,'Données projet'!$B$36,N63+M64-V63)))</f>
        <v>706.39999999999964</v>
      </c>
      <c r="O64" s="14">
        <f>N64*VLOOKUP('Données projet'!$B$9,Paramètres!$A$1:$I$89,3,0)*VLOOKUP('Données projet'!$B$9,Paramètres!$A$1:$I$89,5,0)</f>
        <v>394.8775999999998</v>
      </c>
      <c r="P64" s="14">
        <f t="shared" si="33"/>
        <v>90.737399523944077</v>
      </c>
      <c r="Q64" s="22">
        <f t="shared" si="53"/>
        <v>845.77945750420213</v>
      </c>
      <c r="R64" s="62">
        <f t="shared" si="0"/>
        <v>1139.1127908375354</v>
      </c>
      <c r="S64" s="62">
        <f ca="1">AVERAGE(OFFSET($R$3,0,0,'Données projet'!$E$9+1,1))-AVERAGE(OFFSET($H$3,0,0,'Données projet'!$E$9+1,1))</f>
        <v>500.52921520843432</v>
      </c>
      <c r="T64" s="62">
        <f t="shared" si="34"/>
        <v>430.43167430170087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101.10419544369138</v>
      </c>
      <c r="AA64" s="23">
        <f>EXP(-LN(2)/25)*AA63+(1-EXP(-LN(2)/25))/(LN(2)/25)*Calculateur!V64*Calculateur!X64*VLOOKUP('Données projet'!$B$9,Paramètres!$A$1:$I$89,3,0)*0.475*44/12</f>
        <v>33.003994647479544</v>
      </c>
      <c r="AB64" s="23">
        <f>EXP(-LN(2)/2)*AB63+(1-EXP(-LN(2)/2))/(LN(2)/2)*V64*Y64*VLOOKUP('Données projet'!$B$9,Paramètres!$A$1:$I$89,3,0)*0.475*44/12</f>
        <v>1.1371854708072362</v>
      </c>
      <c r="AC64" s="24">
        <f t="shared" si="3"/>
        <v>135.24537556197814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</v>
      </c>
      <c r="AI64" s="14">
        <f>IF('Données projet'!$A$62&gt;35,AI63+AH64-AQ63,IF(A64&lt;'Données projet'!$A$62,$AF$205^A64,IF(A64='Données projet'!$A$62,'Données projet'!$B$62,AI63+AH64-AQ63)))</f>
        <v>442</v>
      </c>
      <c r="AJ64" s="14">
        <f>AI64*VLOOKUP('Données projet'!$B$10,Paramètres!$A$1:$I$89,3,0)*VLOOKUP('Données projet'!$B$10,Paramètres!$A$1:$I$89,5,0)</f>
        <v>206.85600000000002</v>
      </c>
      <c r="AK64" s="14">
        <f t="shared" si="35"/>
        <v>51.247940588293027</v>
      </c>
      <c r="AL64" s="22">
        <f t="shared" si="4"/>
        <v>449.53102985794368</v>
      </c>
      <c r="AM64" s="62">
        <f t="shared" si="5"/>
        <v>742.86436319127699</v>
      </c>
      <c r="AN64" s="62">
        <f ca="1">AVERAGE(OFFSET($AM$3,0,0,'Données projet'!$E$10+1,1))-AVERAGE(OFFSET($H$3,0,0,'Données projet'!$E$10+1,1))</f>
        <v>265.57412766850422</v>
      </c>
      <c r="AO64" s="62">
        <f t="shared" si="36"/>
        <v>179.39213799913273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17.414785474780707</v>
      </c>
      <c r="AV64" s="23">
        <f>EXP(-LN(2)/25)*AV63+(1-EXP(-LN(2)/25))/(LN(2)/25)*Calculateur!AQ64*Calculateur!AS64*VLOOKUP('Données projet'!$B$10,Paramètres!$A$1:$I$89,3,0)*0.475*44/12</f>
        <v>17.356537584083348</v>
      </c>
      <c r="AW64" s="23">
        <f>EXP(-LN(2)/2)*AW63+(1-EXP(-LN(2)/2))/(LN(2)/2)*AQ64*AT64*VLOOKUP('Données projet'!$B$10,Paramètres!$A$1:$I$89,3,0)*0.475*44/12</f>
        <v>3.4553223703443838</v>
      </c>
      <c r="AX64" s="23">
        <f t="shared" si="6"/>
        <v>38.226645429208439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15.515714285714287</v>
      </c>
      <c r="BD64" s="13">
        <f>IF('Données projet'!$A$88&gt;35,BD63+BC64-BL63,IF(A64&lt;'Données projet'!$A$88,$BA$205^A64,IF(A64='Données projet'!$A$88,'Données projet'!$B$88,BD63+BC64-BL63)))</f>
        <v>552.78142857142859</v>
      </c>
      <c r="BE64" s="14">
        <f>BD64*VLOOKUP('Données projet'!$B$11,Paramètres!$A$1:$I$89,3,0)*VLOOKUP('Données projet'!$B$11,Paramètres!$A$1:$I$89,5,0)</f>
        <v>330.56329428571433</v>
      </c>
      <c r="BF64" s="14">
        <f t="shared" si="37"/>
        <v>77.547080854167504</v>
      </c>
      <c r="BG64" s="22">
        <f t="shared" si="7"/>
        <v>710.79223670196086</v>
      </c>
      <c r="BH64" s="62">
        <f t="shared" si="8"/>
        <v>1004.1255700352942</v>
      </c>
      <c r="BI64" s="62">
        <f ca="1">AVERAGE(OFFSET($BH$3,0,0,'Données projet'!$E$11+1,1))-AVERAGE(OFFSET($H$3,0,0,'Données projet'!$E$11+1,1))</f>
        <v>361.81625684745416</v>
      </c>
      <c r="BJ64" s="62">
        <f t="shared" si="38"/>
        <v>302.25424592654684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53.936191412797243</v>
      </c>
      <c r="BQ64" s="23">
        <f>EXP(-LN(2)/25)*BQ63+(1-EXP(-LN(2)/25))/(LN(2)/25)*Calculateur!BL64*Calculateur!BN64*VLOOKUP('Données projet'!$B$11,Paramètres!$A$1:$I$89,3,0)*0.475*44/12</f>
        <v>16.275910147190903</v>
      </c>
      <c r="BR64" s="23">
        <f>EXP(-LN(2)/2)*BR63+(1-EXP(-LN(2)/2))/(LN(2)/2)*BL64*BO64*VLOOKUP('Données projet'!$B$11,Paramètres!$A$1:$I$89,3,0)*0.475*44/12</f>
        <v>0.41615788893266603</v>
      </c>
      <c r="BS64" s="24">
        <f t="shared" si="9"/>
        <v>70.628259448920801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18.399999999999999</v>
      </c>
      <c r="N65" s="14">
        <f>IF('Données projet'!$A$36&gt;35,N64+M65-V64,IF(A65&lt;'Données projet'!$A$36,$K$205^A65,IF(A65='Données projet'!$A$36,'Données projet'!$B$36,N64+M65-V64)))</f>
        <v>724.79999999999961</v>
      </c>
      <c r="O65" s="14">
        <f>N65*VLOOKUP('Données projet'!$B$9,Paramètres!$A$1:$I$89,3,0)*VLOOKUP('Données projet'!$B$9,Paramètres!$A$1:$I$89,5,0)</f>
        <v>405.16319999999979</v>
      </c>
      <c r="P65" s="14">
        <f t="shared" si="33"/>
        <v>92.822642162296091</v>
      </c>
      <c r="Q65" s="22">
        <f t="shared" si="53"/>
        <v>867.32534176599859</v>
      </c>
      <c r="R65" s="62">
        <f t="shared" si="0"/>
        <v>1160.658675099332</v>
      </c>
      <c r="S65" s="62">
        <f ca="1">AVERAGE(OFFSET($R$3,0,0,'Données projet'!$E$9+1,1))-AVERAGE(OFFSET($H$3,0,0,'Données projet'!$E$9+1,1))</f>
        <v>500.52921520843432</v>
      </c>
      <c r="T65" s="62">
        <f t="shared" si="34"/>
        <v>430.43167430170087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99.121603838510651</v>
      </c>
      <c r="AA65" s="23">
        <f>EXP(-LN(2)/25)*AA64+(1-EXP(-LN(2)/25))/(LN(2)/25)*Calculateur!V65*Calculateur!X65*VLOOKUP('Données projet'!$B$9,Paramètres!$A$1:$I$89,3,0)*0.475*44/12</f>
        <v>32.101498678239572</v>
      </c>
      <c r="AB65" s="23">
        <f>EXP(-LN(2)/2)*AB64+(1-EXP(-LN(2)/2))/(LN(2)/2)*V65*Y65*VLOOKUP('Données projet'!$B$9,Paramètres!$A$1:$I$89,3,0)*0.475*44/12</f>
        <v>0.80411155787461341</v>
      </c>
      <c r="AC65" s="24">
        <f t="shared" si="3"/>
        <v>132.02721407462485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</v>
      </c>
      <c r="AI65" s="14">
        <f>IF('Données projet'!$A$62&gt;35,AI64+AH65-AQ64,IF(A65&lt;'Données projet'!$A$62,$AF$205^A65,IF(A65='Données projet'!$A$62,'Données projet'!$B$62,AI64+AH65-AQ64)))</f>
        <v>454</v>
      </c>
      <c r="AJ65" s="14">
        <f>AI65*VLOOKUP('Données projet'!$B$10,Paramètres!$A$1:$I$89,3,0)*VLOOKUP('Données projet'!$B$10,Paramètres!$A$1:$I$89,5,0)</f>
        <v>212.47200000000001</v>
      </c>
      <c r="AK65" s="14">
        <f t="shared" si="35"/>
        <v>52.475411418566523</v>
      </c>
      <c r="AL65" s="22">
        <f t="shared" si="4"/>
        <v>461.45007488733671</v>
      </c>
      <c r="AM65" s="62">
        <f t="shared" si="5"/>
        <v>754.78340822067003</v>
      </c>
      <c r="AN65" s="62">
        <f ca="1">AVERAGE(OFFSET($AM$3,0,0,'Données projet'!$E$10+1,1))-AVERAGE(OFFSET($H$3,0,0,'Données projet'!$E$10+1,1))</f>
        <v>265.57412766850422</v>
      </c>
      <c r="AO65" s="62">
        <f t="shared" si="36"/>
        <v>179.39213799913273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17.073292153590565</v>
      </c>
      <c r="AV65" s="23">
        <f>EXP(-LN(2)/25)*AV64+(1-EXP(-LN(2)/25))/(LN(2)/25)*Calculateur!AQ65*Calculateur!AS65*VLOOKUP('Données projet'!$B$10,Paramètres!$A$1:$I$89,3,0)*0.475*44/12</f>
        <v>16.881922151105947</v>
      </c>
      <c r="AW65" s="23">
        <f>EXP(-LN(2)/2)*AW64+(1-EXP(-LN(2)/2))/(LN(2)/2)*AQ65*AT65*VLOOKUP('Données projet'!$B$10,Paramètres!$A$1:$I$89,3,0)*0.475*44/12</f>
        <v>2.4432818792560891</v>
      </c>
      <c r="AX65" s="23">
        <f t="shared" si="6"/>
        <v>36.398496183952602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15.515714285714287</v>
      </c>
      <c r="BD65" s="13">
        <f>IF('Données projet'!$A$88&gt;35,BD64+BC65-BL64,IF(A65&lt;'Données projet'!$A$88,$BA$205^A65,IF(A65='Données projet'!$A$88,'Données projet'!$B$88,BD64+BC65-BL64)))</f>
        <v>568.29714285714283</v>
      </c>
      <c r="BE65" s="14">
        <f>BD65*VLOOKUP('Données projet'!$B$11,Paramètres!$A$1:$I$89,3,0)*VLOOKUP('Données projet'!$B$11,Paramètres!$A$1:$I$89,5,0)</f>
        <v>339.84169142857149</v>
      </c>
      <c r="BF65" s="14">
        <f t="shared" si="37"/>
        <v>79.467237982145818</v>
      </c>
      <c r="BG65" s="22">
        <f t="shared" si="7"/>
        <v>730.2963853903326</v>
      </c>
      <c r="BH65" s="62">
        <f t="shared" si="8"/>
        <v>1023.629718723666</v>
      </c>
      <c r="BI65" s="62">
        <f ca="1">AVERAGE(OFFSET($BH$3,0,0,'Données projet'!$E$11+1,1))-AVERAGE(OFFSET($H$3,0,0,'Données projet'!$E$11+1,1))</f>
        <v>361.81625684745416</v>
      </c>
      <c r="BJ65" s="62">
        <f t="shared" si="38"/>
        <v>302.25424592654684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52.878535597020658</v>
      </c>
      <c r="BQ65" s="23">
        <f>EXP(-LN(2)/25)*BQ64+(1-EXP(-LN(2)/25))/(LN(2)/25)*Calculateur!BL65*Calculateur!BN65*VLOOKUP('Données projet'!$B$11,Paramètres!$A$1:$I$89,3,0)*0.475*44/12</f>
        <v>15.830844528303052</v>
      </c>
      <c r="BR65" s="23">
        <f>EXP(-LN(2)/2)*BR64+(1-EXP(-LN(2)/2))/(LN(2)/2)*BL65*BO65*VLOOKUP('Données projet'!$B$11,Paramètres!$A$1:$I$89,3,0)*0.475*44/12</f>
        <v>0.29426806530856625</v>
      </c>
      <c r="BS65" s="24">
        <f t="shared" si="9"/>
        <v>69.003648190632276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18.399999999999999</v>
      </c>
      <c r="N66" s="14">
        <f>IF('Données projet'!$A$36&gt;35,N65+M66-V65,IF(A66&lt;'Données projet'!$A$36,$K$205^A66,IF(A66='Données projet'!$A$36,'Données projet'!$B$36,N65+M66-V65)))</f>
        <v>743.19999999999959</v>
      </c>
      <c r="O66" s="14">
        <f>N66*VLOOKUP('Données projet'!$B$9,Paramètres!$A$1:$I$89,3,0)*VLOOKUP('Données projet'!$B$9,Paramètres!$A$1:$I$89,5,0)</f>
        <v>415.44879999999972</v>
      </c>
      <c r="P66" s="14">
        <f t="shared" si="33"/>
        <v>94.901731374242317</v>
      </c>
      <c r="Q66" s="22">
        <f t="shared" si="53"/>
        <v>888.86050881013819</v>
      </c>
      <c r="R66" s="62">
        <f t="shared" si="0"/>
        <v>1182.1938421434716</v>
      </c>
      <c r="S66" s="62">
        <f ca="1">AVERAGE(OFFSET($R$3,0,0,'Données projet'!$E$9+1,1))-AVERAGE(OFFSET($H$3,0,0,'Données projet'!$E$9+1,1))</f>
        <v>500.52921520843432</v>
      </c>
      <c r="T66" s="62">
        <f t="shared" si="34"/>
        <v>430.43167430170087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97.177889645446044</v>
      </c>
      <c r="AA66" s="23">
        <f>EXP(-LN(2)/25)*AA65+(1-EXP(-LN(2)/25))/(LN(2)/25)*Calculateur!V66*Calculateur!X66*VLOOKUP('Données projet'!$B$9,Paramètres!$A$1:$I$89,3,0)*0.475*44/12</f>
        <v>31.223681508738665</v>
      </c>
      <c r="AB66" s="23">
        <f>EXP(-LN(2)/2)*AB65+(1-EXP(-LN(2)/2))/(LN(2)/2)*V66*Y66*VLOOKUP('Données projet'!$B$9,Paramètres!$A$1:$I$89,3,0)*0.475*44/12</f>
        <v>0.5685927354036181</v>
      </c>
      <c r="AC66" s="24">
        <f t="shared" si="3"/>
        <v>128.97016388958832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12</v>
      </c>
      <c r="AI66" s="14">
        <f>IF('Données projet'!$A$62&gt;35,AI65+AH66-AQ65,IF(A66&lt;'Données projet'!$A$62,$AF$205^A66,IF(A66='Données projet'!$A$62,'Données projet'!$B$62,AI65+AH66-AQ65)))</f>
        <v>466</v>
      </c>
      <c r="AJ66" s="14">
        <f>AI66*VLOOKUP('Données projet'!$B$10,Paramètres!$A$1:$I$89,3,0)*VLOOKUP('Données projet'!$B$10,Paramètres!$A$1:$I$89,5,0)</f>
        <v>218.08799999999999</v>
      </c>
      <c r="AK66" s="14">
        <f t="shared" si="35"/>
        <v>53.699111087780629</v>
      </c>
      <c r="AL66" s="22">
        <f t="shared" si="4"/>
        <v>473.36255181121783</v>
      </c>
      <c r="AM66" s="62">
        <f t="shared" si="5"/>
        <v>766.69588514455108</v>
      </c>
      <c r="AN66" s="62">
        <f ca="1">AVERAGE(OFFSET($AM$3,0,0,'Données projet'!$E$10+1,1))-AVERAGE(OFFSET($H$3,0,0,'Données projet'!$E$10+1,1))</f>
        <v>265.57412766850422</v>
      </c>
      <c r="AO66" s="62">
        <f t="shared" si="36"/>
        <v>179.39213799913273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16.738495308138603</v>
      </c>
      <c r="AV66" s="23">
        <f>EXP(-LN(2)/25)*AV65+(1-EXP(-LN(2)/25))/(LN(2)/25)*Calculateur!AQ66*Calculateur!AS66*VLOOKUP('Données projet'!$B$10,Paramètres!$A$1:$I$89,3,0)*0.475*44/12</f>
        <v>16.420285102102252</v>
      </c>
      <c r="AW66" s="23">
        <f>EXP(-LN(2)/2)*AW65+(1-EXP(-LN(2)/2))/(LN(2)/2)*AQ66*AT66*VLOOKUP('Données projet'!$B$10,Paramètres!$A$1:$I$89,3,0)*0.475*44/12</f>
        <v>1.7276611851721921</v>
      </c>
      <c r="AX66" s="23">
        <f t="shared" si="6"/>
        <v>34.886441595413046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15.515714285714287</v>
      </c>
      <c r="BD66" s="13">
        <f>IF('Données projet'!$A$88&gt;35,BD65+BC66-BL65,IF(A66&lt;'Données projet'!$A$88,$BA$205^A66,IF(A66='Données projet'!$A$88,'Données projet'!$B$88,BD65+BC66-BL65)))</f>
        <v>583.81285714285707</v>
      </c>
      <c r="BE66" s="14">
        <f>BD66*VLOOKUP('Données projet'!$B$11,Paramètres!$A$1:$I$89,3,0)*VLOOKUP('Données projet'!$B$11,Paramètres!$A$1:$I$89,5,0)</f>
        <v>349.12008857142854</v>
      </c>
      <c r="BF66" s="14">
        <f t="shared" si="37"/>
        <v>81.381301801660527</v>
      </c>
      <c r="BG66" s="22">
        <f t="shared" si="7"/>
        <v>749.78992156646348</v>
      </c>
      <c r="BH66" s="62">
        <f t="shared" si="8"/>
        <v>1043.1232548997968</v>
      </c>
      <c r="BI66" s="62">
        <f ca="1">AVERAGE(OFFSET($BH$3,0,0,'Données projet'!$E$11+1,1))-AVERAGE(OFFSET($H$3,0,0,'Données projet'!$E$11+1,1))</f>
        <v>361.81625684745416</v>
      </c>
      <c r="BJ66" s="62">
        <f t="shared" si="38"/>
        <v>302.25424592654684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51.841619766685106</v>
      </c>
      <c r="BQ66" s="23">
        <f>EXP(-LN(2)/25)*BQ65+(1-EXP(-LN(2)/25))/(LN(2)/25)*Calculateur!BL66*Calculateur!BN66*VLOOKUP('Données projet'!$B$11,Paramètres!$A$1:$I$89,3,0)*0.475*44/12</f>
        <v>15.397949252168672</v>
      </c>
      <c r="BR66" s="23">
        <f>EXP(-LN(2)/2)*BR65+(1-EXP(-LN(2)/2))/(LN(2)/2)*BL66*BO66*VLOOKUP('Données projet'!$B$11,Paramètres!$A$1:$I$89,3,0)*0.475*44/12</f>
        <v>0.20807894446633304</v>
      </c>
      <c r="BS66" s="24">
        <f t="shared" si="9"/>
        <v>67.447647963320122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18.399999999999999</v>
      </c>
      <c r="N67" s="14">
        <f>IF('Données projet'!$A$36&gt;35,N66+M67-V66,IF(A67&lt;'Données projet'!$A$36,$K$205^A67,IF(A67='Données projet'!$A$36,'Données projet'!$B$36,N66+M67-V66)))</f>
        <v>761.59999999999957</v>
      </c>
      <c r="O67" s="14">
        <f>N67*VLOOKUP('Données projet'!$B$9,Paramètres!$A$1:$I$89,3,0)*VLOOKUP('Données projet'!$B$9,Paramètres!$A$1:$I$89,5,0)</f>
        <v>425.73439999999977</v>
      </c>
      <c r="P67" s="14">
        <f t="shared" si="33"/>
        <v>96.974837028375319</v>
      </c>
      <c r="Q67" s="22">
        <f t="shared" ref="Q67:Q98" si="54">(O67+P67)*0.475*44/12</f>
        <v>910.38525449108658</v>
      </c>
      <c r="R67" s="62">
        <f t="shared" ref="R67:R130" si="55">Q67+(I67+J67)*44/12</f>
        <v>1203.71858782442</v>
      </c>
      <c r="S67" s="62">
        <f ca="1">AVERAGE(OFFSET($R$3,0,0,'Données projet'!$E$9+1,1))-AVERAGE(OFFSET($H$3,0,0,'Données projet'!$E$9+1,1))</f>
        <v>500.52921520843432</v>
      </c>
      <c r="T67" s="62">
        <f t="shared" si="34"/>
        <v>430.43167430170087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95.272290502158839</v>
      </c>
      <c r="AA67" s="23">
        <f>EXP(-LN(2)/25)*AA66+(1-EXP(-LN(2)/25))/(LN(2)/25)*Calculateur!V67*Calculateur!X67*VLOOKUP('Données projet'!$B$9,Paramètres!$A$1:$I$89,3,0)*0.475*44/12</f>
        <v>30.369868295900158</v>
      </c>
      <c r="AB67" s="23">
        <f>EXP(-LN(2)/2)*AB66+(1-EXP(-LN(2)/2))/(LN(2)/2)*V67*Y67*VLOOKUP('Données projet'!$B$9,Paramètres!$A$1:$I$89,3,0)*0.475*44/12</f>
        <v>0.40205577893730671</v>
      </c>
      <c r="AC67" s="24">
        <f t="shared" si="3"/>
        <v>126.04421457699631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12</v>
      </c>
      <c r="AI67" s="14">
        <f>IF('Données projet'!$A$62&gt;35,AI66+AH67-AQ66,IF(A67&lt;'Données projet'!$A$62,$AF$205^A67,IF(A67='Données projet'!$A$62,'Données projet'!$B$62,AI66+AH67-AQ66)))</f>
        <v>478</v>
      </c>
      <c r="AJ67" s="14">
        <f>AI67*VLOOKUP('Données projet'!$B$10,Paramètres!$A$1:$I$89,3,0)*VLOOKUP('Données projet'!$B$10,Paramètres!$A$1:$I$89,5,0)</f>
        <v>223.70399999999998</v>
      </c>
      <c r="AK67" s="14">
        <f t="shared" si="35"/>
        <v>54.919147873047578</v>
      </c>
      <c r="AL67" s="22">
        <f t="shared" si="4"/>
        <v>485.26864921222455</v>
      </c>
      <c r="AM67" s="62">
        <f t="shared" si="5"/>
        <v>778.6019825455578</v>
      </c>
      <c r="AN67" s="62">
        <f ca="1">AVERAGE(OFFSET($AM$3,0,0,'Données projet'!$E$10+1,1))-AVERAGE(OFFSET($H$3,0,0,'Données projet'!$E$10+1,1))</f>
        <v>265.57412766850422</v>
      </c>
      <c r="AO67" s="62">
        <f t="shared" si="36"/>
        <v>179.39213799913273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16.41026362462004</v>
      </c>
      <c r="AV67" s="23">
        <f>EXP(-LN(2)/25)*AV66+(1-EXP(-LN(2)/25))/(LN(2)/25)*Calculateur!AQ67*Calculateur!AS67*VLOOKUP('Données projet'!$B$10,Paramètres!$A$1:$I$89,3,0)*0.475*44/12</f>
        <v>15.971271542480002</v>
      </c>
      <c r="AW67" s="23">
        <f>EXP(-LN(2)/2)*AW66+(1-EXP(-LN(2)/2))/(LN(2)/2)*AQ67*AT67*VLOOKUP('Données projet'!$B$10,Paramètres!$A$1:$I$89,3,0)*0.475*44/12</f>
        <v>1.2216409396280448</v>
      </c>
      <c r="AX67" s="23">
        <f t="shared" si="6"/>
        <v>33.603176106728085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15.515714285714287</v>
      </c>
      <c r="BD67" s="13">
        <f>IF('Données projet'!$A$88&gt;35,BD66+BC67-BL66,IF(A67&lt;'Données projet'!$A$88,$BA$205^A67,IF(A67='Données projet'!$A$88,'Données projet'!$B$88,BD66+BC67-BL66)))</f>
        <v>599.32857142857131</v>
      </c>
      <c r="BE67" s="14">
        <f>BD67*VLOOKUP('Données projet'!$B$11,Paramètres!$A$1:$I$89,3,0)*VLOOKUP('Données projet'!$B$11,Paramètres!$A$1:$I$89,5,0)</f>
        <v>358.3984857142857</v>
      </c>
      <c r="BF67" s="14">
        <f t="shared" si="37"/>
        <v>83.289452865023264</v>
      </c>
      <c r="BG67" s="22">
        <f t="shared" si="7"/>
        <v>769.2731596922963</v>
      </c>
      <c r="BH67" s="62">
        <f t="shared" si="8"/>
        <v>1062.6064930256296</v>
      </c>
      <c r="BI67" s="62">
        <f ca="1">AVERAGE(OFFSET($BH$3,0,0,'Données projet'!$E$11+1,1))-AVERAGE(OFFSET($H$3,0,0,'Données projet'!$E$11+1,1))</f>
        <v>361.81625684745416</v>
      </c>
      <c r="BJ67" s="62">
        <f t="shared" si="38"/>
        <v>302.25424592654684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50.825037223326227</v>
      </c>
      <c r="BQ67" s="23">
        <f>EXP(-LN(2)/25)*BQ66+(1-EXP(-LN(2)/25))/(LN(2)/25)*Calculateur!BL67*Calculateur!BN67*VLOOKUP('Données projet'!$B$11,Paramètres!$A$1:$I$89,3,0)*0.475*44/12</f>
        <v>14.976891520125161</v>
      </c>
      <c r="BR67" s="23">
        <f>EXP(-LN(2)/2)*BR66+(1-EXP(-LN(2)/2))/(LN(2)/2)*BL67*BO67*VLOOKUP('Données projet'!$B$11,Paramètres!$A$1:$I$89,3,0)*0.475*44/12</f>
        <v>0.14713403265428315</v>
      </c>
      <c r="BS67" s="24">
        <f t="shared" si="9"/>
        <v>65.949062776105663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780</v>
      </c>
      <c r="L68" s="13">
        <f>VLOOKUP(A68,'Données projet'!$A$35:$I$55,9,0)</f>
        <v>18.399999999999999</v>
      </c>
      <c r="M68" s="13">
        <f t="array" ref="M68">INDEX(L:L,MIN(IF(ISNUMBER(L68:L264),ROW(L68:L264),"")))</f>
        <v>18.399999999999999</v>
      </c>
      <c r="N68" s="14">
        <f>IF('Données projet'!$A$36&gt;35,N67+M68-V67,IF(A68&lt;'Données projet'!$A$36,$K$205^A68,IF(A68='Données projet'!$A$36,'Données projet'!$B$36,N67+M68-V67)))</f>
        <v>779.99999999999955</v>
      </c>
      <c r="O68" s="14">
        <f>N68*VLOOKUP('Données projet'!$B$9,Paramètres!$A$1:$I$89,3,0)*VLOOKUP('Données projet'!$B$9,Paramètres!$A$1:$I$89,5,0)</f>
        <v>436.01999999999975</v>
      </c>
      <c r="P68" s="14">
        <f t="shared" si="33"/>
        <v>99.04212031730809</v>
      </c>
      <c r="Q68" s="22">
        <f t="shared" si="54"/>
        <v>931.89985955264456</v>
      </c>
      <c r="R68" s="62">
        <f t="shared" si="55"/>
        <v>1225.2331928859778</v>
      </c>
      <c r="S68" s="62">
        <f ca="1">AVERAGE(OFFSET($R$3,0,0,'Données projet'!$E$9+1,1))-AVERAGE(OFFSET($H$3,0,0,'Données projet'!$E$9+1,1))</f>
        <v>500.52921520843432</v>
      </c>
      <c r="T68" s="62">
        <f t="shared" si="34"/>
        <v>430.43167430170087</v>
      </c>
      <c r="U68" s="16">
        <f>IF(ISNA(VLOOKUP(A68,'Données projet'!$A$35:$I$55,3,0)),0,VLOOKUP(A68,'Données projet'!$A$35:$I$55,3,0))</f>
        <v>12</v>
      </c>
      <c r="V68" s="16">
        <f>IF(ISNA(VLOOKUP(A68,'Données projet'!$A$35:$I$55,4,0)),0,VLOOKUP(A68,'Données projet'!$A$35:$I$55,4,0))</f>
        <v>44</v>
      </c>
      <c r="W68" s="17">
        <f>IF(ISNA(VLOOKUP(A68,'Données projet'!$A$35:$I$55,5,0)),0%,VLOOKUP(A68,'Données projet'!$A$35:$I$55,5,0)*VLOOKUP('Données projet'!$B$9,Paramètres!$A$1:$I$89,7,0))</f>
        <v>0.49500000000000005</v>
      </c>
      <c r="X68" s="17">
        <f>IF(ISNA(VLOOKUP(A68,'Données projet'!$A$35:$I$55,6,0)),0%,VLOOKUP(A68,'Données projet'!$A$35:$I$55,6,0)*VLOOKUP('Données projet'!$B$9,Paramètres!$A$1:$I$89,7,0))</f>
        <v>3.3000000000000002E-2</v>
      </c>
      <c r="Y68" s="17">
        <f>IF(ISNA(VLOOKUP(A68,'Données projet'!$A$35:$I$55,7,0)),0%,VLOOKUP(A68,'Données projet'!$A$35:$I$55,7,0))</f>
        <v>0.04</v>
      </c>
      <c r="Z68" s="23">
        <f>EXP(-LN(2)/35)*Z67+(1-EXP(-LN(2)/35))/(LN(2)/35)*V68*W68*VLOOKUP('Données projet'!$B$9,Paramètres!$A$1:$I$89,3,0)*0.475*44/12</f>
        <v>109.55500777203629</v>
      </c>
      <c r="AA68" s="23">
        <f>EXP(-LN(2)/25)*AA67+(1-EXP(-LN(2)/25))/(LN(2)/25)*Calculateur!V68*Calculateur!X68*VLOOKUP('Données projet'!$B$9,Paramètres!$A$1:$I$89,3,0)*0.475*44/12</f>
        <v>30.611893072729433</v>
      </c>
      <c r="AB68" s="23">
        <f>EXP(-LN(2)/2)*AB67+(1-EXP(-LN(2)/2))/(LN(2)/2)*V68*Y68*VLOOKUP('Données projet'!$B$9,Paramètres!$A$1:$I$89,3,0)*0.475*44/12</f>
        <v>1.3982317913002473</v>
      </c>
      <c r="AC68" s="24">
        <f t="shared" ref="AC68:AC131" si="57">SUM(Z68:AB68)</f>
        <v>141.56513263606598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12</v>
      </c>
      <c r="AI68" s="14">
        <f>IF('Données projet'!$A$62&gt;35,AI67+AH68-AQ67,IF(A68&lt;'Données projet'!$A$62,$AF$205^A68,IF(A68='Données projet'!$A$62,'Données projet'!$B$62,AI67+AH68-AQ67)))</f>
        <v>490</v>
      </c>
      <c r="AJ68" s="14">
        <f>AI68*VLOOKUP('Données projet'!$B$10,Paramètres!$A$1:$I$89,3,0)*VLOOKUP('Données projet'!$B$10,Paramètres!$A$1:$I$89,5,0)</f>
        <v>229.32000000000002</v>
      </c>
      <c r="AK68" s="14">
        <f t="shared" si="35"/>
        <v>56.135624305144624</v>
      </c>
      <c r="AL68" s="22">
        <f t="shared" ref="AL68:AL131" si="58">(AJ68+AK68)*0.475*44/12</f>
        <v>497.16854566479356</v>
      </c>
      <c r="AM68" s="62">
        <f t="shared" ref="AM68:AM131" si="59">AL68+(AD68+AE68)*44/12</f>
        <v>790.50187899812681</v>
      </c>
      <c r="AN68" s="62">
        <f ca="1">AVERAGE(OFFSET($AM$3,0,0,'Données projet'!$E$10+1,1))-AVERAGE(OFFSET($H$3,0,0,'Données projet'!$E$10+1,1))</f>
        <v>265.57412766850422</v>
      </c>
      <c r="AO68" s="62">
        <f t="shared" si="36"/>
        <v>179.39213799913273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16.088468364213718</v>
      </c>
      <c r="AV68" s="23">
        <f>EXP(-LN(2)/25)*AV67+(1-EXP(-LN(2)/25))/(LN(2)/25)*Calculateur!AQ68*Calculateur!AS68*VLOOKUP('Données projet'!$B$10,Paramètres!$A$1:$I$89,3,0)*0.475*44/12</f>
        <v>15.53453628225822</v>
      </c>
      <c r="AW68" s="23">
        <f>EXP(-LN(2)/2)*AW67+(1-EXP(-LN(2)/2))/(LN(2)/2)*AQ68*AT68*VLOOKUP('Données projet'!$B$10,Paramètres!$A$1:$I$89,3,0)*0.475*44/12</f>
        <v>0.86383059258609618</v>
      </c>
      <c r="AX68" s="23">
        <f t="shared" ref="AX68:AX131" si="60">SUM(AU68:AW68)</f>
        <v>32.486835239058031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15.515714285714287</v>
      </c>
      <c r="BD68" s="13">
        <f>IF('Données projet'!$A$88&gt;35,BD67+BC68-BL67,IF(A68&lt;'Données projet'!$A$88,$BA$205^A68,IF(A68='Données projet'!$A$88,'Données projet'!$B$88,BD67+BC68-BL67)))</f>
        <v>614.84428571428555</v>
      </c>
      <c r="BE68" s="14">
        <f>BD68*VLOOKUP('Données projet'!$B$11,Paramètres!$A$1:$I$89,3,0)*VLOOKUP('Données projet'!$B$11,Paramètres!$A$1:$I$89,5,0)</f>
        <v>367.6768828571428</v>
      </c>
      <c r="BF68" s="14">
        <f t="shared" si="37"/>
        <v>85.191861843570578</v>
      </c>
      <c r="BG68" s="22">
        <f t="shared" ref="BG68:BG131" si="61">(BE68+BF68)*0.475*44/12</f>
        <v>788.74639702040906</v>
      </c>
      <c r="BH68" s="62">
        <f t="shared" ref="BH68:BH131" si="62">BG68+(AY68+AZ68)*44/12</f>
        <v>1082.0797303537424</v>
      </c>
      <c r="BI68" s="62">
        <f ca="1">AVERAGE(OFFSET($BH$3,0,0,'Données projet'!$E$11+1,1))-AVERAGE(OFFSET($H$3,0,0,'Données projet'!$E$11+1,1))</f>
        <v>361.81625684745416</v>
      </c>
      <c r="BJ68" s="62">
        <f t="shared" si="38"/>
        <v>302.25424592654684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49.828389243588489</v>
      </c>
      <c r="BQ68" s="23">
        <f>EXP(-LN(2)/25)*BQ67+(1-EXP(-LN(2)/25))/(LN(2)/25)*Calculateur!BL68*Calculateur!BN68*VLOOKUP('Données projet'!$B$11,Paramètres!$A$1:$I$89,3,0)*0.475*44/12</f>
        <v>14.567347633906843</v>
      </c>
      <c r="BR68" s="23">
        <f>EXP(-LN(2)/2)*BR67+(1-EXP(-LN(2)/2))/(LN(2)/2)*BL68*BO68*VLOOKUP('Données projet'!$B$11,Paramètres!$A$1:$I$89,3,0)*0.475*44/12</f>
        <v>0.10403947223316655</v>
      </c>
      <c r="BS68" s="24">
        <f t="shared" ref="BS68:BS131" si="63">SUM(BP68:BR68)</f>
        <v>64.499776349728506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16.8</v>
      </c>
      <c r="N69" s="14">
        <f>IF('Données projet'!$A$36&gt;35,N68+M69-V68,IF(A69&lt;'Données projet'!$A$36,$K$205^A69,IF(A69='Données projet'!$A$36,'Données projet'!$B$36,N68+M69-V68)))</f>
        <v>752.7999999999995</v>
      </c>
      <c r="O69" s="14">
        <f>N69*VLOOKUP('Données projet'!$B$9,Paramètres!$A$1:$I$89,3,0)*VLOOKUP('Données projet'!$B$9,Paramètres!$A$1:$I$89,5,0)</f>
        <v>420.81519999999972</v>
      </c>
      <c r="P69" s="14">
        <f t="shared" ref="P69:P132" si="87">EXP(-1.0587+0.8836*LN(O69)+0.284)</f>
        <v>95.984087850058202</v>
      </c>
      <c r="Q69" s="22">
        <f t="shared" si="54"/>
        <v>900.09209300551754</v>
      </c>
      <c r="R69" s="62">
        <f t="shared" si="55"/>
        <v>1193.4254263388509</v>
      </c>
      <c r="S69" s="62">
        <f ca="1">AVERAGE(OFFSET($R$3,0,0,'Données projet'!$E$9+1,1))-AVERAGE(OFFSET($H$3,0,0,'Données projet'!$E$9+1,1))</f>
        <v>500.52921520843432</v>
      </c>
      <c r="T69" s="62">
        <f t="shared" ref="T69:T132" si="88">$T$3</f>
        <v>430.43167430170087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107.40670089158328</v>
      </c>
      <c r="AA69" s="23">
        <f>EXP(-LN(2)/25)*AA68+(1-EXP(-LN(2)/25))/(LN(2)/25)*Calculateur!V69*Calculateur!X69*VLOOKUP('Données projet'!$B$9,Paramètres!$A$1:$I$89,3,0)*0.475*44/12</f>
        <v>29.774809246846154</v>
      </c>
      <c r="AB69" s="23">
        <f>EXP(-LN(2)/2)*AB68+(1-EXP(-LN(2)/2))/(LN(2)/2)*V69*Y69*VLOOKUP('Données projet'!$B$9,Paramètres!$A$1:$I$89,3,0)*0.475*44/12</f>
        <v>0.98869918129901846</v>
      </c>
      <c r="AC69" s="24">
        <f t="shared" si="57"/>
        <v>138.17020931972846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12</v>
      </c>
      <c r="AI69" s="14">
        <f>IF('Données projet'!$A$62&gt;35,AI68+AH69-AQ68,IF(A69&lt;'Données projet'!$A$62,$AF$205^A69,IF(A69='Données projet'!$A$62,'Données projet'!$B$62,AI68+AH69-AQ68)))</f>
        <v>502</v>
      </c>
      <c r="AJ69" s="14">
        <f>AI69*VLOOKUP('Données projet'!$B$10,Paramètres!$A$1:$I$89,3,0)*VLOOKUP('Données projet'!$B$10,Paramètres!$A$1:$I$89,5,0)</f>
        <v>234.93600000000001</v>
      </c>
      <c r="AK69" s="14">
        <f t="shared" ref="AK69:AK132" si="89">EXP(-1.0587+0.8836*LN(AJ69)+0.284)</f>
        <v>57.34863760662617</v>
      </c>
      <c r="AL69" s="22">
        <f t="shared" si="58"/>
        <v>509.06241049820727</v>
      </c>
      <c r="AM69" s="62">
        <f t="shared" si="59"/>
        <v>802.39574383154059</v>
      </c>
      <c r="AN69" s="62">
        <f ca="1">AVERAGE(OFFSET($AM$3,0,0,'Données projet'!$E$10+1,1))-AVERAGE(OFFSET($H$3,0,0,'Données projet'!$E$10+1,1))</f>
        <v>265.57412766850422</v>
      </c>
      <c r="AO69" s="62">
        <f t="shared" ref="AO69:AO132" si="90">$AO$3</f>
        <v>179.39213799913273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15.772983312588236</v>
      </c>
      <c r="AV69" s="23">
        <f>EXP(-LN(2)/25)*AV68+(1-EXP(-LN(2)/25))/(LN(2)/25)*Calculateur!AQ69*Calculateur!AS69*VLOOKUP('Données projet'!$B$10,Paramètres!$A$1:$I$89,3,0)*0.475*44/12</f>
        <v>15.109743570694111</v>
      </c>
      <c r="AW69" s="23">
        <f>EXP(-LN(2)/2)*AW68+(1-EXP(-LN(2)/2))/(LN(2)/2)*AQ69*AT69*VLOOKUP('Données projet'!$B$10,Paramètres!$A$1:$I$89,3,0)*0.475*44/12</f>
        <v>0.61082046981402238</v>
      </c>
      <c r="AX69" s="23">
        <f t="shared" si="60"/>
        <v>31.493547353096368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630.36</v>
      </c>
      <c r="BB69" s="13">
        <f>VLOOKUP(A69,'Données projet'!$A$87:$I$107,9,0)</f>
        <v>15.515714285714287</v>
      </c>
      <c r="BC69" s="13">
        <f t="array" ref="BC69">INDEX(BB:BB,MIN(IF(ISNUMBER(BB69:BB265),ROW(BB69:BB265),"")))</f>
        <v>15.515714285714287</v>
      </c>
      <c r="BD69" s="13">
        <f>IF('Données projet'!$A$88&gt;35,BD68+BC69-BL68,IF(A69&lt;'Données projet'!$A$88,$BA$205^A69,IF(A69='Données projet'!$A$88,'Données projet'!$B$88,BD68+BC69-BL68)))</f>
        <v>630.35999999999979</v>
      </c>
      <c r="BE69" s="14">
        <f>BD69*VLOOKUP('Données projet'!$B$11,Paramètres!$A$1:$I$89,3,0)*VLOOKUP('Données projet'!$B$11,Paramètres!$A$1:$I$89,5,0)</f>
        <v>376.95527999999996</v>
      </c>
      <c r="BF69" s="14">
        <f t="shared" ref="BF69:BF132" si="91">EXP(-1.0587+0.8836*LN(BE69)+0.284)</f>
        <v>87.088690303924849</v>
      </c>
      <c r="BG69" s="22">
        <f t="shared" si="61"/>
        <v>808.20991494600241</v>
      </c>
      <c r="BH69" s="62">
        <f t="shared" si="62"/>
        <v>1101.5432482793358</v>
      </c>
      <c r="BI69" s="62">
        <f ca="1">AVERAGE(OFFSET($BH$3,0,0,'Données projet'!$E$11+1,1))-AVERAGE(OFFSET($H$3,0,0,'Données projet'!$E$11+1,1))</f>
        <v>361.81625684745416</v>
      </c>
      <c r="BJ69" s="62">
        <f t="shared" ref="BJ69:BJ132" si="92">$BJ$3</f>
        <v>302.25424592654684</v>
      </c>
      <c r="BK69" s="16">
        <f>IF(ISNA(VLOOKUP(A69,'Données projet'!$A$87:$I$107,3,0)),0,VLOOKUP(A69,'Données projet'!$A$87:$I$107,3,0))</f>
        <v>13</v>
      </c>
      <c r="BL69" s="16">
        <f>IF(ISNA(VLOOKUP(A69,'Données projet'!$A$87:$I$107,4,0)),0,VLOOKUP(A69,'Données projet'!$A$87:$I$107,4,0))</f>
        <v>87</v>
      </c>
      <c r="BM69" s="17">
        <f>IF(ISNA(VLOOKUP(A69,'Données projet'!$A$87:$I$107,5,0)),0%,VLOOKUP(A69,'Données projet'!$A$87:$I$107,5,0)*VLOOKUP('Données projet'!$B$11,Paramètres!$A$1:$I$89,7,0))</f>
        <v>0.40500000000000003</v>
      </c>
      <c r="BN69" s="17">
        <f>IF(ISNA(VLOOKUP(A69,'Données projet'!$A$87:$I$107,6,0)),0%,VLOOKUP(A69,'Données projet'!$A$87:$I$107,6,0)*VLOOKUP('Données projet'!$B$11,Paramètres!$A$1:$I$89,7,0))</f>
        <v>2.7E-2</v>
      </c>
      <c r="BO69" s="17">
        <f>IF(ISNA(VLOOKUP(A69,'Données projet'!$A$87:$I$107,7,0)),0%,VLOOKUP(A69,'Données projet'!$A$87:$I$107,7,0))</f>
        <v>0.04</v>
      </c>
      <c r="BP69" s="23">
        <f>EXP(-LN(2)/35)*BP68+(1-EXP(-LN(2)/35))/(LN(2)/35)*BL69*BM69*VLOOKUP('Données projet'!$B$11,Paramètres!$A$1:$I$89,3,0)*0.475*44/12</f>
        <v>76.802701078110672</v>
      </c>
      <c r="BQ69" s="23">
        <f>EXP(-LN(2)/25)*BQ68+(1-EXP(-LN(2)/25))/(LN(2)/25)*Calculateur!BL69*Calculateur!BN69*VLOOKUP('Données projet'!$B$11,Paramètres!$A$1:$I$89,3,0)*0.475*44/12</f>
        <v>16.025093465430452</v>
      </c>
      <c r="BR69" s="23">
        <f>EXP(-LN(2)/2)*BR68+(1-EXP(-LN(2)/2))/(LN(2)/2)*BL69*BO69*VLOOKUP('Données projet'!$B$11,Paramètres!$A$1:$I$89,3,0)*0.475*44/12</f>
        <v>2.4297877167716182</v>
      </c>
      <c r="BS69" s="24">
        <f t="shared" si="63"/>
        <v>95.257582260312745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16.8</v>
      </c>
      <c r="N70" s="14">
        <f>IF('Données projet'!$A$36&gt;35,N69+M70-V69,IF(A70&lt;'Données projet'!$A$36,$K$205^A70,IF(A70='Données projet'!$A$36,'Données projet'!$B$36,N69+M70-V69)))</f>
        <v>769.59999999999945</v>
      </c>
      <c r="O70" s="14">
        <f>N70*VLOOKUP('Données projet'!$B$9,Paramètres!$A$1:$I$89,3,0)*VLOOKUP('Données projet'!$B$9,Paramètres!$A$1:$I$89,5,0)</f>
        <v>430.20639999999969</v>
      </c>
      <c r="P70" s="14">
        <f t="shared" si="87"/>
        <v>97.874362084857893</v>
      </c>
      <c r="Q70" s="22">
        <f t="shared" si="54"/>
        <v>919.74066063112696</v>
      </c>
      <c r="R70" s="62">
        <f t="shared" si="55"/>
        <v>1213.0739939644602</v>
      </c>
      <c r="S70" s="62">
        <f ca="1">AVERAGE(OFFSET($R$3,0,0,'Données projet'!$E$9+1,1))-AVERAGE(OFFSET($H$3,0,0,'Données projet'!$E$9+1,1))</f>
        <v>500.52921520843432</v>
      </c>
      <c r="T70" s="62">
        <f t="shared" si="88"/>
        <v>430.43167430170087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105.30052099871814</v>
      </c>
      <c r="AA70" s="23">
        <f>EXP(-LN(2)/25)*AA69+(1-EXP(-LN(2)/25))/(LN(2)/25)*Calculateur!V70*Calculateur!X70*VLOOKUP('Données projet'!$B$9,Paramètres!$A$1:$I$89,3,0)*0.475*44/12</f>
        <v>28.96061552220198</v>
      </c>
      <c r="AB70" s="23">
        <f>EXP(-LN(2)/2)*AB69+(1-EXP(-LN(2)/2))/(LN(2)/2)*V70*Y70*VLOOKUP('Données projet'!$B$9,Paramètres!$A$1:$I$89,3,0)*0.475*44/12</f>
        <v>0.69911589565012378</v>
      </c>
      <c r="AC70" s="24">
        <f t="shared" si="57"/>
        <v>134.96025241657026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</v>
      </c>
      <c r="AI70" s="14">
        <f>IF('Données projet'!$A$62&gt;35,AI69+AH70-AQ69,IF(A70&lt;'Données projet'!$A$62,$AF$205^A70,IF(A70='Données projet'!$A$62,'Données projet'!$B$62,AI69+AH70-AQ69)))</f>
        <v>514</v>
      </c>
      <c r="AJ70" s="14">
        <f>AI70*VLOOKUP('Données projet'!$B$10,Paramètres!$A$1:$I$89,3,0)*VLOOKUP('Données projet'!$B$10,Paramètres!$A$1:$I$89,5,0)</f>
        <v>240.55199999999999</v>
      </c>
      <c r="AK70" s="14">
        <f t="shared" si="89"/>
        <v>58.55828008686521</v>
      </c>
      <c r="AL70" s="22">
        <f t="shared" si="58"/>
        <v>520.9504044846235</v>
      </c>
      <c r="AM70" s="62">
        <f t="shared" si="59"/>
        <v>814.28373781795676</v>
      </c>
      <c r="AN70" s="62">
        <f ca="1">AVERAGE(OFFSET($AM$3,0,0,'Données projet'!$E$10+1,1))-AVERAGE(OFFSET($H$3,0,0,'Données projet'!$E$10+1,1))</f>
        <v>265.57412766850422</v>
      </c>
      <c r="AO70" s="62">
        <f t="shared" si="90"/>
        <v>179.39213799913273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15.463684730398249</v>
      </c>
      <c r="AV70" s="23">
        <f>EXP(-LN(2)/25)*AV69+(1-EXP(-LN(2)/25))/(LN(2)/25)*Calculateur!AQ70*Calculateur!AS70*VLOOKUP('Données projet'!$B$10,Paramètres!$A$1:$I$89,3,0)*0.475*44/12</f>
        <v>14.6965668381666</v>
      </c>
      <c r="AW70" s="23">
        <f>EXP(-LN(2)/2)*AW69+(1-EXP(-LN(2)/2))/(LN(2)/2)*AQ70*AT70*VLOOKUP('Données projet'!$B$10,Paramètres!$A$1:$I$89,3,0)*0.475*44/12</f>
        <v>0.43191529629304809</v>
      </c>
      <c r="AX70" s="23">
        <f t="shared" si="60"/>
        <v>30.592166864857898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12.550000000000011</v>
      </c>
      <c r="BD70" s="13">
        <f>IF('Données projet'!$A$88&gt;35,BD69+BC70-BL69,IF(A70&lt;'Données projet'!$A$88,$BA$205^A70,IF(A70='Données projet'!$A$88,'Données projet'!$B$88,BD69+BC70-BL69)))</f>
        <v>555.90999999999985</v>
      </c>
      <c r="BE70" s="14">
        <f>BD70*VLOOKUP('Données projet'!$B$11,Paramètres!$A$1:$I$89,3,0)*VLOOKUP('Données projet'!$B$11,Paramètres!$A$1:$I$89,5,0)</f>
        <v>332.43417999999997</v>
      </c>
      <c r="BF70" s="14">
        <f t="shared" si="91"/>
        <v>77.934758728161157</v>
      </c>
      <c r="BG70" s="22">
        <f t="shared" si="61"/>
        <v>714.72590161821392</v>
      </c>
      <c r="BH70" s="62">
        <f t="shared" si="62"/>
        <v>1008.0592349515473</v>
      </c>
      <c r="BI70" s="62">
        <f ca="1">AVERAGE(OFFSET($BH$3,0,0,'Données projet'!$E$11+1,1))-AVERAGE(OFFSET($H$3,0,0,'Données projet'!$E$11+1,1))</f>
        <v>361.81625684745416</v>
      </c>
      <c r="BJ70" s="62">
        <f t="shared" si="92"/>
        <v>302.25424592654684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75.296646954991019</v>
      </c>
      <c r="BQ70" s="23">
        <f>EXP(-LN(2)/25)*BQ69+(1-EXP(-LN(2)/25))/(LN(2)/25)*Calculateur!BL70*Calculateur!BN70*VLOOKUP('Données projet'!$B$11,Paramètres!$A$1:$I$89,3,0)*0.475*44/12</f>
        <v>15.586886441895217</v>
      </c>
      <c r="BR70" s="23">
        <f>EXP(-LN(2)/2)*BR69+(1-EXP(-LN(2)/2))/(LN(2)/2)*BL70*BO70*VLOOKUP('Données projet'!$B$11,Paramètres!$A$1:$I$89,3,0)*0.475*44/12</f>
        <v>1.7181193713729896</v>
      </c>
      <c r="BS70" s="24">
        <f t="shared" si="63"/>
        <v>92.601652768259228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16.8</v>
      </c>
      <c r="N71" s="14">
        <f>IF('Données projet'!$A$36&gt;35,N70+M71-V70,IF(A71&lt;'Données projet'!$A$36,$K$205^A71,IF(A71='Données projet'!$A$36,'Données projet'!$B$36,N70+M71-V70)))</f>
        <v>786.39999999999941</v>
      </c>
      <c r="O71" s="14">
        <f>N71*VLOOKUP('Données projet'!$B$9,Paramètres!$A$1:$I$89,3,0)*VLOOKUP('Données projet'!$B$9,Paramètres!$A$1:$I$89,5,0)</f>
        <v>439.59759999999972</v>
      </c>
      <c r="P71" s="14">
        <f t="shared" si="87"/>
        <v>99.759838909702026</v>
      </c>
      <c r="Q71" s="22">
        <f t="shared" si="54"/>
        <v>939.38087276773058</v>
      </c>
      <c r="R71" s="62">
        <f t="shared" si="55"/>
        <v>1232.7142061010638</v>
      </c>
      <c r="S71" s="62">
        <f ca="1">AVERAGE(OFFSET($R$3,0,0,'Données projet'!$E$9+1,1))-AVERAGE(OFFSET($H$3,0,0,'Données projet'!$E$9+1,1))</f>
        <v>500.52921520843432</v>
      </c>
      <c r="T71" s="62">
        <f t="shared" si="88"/>
        <v>430.43167430170087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103.2356420089092</v>
      </c>
      <c r="AA71" s="23">
        <f>EXP(-LN(2)/25)*AA70+(1-EXP(-LN(2)/25))/(LN(2)/25)*Calculateur!V71*Calculateur!X71*VLOOKUP('Données projet'!$B$9,Paramètres!$A$1:$I$89,3,0)*0.475*44/12</f>
        <v>28.168685967774788</v>
      </c>
      <c r="AB71" s="23">
        <f>EXP(-LN(2)/2)*AB70+(1-EXP(-LN(2)/2))/(LN(2)/2)*V71*Y71*VLOOKUP('Données projet'!$B$9,Paramètres!$A$1:$I$89,3,0)*0.475*44/12</f>
        <v>0.49434959064950929</v>
      </c>
      <c r="AC71" s="24">
        <f t="shared" si="57"/>
        <v>131.89867756733349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</v>
      </c>
      <c r="AI71" s="14">
        <f>IF('Données projet'!$A$62&gt;35,AI70+AH71-AQ70,IF(A71&lt;'Données projet'!$A$62,$AF$205^A71,IF(A71='Données projet'!$A$62,'Données projet'!$B$62,AI70+AH71-AQ70)))</f>
        <v>526</v>
      </c>
      <c r="AJ71" s="14">
        <f>AI71*VLOOKUP('Données projet'!$B$10,Paramètres!$A$1:$I$89,3,0)*VLOOKUP('Données projet'!$B$10,Paramètres!$A$1:$I$89,5,0)</f>
        <v>246.16799999999998</v>
      </c>
      <c r="AK71" s="14">
        <f t="shared" si="89"/>
        <v>59.764639499163827</v>
      </c>
      <c r="AL71" s="22">
        <f t="shared" si="58"/>
        <v>532.83268046104365</v>
      </c>
      <c r="AM71" s="62">
        <f t="shared" si="59"/>
        <v>826.16601379437702</v>
      </c>
      <c r="AN71" s="62">
        <f ca="1">AVERAGE(OFFSET($AM$3,0,0,'Données projet'!$E$10+1,1))-AVERAGE(OFFSET($H$3,0,0,'Données projet'!$E$10+1,1))</f>
        <v>265.57412766850422</v>
      </c>
      <c r="AO71" s="62">
        <f t="shared" si="90"/>
        <v>179.39213799913273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15.160451304751501</v>
      </c>
      <c r="AV71" s="23">
        <f>EXP(-LN(2)/25)*AV70+(1-EXP(-LN(2)/25))/(LN(2)/25)*Calculateur!AQ71*Calculateur!AS71*VLOOKUP('Données projet'!$B$10,Paramètres!$A$1:$I$89,3,0)*0.475*44/12</f>
        <v>14.294688445118073</v>
      </c>
      <c r="AW71" s="23">
        <f>EXP(-LN(2)/2)*AW70+(1-EXP(-LN(2)/2))/(LN(2)/2)*AQ71*AT71*VLOOKUP('Données projet'!$B$10,Paramètres!$A$1:$I$89,3,0)*0.475*44/12</f>
        <v>0.30541023490701119</v>
      </c>
      <c r="AX71" s="23">
        <f t="shared" si="60"/>
        <v>29.760549984776585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>
        <f>VLOOKUP(A71,'Données projet'!$A$87:$I$107,2,0)</f>
        <v>568.46</v>
      </c>
      <c r="BB71" s="13">
        <f>VLOOKUP(A71,'Données projet'!$A$87:$I$107,9,0)</f>
        <v>12.550000000000011</v>
      </c>
      <c r="BC71" s="13">
        <f t="array" ref="BC71">INDEX(BB:BB,MIN(IF(ISNUMBER(BB71:BB267),ROW(BB71:BB267),"")))</f>
        <v>12.550000000000011</v>
      </c>
      <c r="BD71" s="13">
        <f>IF('Données projet'!$A$88&gt;35,BD70+BC71-BL70,IF(A71&lt;'Données projet'!$A$88,$BA$205^A71,IF(A71='Données projet'!$A$88,'Données projet'!$B$88,BD70+BC71-BL70)))</f>
        <v>568.45999999999981</v>
      </c>
      <c r="BE71" s="14">
        <f>BD71*VLOOKUP('Données projet'!$B$11,Paramètres!$A$1:$I$89,3,0)*VLOOKUP('Données projet'!$B$11,Paramètres!$A$1:$I$89,5,0)</f>
        <v>339.93907999999993</v>
      </c>
      <c r="BF71" s="14">
        <f t="shared" si="91"/>
        <v>79.487359832828432</v>
      </c>
      <c r="BG71" s="22">
        <f t="shared" si="61"/>
        <v>730.5010493755093</v>
      </c>
      <c r="BH71" s="62">
        <f t="shared" si="62"/>
        <v>1023.8343827088427</v>
      </c>
      <c r="BI71" s="62">
        <f ca="1">AVERAGE(OFFSET($BH$3,0,0,'Données projet'!$E$11+1,1))-AVERAGE(OFFSET($H$3,0,0,'Données projet'!$E$11+1,1))</f>
        <v>361.81625684745416</v>
      </c>
      <c r="BJ71" s="62">
        <f t="shared" si="92"/>
        <v>302.25424592654684</v>
      </c>
      <c r="BK71" s="16">
        <f>IF(ISNA(VLOOKUP(A71,'Données projet'!$A$87:$I$107,3,0)),0,VLOOKUP(A71,'Données projet'!$A$87:$I$107,3,0))</f>
        <v>14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0.40500000000000003</v>
      </c>
      <c r="BN71" s="17">
        <f>IF(ISNA(VLOOKUP(A71,'Données projet'!$A$87:$I$107,6,0)),0%,VLOOKUP(A71,'Données projet'!$A$87:$I$107,6,0)*VLOOKUP('Données projet'!$B$11,Paramètres!$A$1:$I$89,7,0))</f>
        <v>2.7E-2</v>
      </c>
      <c r="BO71" s="17">
        <f>IF(ISNA(VLOOKUP(A71,'Données projet'!$A$87:$I$107,7,0)),0%,VLOOKUP(A71,'Données projet'!$A$87:$I$107,7,0))</f>
        <v>0.04</v>
      </c>
      <c r="BP71" s="23">
        <f>EXP(-LN(2)/35)*BP70+(1-EXP(-LN(2)/35))/(LN(2)/35)*BL71*BM71*VLOOKUP('Données projet'!$B$11,Paramètres!$A$1:$I$89,3,0)*0.475*44/12</f>
        <v>73.820125634623423</v>
      </c>
      <c r="BQ71" s="23">
        <f>EXP(-LN(2)/25)*BQ70+(1-EXP(-LN(2)/25))/(LN(2)/25)*Calculateur!BL71*Calculateur!BN71*VLOOKUP('Données projet'!$B$11,Paramètres!$A$1:$I$89,3,0)*0.475*44/12</f>
        <v>15.160662212462858</v>
      </c>
      <c r="BR71" s="23">
        <f>EXP(-LN(2)/2)*BR70+(1-EXP(-LN(2)/2))/(LN(2)/2)*BL71*BO71*VLOOKUP('Données projet'!$B$11,Paramètres!$A$1:$I$89,3,0)*0.475*44/12</f>
        <v>1.2148938583858093</v>
      </c>
      <c r="BS71" s="24">
        <f t="shared" si="63"/>
        <v>90.195681705472083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16.8</v>
      </c>
      <c r="N72" s="14">
        <f>IF('Données projet'!$A$36&gt;35,N71+M72-V71,IF(A72&lt;'Données projet'!$A$36,$K$205^A72,IF(A72='Données projet'!$A$36,'Données projet'!$B$36,N71+M72-V71)))</f>
        <v>803.19999999999936</v>
      </c>
      <c r="O72" s="14">
        <f>N72*VLOOKUP('Données projet'!$B$9,Paramètres!$A$1:$I$89,3,0)*VLOOKUP('Données projet'!$B$9,Paramètres!$A$1:$I$89,5,0)</f>
        <v>448.98879999999969</v>
      </c>
      <c r="P72" s="14">
        <f t="shared" si="87"/>
        <v>101.64063261750148</v>
      </c>
      <c r="Q72" s="22">
        <f t="shared" si="54"/>
        <v>959.01292847548109</v>
      </c>
      <c r="R72" s="62">
        <f t="shared" si="55"/>
        <v>1252.3462618088145</v>
      </c>
      <c r="S72" s="62">
        <f ca="1">AVERAGE(OFFSET($R$3,0,0,'Données projet'!$E$9+1,1))-AVERAGE(OFFSET($H$3,0,0,'Données projet'!$E$9+1,1))</f>
        <v>500.52921520843432</v>
      </c>
      <c r="T72" s="62">
        <f t="shared" si="88"/>
        <v>430.43167430170087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101.21125403663858</v>
      </c>
      <c r="AA72" s="23">
        <f>EXP(-LN(2)/25)*AA71+(1-EXP(-LN(2)/25))/(LN(2)/25)*Calculateur!V72*Calculateur!X72*VLOOKUP('Données projet'!$B$9,Paramètres!$A$1:$I$89,3,0)*0.475*44/12</f>
        <v>27.398411768659173</v>
      </c>
      <c r="AB72" s="23">
        <f>EXP(-LN(2)/2)*AB71+(1-EXP(-LN(2)/2))/(LN(2)/2)*V72*Y72*VLOOKUP('Données projet'!$B$9,Paramètres!$A$1:$I$89,3,0)*0.475*44/12</f>
        <v>0.34955794782506194</v>
      </c>
      <c r="AC72" s="24">
        <f t="shared" si="57"/>
        <v>128.95922375312284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</v>
      </c>
      <c r="AI72" s="14">
        <f>IF('Données projet'!$A$62&gt;35,AI71+AH72-AQ71,IF(A72&lt;'Données projet'!$A$62,$AF$205^A72,IF(A72='Données projet'!$A$62,'Données projet'!$B$62,AI71+AH72-AQ71)))</f>
        <v>538</v>
      </c>
      <c r="AJ72" s="14">
        <f>AI72*VLOOKUP('Données projet'!$B$10,Paramètres!$A$1:$I$89,3,0)*VLOOKUP('Données projet'!$B$10,Paramètres!$A$1:$I$89,5,0)</f>
        <v>251.78400000000002</v>
      </c>
      <c r="AK72" s="14">
        <f t="shared" si="89"/>
        <v>60.967799364357568</v>
      </c>
      <c r="AL72" s="22">
        <f t="shared" si="58"/>
        <v>544.7093838929228</v>
      </c>
      <c r="AM72" s="62">
        <f t="shared" si="59"/>
        <v>838.04271722625617</v>
      </c>
      <c r="AN72" s="62">
        <f ca="1">AVERAGE(OFFSET($AM$3,0,0,'Données projet'!$E$10+1,1))-AVERAGE(OFFSET($H$3,0,0,'Données projet'!$E$10+1,1))</f>
        <v>265.57412766850422</v>
      </c>
      <c r="AO72" s="62">
        <f t="shared" si="90"/>
        <v>179.39213799913273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14.863164101627557</v>
      </c>
      <c r="AV72" s="23">
        <f>EXP(-LN(2)/25)*AV71+(1-EXP(-LN(2)/25))/(LN(2)/25)*Calculateur!AQ72*Calculateur!AS72*VLOOKUP('Données projet'!$B$10,Paramètres!$A$1:$I$89,3,0)*0.475*44/12</f>
        <v>13.903799437861325</v>
      </c>
      <c r="AW72" s="23">
        <f>EXP(-LN(2)/2)*AW71+(1-EXP(-LN(2)/2))/(LN(2)/2)*AQ72*AT72*VLOOKUP('Données projet'!$B$10,Paramètres!$A$1:$I$89,3,0)*0.475*44/12</f>
        <v>0.21595764814652404</v>
      </c>
      <c r="AX72" s="23">
        <f t="shared" si="60"/>
        <v>28.982921187635409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12.888750000000002</v>
      </c>
      <c r="BD72" s="13">
        <f>IF('Données projet'!$A$88&gt;35,BD71+BC72-BL71,IF(A72&lt;'Données projet'!$A$88,$BA$205^A72,IF(A72='Données projet'!$A$88,'Données projet'!$B$88,BD71+BC72-BL71)))</f>
        <v>581.34874999999977</v>
      </c>
      <c r="BE72" s="14">
        <f>BD72*VLOOKUP('Données projet'!$B$11,Paramètres!$A$1:$I$89,3,0)*VLOOKUP('Données projet'!$B$11,Paramètres!$A$1:$I$89,5,0)</f>
        <v>347.64655249999987</v>
      </c>
      <c r="BF72" s="14">
        <f t="shared" si="91"/>
        <v>81.077721834442457</v>
      </c>
      <c r="BG72" s="22">
        <f t="shared" si="61"/>
        <v>746.69477779915371</v>
      </c>
      <c r="BH72" s="62">
        <f t="shared" si="62"/>
        <v>1040.0281111324871</v>
      </c>
      <c r="BI72" s="62">
        <f ca="1">AVERAGE(OFFSET($BH$3,0,0,'Données projet'!$E$11+1,1))-AVERAGE(OFFSET($H$3,0,0,'Données projet'!$E$11+1,1))</f>
        <v>361.81625684745416</v>
      </c>
      <c r="BJ72" s="62">
        <f t="shared" si="92"/>
        <v>302.25424592654684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72.37255799675917</v>
      </c>
      <c r="BQ72" s="23">
        <f>EXP(-LN(2)/25)*BQ71+(1-EXP(-LN(2)/25))/(LN(2)/25)*Calculateur!BL72*Calculateur!BN72*VLOOKUP('Données projet'!$B$11,Paramètres!$A$1:$I$89,3,0)*0.475*44/12</f>
        <v>14.746093106998487</v>
      </c>
      <c r="BR72" s="23">
        <f>EXP(-LN(2)/2)*BR71+(1-EXP(-LN(2)/2))/(LN(2)/2)*BL72*BO72*VLOOKUP('Données projet'!$B$11,Paramètres!$A$1:$I$89,3,0)*0.475*44/12</f>
        <v>0.85905968568649493</v>
      </c>
      <c r="BS72" s="24">
        <f t="shared" si="63"/>
        <v>87.977710789444146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820</v>
      </c>
      <c r="L73" s="13">
        <f>VLOOKUP(A73,'Données projet'!$A$35:$I$55,9,0)</f>
        <v>16.8</v>
      </c>
      <c r="M73" s="13">
        <f t="array" ref="M73">INDEX(L:L,MIN(IF(ISNUMBER(L73:L269),ROW(L73:L269),"")))</f>
        <v>16.8</v>
      </c>
      <c r="N73" s="14">
        <f>IF('Données projet'!$A$36&gt;35,N72+M73-V72,IF(A73&lt;'Données projet'!$A$36,$K$205^A73,IF(A73='Données projet'!$A$36,'Données projet'!$B$36,N72+M73-V72)))</f>
        <v>819.99999999999932</v>
      </c>
      <c r="O73" s="14">
        <f>N73*VLOOKUP('Données projet'!$B$9,Paramètres!$A$1:$I$89,3,0)*VLOOKUP('Données projet'!$B$9,Paramètres!$A$1:$I$89,5,0)</f>
        <v>458.3799999999996</v>
      </c>
      <c r="P73" s="14">
        <f t="shared" si="87"/>
        <v>103.51685244677265</v>
      </c>
      <c r="Q73" s="22">
        <f t="shared" si="54"/>
        <v>978.63701801146169</v>
      </c>
      <c r="R73" s="62">
        <f t="shared" si="55"/>
        <v>1271.9703513447951</v>
      </c>
      <c r="S73" s="62">
        <f ca="1">AVERAGE(OFFSET($R$3,0,0,'Données projet'!$E$9+1,1))-AVERAGE(OFFSET($H$3,0,0,'Données projet'!$E$9+1,1))</f>
        <v>500.52921520843432</v>
      </c>
      <c r="T73" s="62">
        <f t="shared" si="88"/>
        <v>430.43167430170087</v>
      </c>
      <c r="U73" s="16">
        <f>IF(ISNA(VLOOKUP(A73,'Données projet'!$A$35:$I$55,3,0)),0,VLOOKUP(A73,'Données projet'!$A$35:$I$55,3,0))</f>
        <v>13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0.49500000000000005</v>
      </c>
      <c r="X73" s="17">
        <f>IF(ISNA(VLOOKUP(A73,'Données projet'!$A$35:$I$55,6,0)),0%,VLOOKUP(A73,'Données projet'!$A$35:$I$55,6,0)*VLOOKUP('Données projet'!$B$9,Paramètres!$A$1:$I$89,7,0))</f>
        <v>3.3000000000000002E-2</v>
      </c>
      <c r="Y73" s="17">
        <f>IF(ISNA(VLOOKUP(A73,'Données projet'!$A$35:$I$55,7,0)),0%,VLOOKUP(A73,'Données projet'!$A$35:$I$55,7,0))</f>
        <v>0.04</v>
      </c>
      <c r="Z73" s="23">
        <f>EXP(-LN(2)/35)*Z72+(1-EXP(-LN(2)/35))/(LN(2)/35)*V73*W73*VLOOKUP('Données projet'!$B$9,Paramètres!$A$1:$I$89,3,0)*0.475*44/12</f>
        <v>114.64337781873017</v>
      </c>
      <c r="AA73" s="23">
        <f>EXP(-LN(2)/25)*AA72+(1-EXP(-LN(2)/25))/(LN(2)/25)*Calculateur!V73*Calculateur!X73*VLOOKUP('Données projet'!$B$9,Paramètres!$A$1:$I$89,3,0)*0.475*44/12</f>
        <v>27.672941615830567</v>
      </c>
      <c r="AB73" s="23">
        <f>EXP(-LN(2)/2)*AB72+(1-EXP(-LN(2)/2))/(LN(2)/2)*V73*Y73*VLOOKUP('Données projet'!$B$9,Paramètres!$A$1:$I$89,3,0)*0.475*44/12</f>
        <v>1.3104767905778092</v>
      </c>
      <c r="AC73" s="24">
        <f t="shared" si="57"/>
        <v>143.62679622513855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550</v>
      </c>
      <c r="AG73" s="13">
        <f>VLOOKUP(A73,'Données projet'!$A$61:$I$81,9,0)</f>
        <v>12</v>
      </c>
      <c r="AH73" s="13">
        <f t="array" ref="AH73">INDEX(AG:AG,MIN(IF(ISNUMBER(AG73:AG269),ROW(AG73:AG269),"")))</f>
        <v>12</v>
      </c>
      <c r="AI73" s="14">
        <f>IF('Données projet'!$A$62&gt;35,AI72+AH73-AQ72,IF(A73&lt;'Données projet'!$A$62,$AF$205^A73,IF(A73='Données projet'!$A$62,'Données projet'!$B$62,AI72+AH73-AQ72)))</f>
        <v>550</v>
      </c>
      <c r="AJ73" s="14">
        <f>AI73*VLOOKUP('Données projet'!$B$10,Paramètres!$A$1:$I$89,3,0)*VLOOKUP('Données projet'!$B$10,Paramètres!$A$1:$I$89,5,0)</f>
        <v>257.40000000000003</v>
      </c>
      <c r="AK73" s="14">
        <f t="shared" si="89"/>
        <v>62.167839264733466</v>
      </c>
      <c r="AL73" s="22">
        <f t="shared" si="58"/>
        <v>556.58065338607753</v>
      </c>
      <c r="AM73" s="62">
        <f t="shared" si="59"/>
        <v>849.91398671941079</v>
      </c>
      <c r="AN73" s="62">
        <f ca="1">AVERAGE(OFFSET($AM$3,0,0,'Données projet'!$E$10+1,1))-AVERAGE(OFFSET($H$3,0,0,'Données projet'!$E$10+1,1))</f>
        <v>265.57412766850422</v>
      </c>
      <c r="AO73" s="62">
        <f t="shared" si="90"/>
        <v>179.39213799913273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40</v>
      </c>
      <c r="AR73" s="17">
        <f>IF(ISNA(VLOOKUP(A73,'Données projet'!$A$61:$I$81,5,0)),0%,VLOOKUP(A73,'Données projet'!$A$61:$I$81,5,0)*VLOOKUP('Données projet'!$B$10,Paramètres!$A$1:$I$89,7,0))</f>
        <v>0.33</v>
      </c>
      <c r="AS73" s="17">
        <f>IF(ISNA(VLOOKUP(A73,'Données projet'!$A$61:$I$81,6,0)),0%,VLOOKUP(A73,'Données projet'!$A$61:$I$81,6,0)*VLOOKUP('Données projet'!$B$10,Paramètres!$A$1:$I$89,7,0))</f>
        <v>0.12100000000000001</v>
      </c>
      <c r="AT73" s="17">
        <f>IF(ISNA(VLOOKUP(A73,'Données projet'!$A$61:$I$81,7,0)),0%,VLOOKUP(A73,'Données projet'!$A$61:$I$81,7,0))</f>
        <v>0.18</v>
      </c>
      <c r="AU73" s="23">
        <f>EXP(-LN(2)/35)*AU72+(1-EXP(-LN(2)/35))/(LN(2)/35)*AQ73*AR73*VLOOKUP('Données projet'!$B$10,Paramètres!$A$1:$I$89,3,0)*0.475*44/12</f>
        <v>22.766691099152887</v>
      </c>
      <c r="AV73" s="23">
        <f>EXP(-LN(2)/25)*AV72+(1-EXP(-LN(2)/25))/(LN(2)/25)*Calculateur!AQ73*Calculateur!AS73*VLOOKUP('Données projet'!$B$10,Paramètres!$A$1:$I$89,3,0)*0.475*44/12</f>
        <v>16.51659583886665</v>
      </c>
      <c r="AW73" s="23">
        <f>EXP(-LN(2)/2)*AW72+(1-EXP(-LN(2)/2))/(LN(2)/2)*AQ73*AT73*VLOOKUP('Données projet'!$B$10,Paramètres!$A$1:$I$89,3,0)*0.475*44/12</f>
        <v>3.9678750671986851</v>
      </c>
      <c r="AX73" s="23">
        <f t="shared" si="60"/>
        <v>43.25116200521822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12.888750000000002</v>
      </c>
      <c r="BD73" s="13">
        <f>IF('Données projet'!$A$88&gt;35,BD72+BC73-BL72,IF(A73&lt;'Données projet'!$A$88,$BA$205^A73,IF(A73='Données projet'!$A$88,'Données projet'!$B$88,BD72+BC73-BL72)))</f>
        <v>594.23749999999973</v>
      </c>
      <c r="BE73" s="14">
        <f>BD73*VLOOKUP('Données projet'!$B$11,Paramètres!$A$1:$I$89,3,0)*VLOOKUP('Données projet'!$B$11,Paramètres!$A$1:$I$89,5,0)</f>
        <v>355.35402499999987</v>
      </c>
      <c r="BF73" s="14">
        <f t="shared" si="91"/>
        <v>82.66398462408759</v>
      </c>
      <c r="BG73" s="22">
        <f t="shared" si="61"/>
        <v>762.88136676195211</v>
      </c>
      <c r="BH73" s="62">
        <f t="shared" si="62"/>
        <v>1056.2147000952855</v>
      </c>
      <c r="BI73" s="62">
        <f ca="1">AVERAGE(OFFSET($BH$3,0,0,'Données projet'!$E$11+1,1))-AVERAGE(OFFSET($H$3,0,0,'Données projet'!$E$11+1,1))</f>
        <v>361.81625684745416</v>
      </c>
      <c r="BJ73" s="62">
        <f t="shared" si="92"/>
        <v>302.25424592654684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70.953376277344347</v>
      </c>
      <c r="BQ73" s="23">
        <f>EXP(-LN(2)/25)*BQ72+(1-EXP(-LN(2)/25))/(LN(2)/25)*Calculateur!BL73*Calculateur!BN73*VLOOKUP('Données projet'!$B$11,Paramètres!$A$1:$I$89,3,0)*0.475*44/12</f>
        <v>14.34286041552428</v>
      </c>
      <c r="BR73" s="23">
        <f>EXP(-LN(2)/2)*BR72+(1-EXP(-LN(2)/2))/(LN(2)/2)*BL73*BO73*VLOOKUP('Données projet'!$B$11,Paramètres!$A$1:$I$89,3,0)*0.475*44/12</f>
        <v>0.60744692919290466</v>
      </c>
      <c r="BS73" s="24">
        <f t="shared" si="63"/>
        <v>85.903683622061536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15.8</v>
      </c>
      <c r="N74" s="14">
        <f>IF('Données projet'!$A$36&gt;35,N73+M74-V73,IF(A74&lt;'Données projet'!$A$36,$K$205^A74,IF(A74='Données projet'!$A$36,'Données projet'!$B$36,N73+M74-V73)))</f>
        <v>793.79999999999927</v>
      </c>
      <c r="O74" s="14">
        <f>N74*VLOOKUP('Données projet'!$B$9,Paramètres!$A$1:$I$89,3,0)*VLOOKUP('Données projet'!$B$9,Paramètres!$A$1:$I$89,5,0)</f>
        <v>443.73419999999959</v>
      </c>
      <c r="P74" s="14">
        <f t="shared" si="87"/>
        <v>100.58885427408532</v>
      </c>
      <c r="Q74" s="22">
        <f t="shared" si="54"/>
        <v>948.02931952736469</v>
      </c>
      <c r="R74" s="62">
        <f t="shared" si="55"/>
        <v>1241.3626528606981</v>
      </c>
      <c r="S74" s="62">
        <f ca="1">AVERAGE(OFFSET($R$3,0,0,'Données projet'!$E$9+1,1))-AVERAGE(OFFSET($H$3,0,0,'Données projet'!$E$9+1,1))</f>
        <v>500.52921520843432</v>
      </c>
      <c r="T74" s="62">
        <f t="shared" si="88"/>
        <v>430.43167430170087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112.39529110526077</v>
      </c>
      <c r="AA74" s="23">
        <f>EXP(-LN(2)/25)*AA73+(1-EXP(-LN(2)/25))/(LN(2)/25)*Calculateur!V74*Calculateur!X74*VLOOKUP('Données projet'!$B$9,Paramètres!$A$1:$I$89,3,0)*0.475*44/12</f>
        <v>26.916223572088928</v>
      </c>
      <c r="AB74" s="23">
        <f>EXP(-LN(2)/2)*AB73+(1-EXP(-LN(2)/2))/(LN(2)/2)*V74*Y74*VLOOKUP('Données projet'!$B$9,Paramètres!$A$1:$I$89,3,0)*0.475*44/12</f>
        <v>0.92664702520515208</v>
      </c>
      <c r="AC74" s="24">
        <f t="shared" si="57"/>
        <v>140.23816170255483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10</v>
      </c>
      <c r="AI74" s="14">
        <f>IF('Données projet'!$A$62&gt;35,AI73+AH74-AQ73,IF(A74&lt;'Données projet'!$A$62,$AF$205^A74,IF(A74='Données projet'!$A$62,'Données projet'!$B$62,AI73+AH74-AQ73)))</f>
        <v>520</v>
      </c>
      <c r="AJ74" s="14">
        <f>AI74*VLOOKUP('Données projet'!$B$10,Paramètres!$A$1:$I$89,3,0)*VLOOKUP('Données projet'!$B$10,Paramètres!$A$1:$I$89,5,0)</f>
        <v>243.35999999999999</v>
      </c>
      <c r="AK74" s="14">
        <f t="shared" si="89"/>
        <v>59.161864860837127</v>
      </c>
      <c r="AL74" s="22">
        <f t="shared" si="58"/>
        <v>526.89224796595806</v>
      </c>
      <c r="AM74" s="62">
        <f t="shared" si="59"/>
        <v>820.22558129929143</v>
      </c>
      <c r="AN74" s="62">
        <f ca="1">AVERAGE(OFFSET($AM$3,0,0,'Données projet'!$E$10+1,1))-AVERAGE(OFFSET($H$3,0,0,'Données projet'!$E$10+1,1))</f>
        <v>265.57412766850422</v>
      </c>
      <c r="AO74" s="62">
        <f t="shared" si="90"/>
        <v>179.39213799913273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22.320250173008908</v>
      </c>
      <c r="AV74" s="23">
        <f>EXP(-LN(2)/25)*AV73+(1-EXP(-LN(2)/25))/(LN(2)/25)*Calculateur!AQ74*Calculateur!AS74*VLOOKUP('Données projet'!$B$10,Paramètres!$A$1:$I$89,3,0)*0.475*44/12</f>
        <v>16.064948657082816</v>
      </c>
      <c r="AW74" s="23">
        <f>EXP(-LN(2)/2)*AW73+(1-EXP(-LN(2)/2))/(LN(2)/2)*AQ74*AT74*VLOOKUP('Données projet'!$B$10,Paramètres!$A$1:$I$89,3,0)*0.475*44/12</f>
        <v>2.8057113669172185</v>
      </c>
      <c r="AX74" s="23">
        <f t="shared" si="60"/>
        <v>41.19091019700894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12.888750000000002</v>
      </c>
      <c r="BD74" s="13">
        <f>IF('Données projet'!$A$88&gt;35,BD73+BC74-BL73,IF(A74&lt;'Données projet'!$A$88,$BA$205^A74,IF(A74='Données projet'!$A$88,'Données projet'!$B$88,BD73+BC74-BL73)))</f>
        <v>607.12624999999969</v>
      </c>
      <c r="BE74" s="14">
        <f>BD74*VLOOKUP('Données projet'!$B$11,Paramètres!$A$1:$I$89,3,0)*VLOOKUP('Données projet'!$B$11,Paramètres!$A$1:$I$89,5,0)</f>
        <v>363.06149749999986</v>
      </c>
      <c r="BF74" s="14">
        <f t="shared" si="91"/>
        <v>84.246247351514029</v>
      </c>
      <c r="BG74" s="22">
        <f t="shared" si="61"/>
        <v>779.06098894972001</v>
      </c>
      <c r="BH74" s="62">
        <f t="shared" si="62"/>
        <v>1072.3943222830533</v>
      </c>
      <c r="BI74" s="62">
        <f ca="1">AVERAGE(OFFSET($BH$3,0,0,'Données projet'!$E$11+1,1))-AVERAGE(OFFSET($H$3,0,0,'Données projet'!$E$11+1,1))</f>
        <v>361.81625684745416</v>
      </c>
      <c r="BJ74" s="62">
        <f t="shared" si="92"/>
        <v>302.25424592654684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69.562023845831874</v>
      </c>
      <c r="BQ74" s="23">
        <f>EXP(-LN(2)/25)*BQ73+(1-EXP(-LN(2)/25))/(LN(2)/25)*Calculateur!BL74*Calculateur!BN74*VLOOKUP('Données projet'!$B$11,Paramètres!$A$1:$I$89,3,0)*0.475*44/12</f>
        <v>13.95065414320352</v>
      </c>
      <c r="BR74" s="23">
        <f>EXP(-LN(2)/2)*BR73+(1-EXP(-LN(2)/2))/(LN(2)/2)*BL74*BO74*VLOOKUP('Données projet'!$B$11,Paramètres!$A$1:$I$89,3,0)*0.475*44/12</f>
        <v>0.42952984284324747</v>
      </c>
      <c r="BS74" s="24">
        <f t="shared" si="63"/>
        <v>83.942207831878648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15.8</v>
      </c>
      <c r="N75" s="14">
        <f>IF('Données projet'!$A$36&gt;35,N74+M75-V74,IF(A75&lt;'Données projet'!$A$36,$K$205^A75,IF(A75='Données projet'!$A$36,'Données projet'!$B$36,N74+M75-V74)))</f>
        <v>809.59999999999923</v>
      </c>
      <c r="O75" s="14">
        <f>N75*VLOOKUP('Données projet'!$B$9,Paramètres!$A$1:$I$89,3,0)*VLOOKUP('Données projet'!$B$9,Paramètres!$A$1:$I$89,5,0)</f>
        <v>452.56639999999953</v>
      </c>
      <c r="P75" s="14">
        <f t="shared" si="87"/>
        <v>102.35591657906329</v>
      </c>
      <c r="Q75" s="22">
        <f t="shared" si="54"/>
        <v>966.48970137520098</v>
      </c>
      <c r="R75" s="62">
        <f t="shared" si="55"/>
        <v>1259.8230347085344</v>
      </c>
      <c r="S75" s="62">
        <f ca="1">AVERAGE(OFFSET($R$3,0,0,'Données projet'!$E$9+1,1))-AVERAGE(OFFSET($H$3,0,0,'Données projet'!$E$9+1,1))</f>
        <v>500.52921520843432</v>
      </c>
      <c r="T75" s="62">
        <f t="shared" si="88"/>
        <v>430.43167430170087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110.191288001045</v>
      </c>
      <c r="AA75" s="23">
        <f>EXP(-LN(2)/25)*AA74+(1-EXP(-LN(2)/25))/(LN(2)/25)*Calculateur!V75*Calculateur!X75*VLOOKUP('Données projet'!$B$9,Paramètres!$A$1:$I$89,3,0)*0.475*44/12</f>
        <v>26.180198023047478</v>
      </c>
      <c r="AB75" s="23">
        <f>EXP(-LN(2)/2)*AB74+(1-EXP(-LN(2)/2))/(LN(2)/2)*V75*Y75*VLOOKUP('Données projet'!$B$9,Paramètres!$A$1:$I$89,3,0)*0.475*44/12</f>
        <v>0.65523839528890471</v>
      </c>
      <c r="AC75" s="24">
        <f t="shared" si="57"/>
        <v>137.02672441938137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10</v>
      </c>
      <c r="AI75" s="14">
        <f>IF('Données projet'!$A$62&gt;35,AI74+AH75-AQ74,IF(A75&lt;'Données projet'!$A$62,$AF$205^A75,IF(A75='Données projet'!$A$62,'Données projet'!$B$62,AI74+AH75-AQ74)))</f>
        <v>530</v>
      </c>
      <c r="AJ75" s="14">
        <f>AI75*VLOOKUP('Données projet'!$B$10,Paramètres!$A$1:$I$89,3,0)*VLOOKUP('Données projet'!$B$10,Paramètres!$A$1:$I$89,5,0)</f>
        <v>248.04</v>
      </c>
      <c r="AK75" s="14">
        <f t="shared" si="89"/>
        <v>60.166044284441391</v>
      </c>
      <c r="AL75" s="22">
        <f t="shared" si="58"/>
        <v>536.792193795402</v>
      </c>
      <c r="AM75" s="62">
        <f t="shared" si="59"/>
        <v>830.12552712873526</v>
      </c>
      <c r="AN75" s="62">
        <f ca="1">AVERAGE(OFFSET($AM$3,0,0,'Données projet'!$E$10+1,1))-AVERAGE(OFFSET($H$3,0,0,'Données projet'!$E$10+1,1))</f>
        <v>265.57412766850422</v>
      </c>
      <c r="AO75" s="62">
        <f t="shared" si="90"/>
        <v>179.39213799913273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21.882563681124537</v>
      </c>
      <c r="AV75" s="23">
        <f>EXP(-LN(2)/25)*AV74+(1-EXP(-LN(2)/25))/(LN(2)/25)*Calculateur!AQ75*Calculateur!AS75*VLOOKUP('Données projet'!$B$10,Paramètres!$A$1:$I$89,3,0)*0.475*44/12</f>
        <v>15.625651791235953</v>
      </c>
      <c r="AW75" s="23">
        <f>EXP(-LN(2)/2)*AW74+(1-EXP(-LN(2)/2))/(LN(2)/2)*AQ75*AT75*VLOOKUP('Données projet'!$B$10,Paramètres!$A$1:$I$89,3,0)*0.475*44/12</f>
        <v>1.9839375335993428</v>
      </c>
      <c r="AX75" s="23">
        <f t="shared" si="60"/>
        <v>39.492153005959835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12.888750000000002</v>
      </c>
      <c r="BD75" s="13">
        <f>IF('Données projet'!$A$88&gt;35,BD74+BC75-BL74,IF(A75&lt;'Données projet'!$A$88,$BA$205^A75,IF(A75='Données projet'!$A$88,'Données projet'!$B$88,BD74+BC75-BL74)))</f>
        <v>620.01499999999965</v>
      </c>
      <c r="BE75" s="14">
        <f>BD75*VLOOKUP('Données projet'!$B$11,Paramètres!$A$1:$I$89,3,0)*VLOOKUP('Données projet'!$B$11,Paramètres!$A$1:$I$89,5,0)</f>
        <v>370.7689699999998</v>
      </c>
      <c r="BF75" s="14">
        <f t="shared" si="91"/>
        <v>85.824604716239875</v>
      </c>
      <c r="BG75" s="22">
        <f t="shared" si="61"/>
        <v>795.23380929745065</v>
      </c>
      <c r="BH75" s="62">
        <f t="shared" si="62"/>
        <v>1088.567142630784</v>
      </c>
      <c r="BI75" s="62">
        <f ca="1">AVERAGE(OFFSET($BH$3,0,0,'Données projet'!$E$11+1,1))-AVERAGE(OFFSET($H$3,0,0,'Données projet'!$E$11+1,1))</f>
        <v>361.81625684745416</v>
      </c>
      <c r="BJ75" s="62">
        <f t="shared" si="92"/>
        <v>302.25424592654684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68.197954986860182</v>
      </c>
      <c r="BQ75" s="23">
        <f>EXP(-LN(2)/25)*BQ74+(1-EXP(-LN(2)/25))/(LN(2)/25)*Calculateur!BL75*Calculateur!BN75*VLOOKUP('Données projet'!$B$11,Paramètres!$A$1:$I$89,3,0)*0.475*44/12</f>
        <v>13.569172772024602</v>
      </c>
      <c r="BR75" s="23">
        <f>EXP(-LN(2)/2)*BR74+(1-EXP(-LN(2)/2))/(LN(2)/2)*BL75*BO75*VLOOKUP('Données projet'!$B$11,Paramètres!$A$1:$I$89,3,0)*0.475*44/12</f>
        <v>0.30372346459645233</v>
      </c>
      <c r="BS75" s="24">
        <f t="shared" si="63"/>
        <v>82.070851223481242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15.8</v>
      </c>
      <c r="N76" s="14">
        <f>IF('Données projet'!$A$36&gt;35,N75+M76-V75,IF(A76&lt;'Données projet'!$A$36,$K$205^A76,IF(A76='Données projet'!$A$36,'Données projet'!$B$36,N75+M76-V75)))</f>
        <v>825.39999999999918</v>
      </c>
      <c r="O76" s="14">
        <f>N76*VLOOKUP('Données projet'!$B$9,Paramètres!$A$1:$I$89,3,0)*VLOOKUP('Données projet'!$B$9,Paramètres!$A$1:$I$89,5,0)</f>
        <v>461.39859999999953</v>
      </c>
      <c r="P76" s="14">
        <f t="shared" si="87"/>
        <v>104.11896904087834</v>
      </c>
      <c r="Q76" s="22">
        <f t="shared" si="54"/>
        <v>984.94309941286235</v>
      </c>
      <c r="R76" s="62">
        <f t="shared" si="55"/>
        <v>1278.2764327461957</v>
      </c>
      <c r="S76" s="62">
        <f ca="1">AVERAGE(OFFSET($R$3,0,0,'Données projet'!$E$9+1,1))-AVERAGE(OFFSET($H$3,0,0,'Données projet'!$E$9+1,1))</f>
        <v>500.52921520843432</v>
      </c>
      <c r="T76" s="62">
        <f t="shared" si="88"/>
        <v>430.43167430170087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108.03050405339374</v>
      </c>
      <c r="AA76" s="23">
        <f>EXP(-LN(2)/25)*AA75+(1-EXP(-LN(2)/25))/(LN(2)/25)*Calculateur!V76*Calculateur!X76*VLOOKUP('Données projet'!$B$9,Paramètres!$A$1:$I$89,3,0)*0.475*44/12</f>
        <v>25.464299131350465</v>
      </c>
      <c r="AB76" s="23">
        <f>EXP(-LN(2)/2)*AB75+(1-EXP(-LN(2)/2))/(LN(2)/2)*V76*Y76*VLOOKUP('Données projet'!$B$9,Paramètres!$A$1:$I$89,3,0)*0.475*44/12</f>
        <v>0.46332351260257609</v>
      </c>
      <c r="AC76" s="24">
        <f t="shared" si="57"/>
        <v>133.95812669734678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10</v>
      </c>
      <c r="AI76" s="14">
        <f>IF('Données projet'!$A$62&gt;35,AI75+AH76-AQ75,IF(A76&lt;'Données projet'!$A$62,$AF$205^A76,IF(A76='Données projet'!$A$62,'Données projet'!$B$62,AI75+AH76-AQ75)))</f>
        <v>540</v>
      </c>
      <c r="AJ76" s="14">
        <f>AI76*VLOOKUP('Données projet'!$B$10,Paramètres!$A$1:$I$89,3,0)*VLOOKUP('Données projet'!$B$10,Paramètres!$A$1:$I$89,5,0)</f>
        <v>252.72000000000003</v>
      </c>
      <c r="AK76" s="14">
        <f t="shared" si="89"/>
        <v>61.168020584496823</v>
      </c>
      <c r="AL76" s="22">
        <f t="shared" si="58"/>
        <v>546.68830251799864</v>
      </c>
      <c r="AM76" s="62">
        <f t="shared" si="59"/>
        <v>840.02163585133189</v>
      </c>
      <c r="AN76" s="62">
        <f ca="1">AVERAGE(OFFSET($AM$3,0,0,'Données projet'!$E$10+1,1))-AVERAGE(OFFSET($H$3,0,0,'Données projet'!$E$10+1,1))</f>
        <v>265.57412766850422</v>
      </c>
      <c r="AO76" s="62">
        <f t="shared" si="90"/>
        <v>179.39213799913273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21.453459954383618</v>
      </c>
      <c r="AV76" s="23">
        <f>EXP(-LN(2)/25)*AV75+(1-EXP(-LN(2)/25))/(LN(2)/25)*Calculateur!AQ76*Calculateur!AS76*VLOOKUP('Données projet'!$B$10,Paramètres!$A$1:$I$89,3,0)*0.475*44/12</f>
        <v>15.19836752128729</v>
      </c>
      <c r="AW76" s="23">
        <f>EXP(-LN(2)/2)*AW75+(1-EXP(-LN(2)/2))/(LN(2)/2)*AQ76*AT76*VLOOKUP('Données projet'!$B$10,Paramètres!$A$1:$I$89,3,0)*0.475*44/12</f>
        <v>1.4028556834586094</v>
      </c>
      <c r="AX76" s="23">
        <f t="shared" si="60"/>
        <v>38.054683159129517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12.888750000000002</v>
      </c>
      <c r="BD76" s="13">
        <f>IF('Données projet'!$A$88&gt;35,BD75+BC76-BL75,IF(A76&lt;'Données projet'!$A$88,$BA$205^A76,IF(A76='Données projet'!$A$88,'Données projet'!$B$88,BD75+BC76-BL75)))</f>
        <v>632.9037499999996</v>
      </c>
      <c r="BE76" s="14">
        <f>BD76*VLOOKUP('Données projet'!$B$11,Paramètres!$A$1:$I$89,3,0)*VLOOKUP('Données projet'!$B$11,Paramètres!$A$1:$I$89,5,0)</f>
        <v>378.47644249999979</v>
      </c>
      <c r="BF76" s="14">
        <f t="shared" si="91"/>
        <v>87.399147255585461</v>
      </c>
      <c r="BG76" s="22">
        <f t="shared" si="61"/>
        <v>811.39998549097754</v>
      </c>
      <c r="BH76" s="62">
        <f t="shared" si="62"/>
        <v>1104.7333188243108</v>
      </c>
      <c r="BI76" s="62">
        <f ca="1">AVERAGE(OFFSET($BH$3,0,0,'Données projet'!$E$11+1,1))-AVERAGE(OFFSET($H$3,0,0,'Données projet'!$E$11+1,1))</f>
        <v>361.81625684745416</v>
      </c>
      <c r="BJ76" s="62">
        <f t="shared" si="92"/>
        <v>302.25424592654684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66.860634686213075</v>
      </c>
      <c r="BQ76" s="23">
        <f>EXP(-LN(2)/25)*BQ75+(1-EXP(-LN(2)/25))/(LN(2)/25)*Calculateur!BL76*Calculateur!BN76*VLOOKUP('Données projet'!$B$11,Paramètres!$A$1:$I$89,3,0)*0.475*44/12</f>
        <v>13.198123029001806</v>
      </c>
      <c r="BR76" s="23">
        <f>EXP(-LN(2)/2)*BR75+(1-EXP(-LN(2)/2))/(LN(2)/2)*BL76*BO76*VLOOKUP('Données projet'!$B$11,Paramètres!$A$1:$I$89,3,0)*0.475*44/12</f>
        <v>0.21476492142162373</v>
      </c>
      <c r="BS76" s="24">
        <f t="shared" si="63"/>
        <v>80.2735226366365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15.8</v>
      </c>
      <c r="N77" s="14">
        <f>IF('Données projet'!$A$36&gt;35,N76+M77-V76,IF(A77&lt;'Données projet'!$A$36,$K$205^A77,IF(A77='Données projet'!$A$36,'Données projet'!$B$36,N76+M77-V76)))</f>
        <v>841.19999999999914</v>
      </c>
      <c r="O77" s="14">
        <f>N77*VLOOKUP('Données projet'!$B$9,Paramètres!$A$1:$I$89,3,0)*VLOOKUP('Données projet'!$B$9,Paramètres!$A$1:$I$89,5,0)</f>
        <v>470.23079999999953</v>
      </c>
      <c r="P77" s="14">
        <f t="shared" si="87"/>
        <v>105.87809726659376</v>
      </c>
      <c r="Q77" s="22">
        <f t="shared" si="54"/>
        <v>1003.3896627393166</v>
      </c>
      <c r="R77" s="62">
        <f t="shared" si="55"/>
        <v>1296.7229960726499</v>
      </c>
      <c r="S77" s="62">
        <f ca="1">AVERAGE(OFFSET($R$3,0,0,'Données projet'!$E$9+1,1))-AVERAGE(OFFSET($H$3,0,0,'Données projet'!$E$9+1,1))</f>
        <v>500.52921520843432</v>
      </c>
      <c r="T77" s="62">
        <f t="shared" si="88"/>
        <v>430.43167430170087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105.91209176100786</v>
      </c>
      <c r="AA77" s="23">
        <f>EXP(-LN(2)/25)*AA76+(1-EXP(-LN(2)/25))/(LN(2)/25)*Calculateur!V77*Calculateur!X77*VLOOKUP('Données projet'!$B$9,Paramètres!$A$1:$I$89,3,0)*0.475*44/12</f>
        <v>24.767976532494394</v>
      </c>
      <c r="AB77" s="23">
        <f>EXP(-LN(2)/2)*AB76+(1-EXP(-LN(2)/2))/(LN(2)/2)*V77*Y77*VLOOKUP('Données projet'!$B$9,Paramètres!$A$1:$I$89,3,0)*0.475*44/12</f>
        <v>0.32761919764445241</v>
      </c>
      <c r="AC77" s="24">
        <f t="shared" si="57"/>
        <v>131.0076874911467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10</v>
      </c>
      <c r="AI77" s="14">
        <f>IF('Données projet'!$A$62&gt;35,AI76+AH77-AQ76,IF(A77&lt;'Données projet'!$A$62,$AF$205^A77,IF(A77='Données projet'!$A$62,'Données projet'!$B$62,AI76+AH77-AQ76)))</f>
        <v>550</v>
      </c>
      <c r="AJ77" s="14">
        <f>AI77*VLOOKUP('Données projet'!$B$10,Paramètres!$A$1:$I$89,3,0)*VLOOKUP('Données projet'!$B$10,Paramètres!$A$1:$I$89,5,0)</f>
        <v>257.40000000000003</v>
      </c>
      <c r="AK77" s="14">
        <f t="shared" si="89"/>
        <v>62.167839264733466</v>
      </c>
      <c r="AL77" s="22">
        <f t="shared" si="58"/>
        <v>556.58065338607753</v>
      </c>
      <c r="AM77" s="62">
        <f t="shared" si="59"/>
        <v>849.91398671941079</v>
      </c>
      <c r="AN77" s="62">
        <f ca="1">AVERAGE(OFFSET($AM$3,0,0,'Données projet'!$E$10+1,1))-AVERAGE(OFFSET($H$3,0,0,'Données projet'!$E$10+1,1))</f>
        <v>265.57412766850422</v>
      </c>
      <c r="AO77" s="62">
        <f t="shared" si="90"/>
        <v>179.39213799913273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21.03277068999666</v>
      </c>
      <c r="AV77" s="23">
        <f>EXP(-LN(2)/25)*AV76+(1-EXP(-LN(2)/25))/(LN(2)/25)*Calculateur!AQ77*Calculateur!AS77*VLOOKUP('Données projet'!$B$10,Paramètres!$A$1:$I$89,3,0)*0.475*44/12</f>
        <v>14.782767362170278</v>
      </c>
      <c r="AW77" s="23">
        <f>EXP(-LN(2)/2)*AW76+(1-EXP(-LN(2)/2))/(LN(2)/2)*AQ77*AT77*VLOOKUP('Données projet'!$B$10,Paramètres!$A$1:$I$89,3,0)*0.475*44/12</f>
        <v>0.99196876679967161</v>
      </c>
      <c r="AX77" s="23">
        <f t="shared" si="60"/>
        <v>36.807506818966608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12.888750000000002</v>
      </c>
      <c r="BD77" s="13">
        <f>IF('Données projet'!$A$88&gt;35,BD76+BC77-BL76,IF(A77&lt;'Données projet'!$A$88,$BA$205^A77,IF(A77='Données projet'!$A$88,'Données projet'!$B$88,BD76+BC77-BL76)))</f>
        <v>645.79249999999956</v>
      </c>
      <c r="BE77" s="14">
        <f>BD77*VLOOKUP('Données projet'!$B$11,Paramètres!$A$1:$I$89,3,0)*VLOOKUP('Données projet'!$B$11,Paramètres!$A$1:$I$89,5,0)</f>
        <v>386.18391499999979</v>
      </c>
      <c r="BF77" s="14">
        <f t="shared" si="91"/>
        <v>88.969961608582523</v>
      </c>
      <c r="BG77" s="22">
        <f t="shared" si="61"/>
        <v>827.55966842661417</v>
      </c>
      <c r="BH77" s="62">
        <f t="shared" si="62"/>
        <v>1120.8930017599475</v>
      </c>
      <c r="BI77" s="62">
        <f ca="1">AVERAGE(OFFSET($BH$3,0,0,'Données projet'!$E$11+1,1))-AVERAGE(OFFSET($H$3,0,0,'Données projet'!$E$11+1,1))</f>
        <v>361.81625684745416</v>
      </c>
      <c r="BJ77" s="62">
        <f t="shared" si="92"/>
        <v>302.25424592654684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65.549538420976816</v>
      </c>
      <c r="BQ77" s="23">
        <f>EXP(-LN(2)/25)*BQ76+(1-EXP(-LN(2)/25))/(LN(2)/25)*Calculateur!BL77*Calculateur!BN77*VLOOKUP('Données projet'!$B$11,Paramètres!$A$1:$I$89,3,0)*0.475*44/12</f>
        <v>12.837219660714627</v>
      </c>
      <c r="BR77" s="23">
        <f>EXP(-LN(2)/2)*BR76+(1-EXP(-LN(2)/2))/(LN(2)/2)*BL77*BO77*VLOOKUP('Données projet'!$B$11,Paramètres!$A$1:$I$89,3,0)*0.475*44/12</f>
        <v>0.15186173229822617</v>
      </c>
      <c r="BS77" s="24">
        <f t="shared" si="63"/>
        <v>78.538619813989669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857</v>
      </c>
      <c r="L78" s="13">
        <f>VLOOKUP(A78,'Données projet'!$A$35:$I$55,9,0)</f>
        <v>15.8</v>
      </c>
      <c r="M78" s="13">
        <f t="array" ref="M78">INDEX(L:L,MIN(IF(ISNUMBER(L78:L274),ROW(L78:L274),"")))</f>
        <v>15.8</v>
      </c>
      <c r="N78" s="14">
        <f>IF('Données projet'!$A$36&gt;35,N77+M78-V77,IF(A78&lt;'Données projet'!$A$36,$K$205^A78,IF(A78='Données projet'!$A$36,'Données projet'!$B$36,N77+M78-V77)))</f>
        <v>856.99999999999909</v>
      </c>
      <c r="O78" s="14">
        <f>N78*VLOOKUP('Données projet'!$B$9,Paramètres!$A$1:$I$89,3,0)*VLOOKUP('Données projet'!$B$9,Paramètres!$A$1:$I$89,5,0)</f>
        <v>479.06299999999948</v>
      </c>
      <c r="P78" s="14">
        <f t="shared" si="87"/>
        <v>107.6333834633662</v>
      </c>
      <c r="Q78" s="22">
        <f t="shared" si="54"/>
        <v>1021.8295345320286</v>
      </c>
      <c r="R78" s="62">
        <f t="shared" si="55"/>
        <v>1315.1628678653619</v>
      </c>
      <c r="S78" s="62">
        <f ca="1">AVERAGE(OFFSET($R$3,0,0,'Données projet'!$E$9+1,1))-AVERAGE(OFFSET($H$3,0,0,'Données projet'!$E$9+1,1))</f>
        <v>500.52921520843432</v>
      </c>
      <c r="T78" s="62">
        <f t="shared" si="88"/>
        <v>430.43167430170087</v>
      </c>
      <c r="U78" s="16">
        <f>IF(ISNA(VLOOKUP(A78,'Données projet'!$A$35:$I$55,3,0)),0,VLOOKUP(A78,'Données projet'!$A$35:$I$55,3,0))</f>
        <v>14</v>
      </c>
      <c r="V78" s="16">
        <f>IF(ISNA(VLOOKUP(A78,'Données projet'!$A$35:$I$55,4,0)),0,VLOOKUP(A78,'Données projet'!$A$35:$I$55,4,0))</f>
        <v>40</v>
      </c>
      <c r="W78" s="17">
        <f>IF(ISNA(VLOOKUP(A78,'Données projet'!$A$35:$I$55,5,0)),0%,VLOOKUP(A78,'Données projet'!$A$35:$I$55,5,0)*VLOOKUP('Données projet'!$B$9,Paramètres!$A$1:$I$89,7,0))</f>
        <v>0.49500000000000005</v>
      </c>
      <c r="X78" s="17">
        <f>IF(ISNA(VLOOKUP(A78,'Données projet'!$A$35:$I$55,6,0)),0%,VLOOKUP(A78,'Données projet'!$A$35:$I$55,6,0)*VLOOKUP('Données projet'!$B$9,Paramètres!$A$1:$I$89,7,0))</f>
        <v>3.3000000000000002E-2</v>
      </c>
      <c r="Y78" s="17">
        <f>IF(ISNA(VLOOKUP(A78,'Données projet'!$A$35:$I$55,7,0)),0%,VLOOKUP(A78,'Données projet'!$A$35:$I$55,7,0))</f>
        <v>0.04</v>
      </c>
      <c r="Z78" s="23">
        <f>EXP(-LN(2)/35)*Z77+(1-EXP(-LN(2)/35))/(LN(2)/35)*V78*W78*VLOOKUP('Données projet'!$B$9,Paramètres!$A$1:$I$89,3,0)*0.475*44/12</f>
        <v>118.51790094726766</v>
      </c>
      <c r="AA78" s="23">
        <f>EXP(-LN(2)/25)*AA77+(1-EXP(-LN(2)/25))/(LN(2)/25)*Calculateur!V78*Calculateur!X78*VLOOKUP('Données projet'!$B$9,Paramètres!$A$1:$I$89,3,0)*0.475*44/12</f>
        <v>25.065686204869898</v>
      </c>
      <c r="AB78" s="23">
        <f>EXP(-LN(2)/2)*AB77+(1-EXP(-LN(2)/2))/(LN(2)/2)*V78*Y78*VLOOKUP('Données projet'!$B$9,Paramètres!$A$1:$I$89,3,0)*0.475*44/12</f>
        <v>1.2443303232089593</v>
      </c>
      <c r="AC78" s="24">
        <f t="shared" si="57"/>
        <v>144.82791747534654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10</v>
      </c>
      <c r="AI78" s="14">
        <f>IF('Données projet'!$A$62&gt;35,AI77+AH78-AQ77,IF(A78&lt;'Données projet'!$A$62,$AF$205^A78,IF(A78='Données projet'!$A$62,'Données projet'!$B$62,AI77+AH78-AQ77)))</f>
        <v>560</v>
      </c>
      <c r="AJ78" s="14">
        <f>AI78*VLOOKUP('Données projet'!$B$10,Paramètres!$A$1:$I$89,3,0)*VLOOKUP('Données projet'!$B$10,Paramètres!$A$1:$I$89,5,0)</f>
        <v>262.08</v>
      </c>
      <c r="AK78" s="14">
        <f t="shared" si="89"/>
        <v>63.165544079460766</v>
      </c>
      <c r="AL78" s="22">
        <f t="shared" si="58"/>
        <v>566.46932260506071</v>
      </c>
      <c r="AM78" s="62">
        <f t="shared" si="59"/>
        <v>859.80265593839408</v>
      </c>
      <c r="AN78" s="62">
        <f ca="1">AVERAGE(OFFSET($AM$3,0,0,'Données projet'!$E$10+1,1))-AVERAGE(OFFSET($H$3,0,0,'Données projet'!$E$10+1,1))</f>
        <v>265.57412766850422</v>
      </c>
      <c r="AO78" s="62">
        <f t="shared" si="90"/>
        <v>179.39213799913273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20.620330885489214</v>
      </c>
      <c r="AV78" s="23">
        <f>EXP(-LN(2)/25)*AV77+(1-EXP(-LN(2)/25))/(LN(2)/25)*Calculateur!AQ78*Calculateur!AS78*VLOOKUP('Données projet'!$B$10,Paramètres!$A$1:$I$89,3,0)*0.475*44/12</f>
        <v>14.378531811259782</v>
      </c>
      <c r="AW78" s="23">
        <f>EXP(-LN(2)/2)*AW77+(1-EXP(-LN(2)/2))/(LN(2)/2)*AQ78*AT78*VLOOKUP('Données projet'!$B$10,Paramètres!$A$1:$I$89,3,0)*0.475*44/12</f>
        <v>0.70142784172930484</v>
      </c>
      <c r="AX78" s="23">
        <f t="shared" si="60"/>
        <v>35.700290538478299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12.888750000000002</v>
      </c>
      <c r="BD78" s="13">
        <f>IF('Données projet'!$A$88&gt;35,BD77+BC78-BL77,IF(A78&lt;'Données projet'!$A$88,$BA$205^A78,IF(A78='Données projet'!$A$88,'Données projet'!$B$88,BD77+BC78-BL77)))</f>
        <v>658.68124999999952</v>
      </c>
      <c r="BE78" s="14">
        <f>BD78*VLOOKUP('Données projet'!$B$11,Paramètres!$A$1:$I$89,3,0)*VLOOKUP('Données projet'!$B$11,Paramètres!$A$1:$I$89,5,0)</f>
        <v>393.89138749999972</v>
      </c>
      <c r="BF78" s="14">
        <f t="shared" si="91"/>
        <v>90.537130758220258</v>
      </c>
      <c r="BG78" s="22">
        <f t="shared" si="61"/>
        <v>843.71300263306648</v>
      </c>
      <c r="BH78" s="62">
        <f t="shared" si="62"/>
        <v>1137.0463359663997</v>
      </c>
      <c r="BI78" s="62">
        <f ca="1">AVERAGE(OFFSET($BH$3,0,0,'Données projet'!$E$11+1,1))-AVERAGE(OFFSET($H$3,0,0,'Données projet'!$E$11+1,1))</f>
        <v>361.81625684745416</v>
      </c>
      <c r="BJ78" s="62">
        <f t="shared" si="92"/>
        <v>302.25424592654684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64.264151953812075</v>
      </c>
      <c r="BQ78" s="23">
        <f>EXP(-LN(2)/25)*BQ77+(1-EXP(-LN(2)/25))/(LN(2)/25)*Calculateur!BL78*Calculateur!BN78*VLOOKUP('Données projet'!$B$11,Paramètres!$A$1:$I$89,3,0)*0.475*44/12</f>
        <v>12.486185214012343</v>
      </c>
      <c r="BR78" s="23">
        <f>EXP(-LN(2)/2)*BR77+(1-EXP(-LN(2)/2))/(LN(2)/2)*BL78*BO78*VLOOKUP('Données projet'!$B$11,Paramètres!$A$1:$I$89,3,0)*0.475*44/12</f>
        <v>0.10738246071081187</v>
      </c>
      <c r="BS78" s="24">
        <f t="shared" si="63"/>
        <v>76.857719628535222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13.8</v>
      </c>
      <c r="N79" s="14">
        <f>IF('Données projet'!$A$36&gt;35,N78+M79-V78,IF(A79&lt;'Données projet'!$A$36,$K$205^A79,IF(A79='Données projet'!$A$36,'Données projet'!$B$36,N78+M79-V78)))</f>
        <v>830.79999999999905</v>
      </c>
      <c r="O79" s="14">
        <f>N79*VLOOKUP('Données projet'!$B$9,Paramètres!$A$1:$I$89,3,0)*VLOOKUP('Données projet'!$B$9,Paramètres!$A$1:$I$89,5,0)</f>
        <v>464.41719999999947</v>
      </c>
      <c r="P79" s="14">
        <f t="shared" si="87"/>
        <v>104.72062728122516</v>
      </c>
      <c r="Q79" s="22">
        <f t="shared" si="54"/>
        <v>991.24838251479957</v>
      </c>
      <c r="R79" s="62">
        <f t="shared" si="55"/>
        <v>1284.5817158481329</v>
      </c>
      <c r="S79" s="62">
        <f ca="1">AVERAGE(OFFSET($R$3,0,0,'Données projet'!$E$9+1,1))-AVERAGE(OFFSET($H$3,0,0,'Données projet'!$E$9+1,1))</f>
        <v>500.52921520843432</v>
      </c>
      <c r="T79" s="62">
        <f t="shared" si="88"/>
        <v>430.43167430170087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116.1938371984734</v>
      </c>
      <c r="AA79" s="23">
        <f>EXP(-LN(2)/25)*AA78+(1-EXP(-LN(2)/25))/(LN(2)/25)*Calculateur!V79*Calculateur!X79*VLOOKUP('Données projet'!$B$9,Paramètres!$A$1:$I$89,3,0)*0.475*44/12</f>
        <v>24.38026369745058</v>
      </c>
      <c r="AB79" s="23">
        <f>EXP(-LN(2)/2)*AB78+(1-EXP(-LN(2)/2))/(LN(2)/2)*V79*Y79*VLOOKUP('Données projet'!$B$9,Paramètres!$A$1:$I$89,3,0)*0.475*44/12</f>
        <v>0.87987440957710361</v>
      </c>
      <c r="AC79" s="24">
        <f t="shared" si="57"/>
        <v>141.45397530550107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</v>
      </c>
      <c r="AI79" s="14">
        <f>IF('Données projet'!$A$62&gt;35,AI78+AH79-AQ78,IF(A79&lt;'Données projet'!$A$62,$AF$205^A79,IF(A79='Données projet'!$A$62,'Données projet'!$B$62,AI78+AH79-AQ78)))</f>
        <v>570</v>
      </c>
      <c r="AJ79" s="14">
        <f>AI79*VLOOKUP('Données projet'!$B$10,Paramètres!$A$1:$I$89,3,0)*VLOOKUP('Données projet'!$B$10,Paramètres!$A$1:$I$89,5,0)</f>
        <v>266.76</v>
      </c>
      <c r="AK79" s="14">
        <f t="shared" si="89"/>
        <v>64.161177130842304</v>
      </c>
      <c r="AL79" s="22">
        <f t="shared" si="58"/>
        <v>576.35438350288371</v>
      </c>
      <c r="AM79" s="62">
        <f t="shared" si="59"/>
        <v>869.68771683621708</v>
      </c>
      <c r="AN79" s="62">
        <f ca="1">AVERAGE(OFFSET($AM$3,0,0,'Données projet'!$E$10+1,1))-AVERAGE(OFFSET($H$3,0,0,'Données projet'!$E$10+1,1))</f>
        <v>265.57412766850422</v>
      </c>
      <c r="AO79" s="62">
        <f t="shared" si="90"/>
        <v>179.39213799913273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20.21597877398472</v>
      </c>
      <c r="AV79" s="23">
        <f>EXP(-LN(2)/25)*AV78+(1-EXP(-LN(2)/25))/(LN(2)/25)*Calculateur!AQ79*Calculateur!AS79*VLOOKUP('Données projet'!$B$10,Paramètres!$A$1:$I$89,3,0)*0.475*44/12</f>
        <v>13.985350102746757</v>
      </c>
      <c r="AW79" s="23">
        <f>EXP(-LN(2)/2)*AW78+(1-EXP(-LN(2)/2))/(LN(2)/2)*AQ79*AT79*VLOOKUP('Données projet'!$B$10,Paramètres!$A$1:$I$89,3,0)*0.475*44/12</f>
        <v>0.49598438339983586</v>
      </c>
      <c r="AX79" s="23">
        <f t="shared" si="60"/>
        <v>34.697313260131317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>
        <f>VLOOKUP(A79,'Données projet'!$A$87:$I$107,2,0)</f>
        <v>671.57</v>
      </c>
      <c r="BB79" s="13">
        <f>VLOOKUP(A79,'Données projet'!$A$87:$I$107,9,0)</f>
        <v>12.888750000000002</v>
      </c>
      <c r="BC79" s="13">
        <f t="array" ref="BC79">INDEX(BB:BB,MIN(IF(ISNUMBER(BB79:BB275),ROW(BB79:BB275),"")))</f>
        <v>12.888750000000002</v>
      </c>
      <c r="BD79" s="13">
        <f>IF('Données projet'!$A$88&gt;35,BD78+BC79-BL78,IF(A79&lt;'Données projet'!$A$88,$BA$205^A79,IF(A79='Données projet'!$A$88,'Données projet'!$B$88,BD78+BC79-BL78)))</f>
        <v>671.56999999999948</v>
      </c>
      <c r="BE79" s="14">
        <f>BD79*VLOOKUP('Données projet'!$B$11,Paramètres!$A$1:$I$89,3,0)*VLOOKUP('Données projet'!$B$11,Paramètres!$A$1:$I$89,5,0)</f>
        <v>401.59885999999966</v>
      </c>
      <c r="BF79" s="14">
        <f t="shared" si="91"/>
        <v>92.10073425419408</v>
      </c>
      <c r="BG79" s="22">
        <f t="shared" si="61"/>
        <v>859.86012665938733</v>
      </c>
      <c r="BH79" s="62">
        <f t="shared" si="62"/>
        <v>1153.1934599927206</v>
      </c>
      <c r="BI79" s="62">
        <f ca="1">AVERAGE(OFFSET($BH$3,0,0,'Données projet'!$E$11+1,1))-AVERAGE(OFFSET($H$3,0,0,'Données projet'!$E$11+1,1))</f>
        <v>361.81625684745416</v>
      </c>
      <c r="BJ79" s="62">
        <f t="shared" si="92"/>
        <v>302.25424592654684</v>
      </c>
      <c r="BK79" s="16">
        <f>IF(ISNA(VLOOKUP(A79,'Données projet'!$A$87:$I$107,3,0)),0,VLOOKUP(A79,'Données projet'!$A$87:$I$107,3,0))</f>
        <v>15</v>
      </c>
      <c r="BL79" s="16">
        <f>IF(ISNA(VLOOKUP(A79,'Données projet'!$A$87:$I$107,4,0)),0,VLOOKUP(A79,'Données projet'!$A$87:$I$107,4,0))</f>
        <v>671.57</v>
      </c>
      <c r="BM79" s="17">
        <f>IF(ISNA(VLOOKUP(A79,'Données projet'!$A$87:$I$107,5,0)),0%,VLOOKUP(A79,'Données projet'!$A$87:$I$107,5,0)*VLOOKUP('Données projet'!$B$11,Paramètres!$A$1:$I$89,7,0))</f>
        <v>0.40500000000000003</v>
      </c>
      <c r="BN79" s="17">
        <f>IF(ISNA(VLOOKUP(A79,'Données projet'!$A$87:$I$107,6,0)),0%,VLOOKUP(A79,'Données projet'!$A$87:$I$107,6,0)*VLOOKUP('Données projet'!$B$11,Paramètres!$A$1:$I$89,7,0))</f>
        <v>2.7E-2</v>
      </c>
      <c r="BO79" s="17">
        <f>IF(ISNA(VLOOKUP(A79,'Données projet'!$A$87:$I$107,7,0)),0%,VLOOKUP(A79,'Données projet'!$A$87:$I$107,7,0))</f>
        <v>0.04</v>
      </c>
      <c r="BP79" s="23">
        <f>EXP(-LN(2)/35)*BP78+(1-EXP(-LN(2)/35))/(LN(2)/35)*BL79*BM79*VLOOKUP('Données projet'!$B$11,Paramètres!$A$1:$I$89,3,0)*0.475*44/12</f>
        <v>278.76641420478137</v>
      </c>
      <c r="BQ79" s="23">
        <f>EXP(-LN(2)/25)*BQ78+(1-EXP(-LN(2)/25))/(LN(2)/25)*Calculateur!BL79*Calculateur!BN79*VLOOKUP('Données projet'!$B$11,Paramètres!$A$1:$I$89,3,0)*0.475*44/12</f>
        <v>26.472276764262212</v>
      </c>
      <c r="BR79" s="23">
        <f>EXP(-LN(2)/2)*BR78+(1-EXP(-LN(2)/2))/(LN(2)/2)*BL79*BO79*VLOOKUP('Données projet'!$B$11,Paramètres!$A$1:$I$89,3,0)*0.475*44/12</f>
        <v>18.2640588638215</v>
      </c>
      <c r="BS79" s="24">
        <f t="shared" si="63"/>
        <v>323.50274983286511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13.8</v>
      </c>
      <c r="N80" s="14">
        <f>IF('Données projet'!$A$36&gt;35,N79+M80-V79,IF(A80&lt;'Données projet'!$A$36,$K$205^A80,IF(A80='Données projet'!$A$36,'Données projet'!$B$36,N79+M80-V79)))</f>
        <v>844.599999999999</v>
      </c>
      <c r="O80" s="14">
        <f>N80*VLOOKUP('Données projet'!$B$9,Paramètres!$A$1:$I$89,3,0)*VLOOKUP('Données projet'!$B$9,Paramètres!$A$1:$I$89,5,0)</f>
        <v>472.13139999999942</v>
      </c>
      <c r="P80" s="14">
        <f t="shared" si="87"/>
        <v>106.25613875828491</v>
      </c>
      <c r="Q80" s="22">
        <f t="shared" si="54"/>
        <v>1007.3582966706786</v>
      </c>
      <c r="R80" s="62">
        <f t="shared" si="55"/>
        <v>1300.6916300040118</v>
      </c>
      <c r="S80" s="62">
        <f ca="1">AVERAGE(OFFSET($R$3,0,0,'Données projet'!$E$9+1,1))-AVERAGE(OFFSET($H$3,0,0,'Données projet'!$E$9+1,1))</f>
        <v>500.52921520843432</v>
      </c>
      <c r="T80" s="62">
        <f t="shared" si="88"/>
        <v>430.43167430170087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113.91534692225407</v>
      </c>
      <c r="AA80" s="23">
        <f>EXP(-LN(2)/25)*AA79+(1-EXP(-LN(2)/25))/(LN(2)/25)*Calculateur!V80*Calculateur!X80*VLOOKUP('Données projet'!$B$9,Paramètres!$A$1:$I$89,3,0)*0.475*44/12</f>
        <v>23.713584104541447</v>
      </c>
      <c r="AB80" s="23">
        <f>EXP(-LN(2)/2)*AB79+(1-EXP(-LN(2)/2))/(LN(2)/2)*V80*Y80*VLOOKUP('Données projet'!$B$9,Paramètres!$A$1:$I$89,3,0)*0.475*44/12</f>
        <v>0.62216516160447977</v>
      </c>
      <c r="AC80" s="24">
        <f t="shared" si="57"/>
        <v>138.2510961884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</v>
      </c>
      <c r="AI80" s="14">
        <f>IF('Données projet'!$A$62&gt;35,AI79+AH80-AQ79,IF(A80&lt;'Données projet'!$A$62,$AF$205^A80,IF(A80='Données projet'!$A$62,'Données projet'!$B$62,AI79+AH80-AQ79)))</f>
        <v>580</v>
      </c>
      <c r="AJ80" s="14">
        <f>AI80*VLOOKUP('Données projet'!$B$10,Paramètres!$A$1:$I$89,3,0)*VLOOKUP('Données projet'!$B$10,Paramètres!$A$1:$I$89,5,0)</f>
        <v>271.44</v>
      </c>
      <c r="AK80" s="14">
        <f t="shared" si="89"/>
        <v>65.154778959151173</v>
      </c>
      <c r="AL80" s="22">
        <f t="shared" si="58"/>
        <v>586.23590668718828</v>
      </c>
      <c r="AM80" s="62">
        <f t="shared" si="59"/>
        <v>879.56924002052165</v>
      </c>
      <c r="AN80" s="62">
        <f ca="1">AVERAGE(OFFSET($AM$3,0,0,'Données projet'!$E$10+1,1))-AVERAGE(OFFSET($H$3,0,0,'Données projet'!$E$10+1,1))</f>
        <v>265.57412766850422</v>
      </c>
      <c r="AO80" s="62">
        <f t="shared" si="90"/>
        <v>179.39213799913273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19.819555760756394</v>
      </c>
      <c r="AV80" s="23">
        <f>EXP(-LN(2)/25)*AV79+(1-EXP(-LN(2)/25))/(LN(2)/25)*Calculateur!AQ80*Calculateur!AS80*VLOOKUP('Données projet'!$B$10,Paramètres!$A$1:$I$89,3,0)*0.475*44/12</f>
        <v>13.60291996872955</v>
      </c>
      <c r="AW80" s="23">
        <f>EXP(-LN(2)/2)*AW79+(1-EXP(-LN(2)/2))/(LN(2)/2)*AQ80*AT80*VLOOKUP('Données projet'!$B$10,Paramètres!$A$1:$I$89,3,0)*0.475*44/12</f>
        <v>0.35071392086465247</v>
      </c>
      <c r="AX80" s="23">
        <f t="shared" si="60"/>
        <v>33.773189650350595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-5.6843418860808015E-13</v>
      </c>
      <c r="BE80" s="14">
        <f>BD80*VLOOKUP('Données projet'!$B$11,Paramètres!$A$1:$I$89,3,0)*VLOOKUP('Données projet'!$B$11,Paramètres!$A$1:$I$89,5,0)</f>
        <v>-3.39923644787632E-13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361.81625684745416</v>
      </c>
      <c r="BJ80" s="62">
        <f t="shared" si="92"/>
        <v>302.25424592654684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273.29997485294911</v>
      </c>
      <c r="BQ80" s="23">
        <f>EXP(-LN(2)/25)*BQ79+(1-EXP(-LN(2)/25))/(LN(2)/25)*Calculateur!BL80*Calculateur!BN80*VLOOKUP('Données projet'!$B$11,Paramètres!$A$1:$I$89,3,0)*0.475*44/12</f>
        <v>25.748390964026928</v>
      </c>
      <c r="BR80" s="23">
        <f>EXP(-LN(2)/2)*BR79+(1-EXP(-LN(2)/2))/(LN(2)/2)*BL80*BO80*VLOOKUP('Données projet'!$B$11,Paramètres!$A$1:$I$89,3,0)*0.475*44/12</f>
        <v>12.914639874598453</v>
      </c>
      <c r="BS80" s="24">
        <f t="shared" si="63"/>
        <v>311.96300569157449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13.8</v>
      </c>
      <c r="N81" s="14">
        <f>IF('Données projet'!$A$36&gt;35,N80+M81-V80,IF(A81&lt;'Données projet'!$A$36,$K$205^A81,IF(A81='Données projet'!$A$36,'Données projet'!$B$36,N80+M81-V80)))</f>
        <v>858.39999999999895</v>
      </c>
      <c r="O81" s="14">
        <f>N81*VLOOKUP('Données projet'!$B$9,Paramètres!$A$1:$I$89,3,0)*VLOOKUP('Données projet'!$B$9,Paramètres!$A$1:$I$89,5,0)</f>
        <v>479.84559999999948</v>
      </c>
      <c r="P81" s="14">
        <f t="shared" si="87"/>
        <v>107.78873252908832</v>
      </c>
      <c r="Q81" s="22">
        <f t="shared" si="54"/>
        <v>1023.463129154828</v>
      </c>
      <c r="R81" s="62">
        <f t="shared" si="55"/>
        <v>1316.7964624881613</v>
      </c>
      <c r="S81" s="62">
        <f ca="1">AVERAGE(OFFSET($R$3,0,0,'Données projet'!$E$9+1,1))-AVERAGE(OFFSET($H$3,0,0,'Données projet'!$E$9+1,1))</f>
        <v>500.52921520843432</v>
      </c>
      <c r="T81" s="62">
        <f t="shared" si="88"/>
        <v>430.43167430170087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111.68153645060957</v>
      </c>
      <c r="AA81" s="23">
        <f>EXP(-LN(2)/25)*AA80+(1-EXP(-LN(2)/25))/(LN(2)/25)*Calculateur!V81*Calculateur!X81*VLOOKUP('Données projet'!$B$9,Paramètres!$A$1:$I$89,3,0)*0.475*44/12</f>
        <v>23.06513490015957</v>
      </c>
      <c r="AB81" s="23">
        <f>EXP(-LN(2)/2)*AB80+(1-EXP(-LN(2)/2))/(LN(2)/2)*V81*Y81*VLOOKUP('Données projet'!$B$9,Paramètres!$A$1:$I$89,3,0)*0.475*44/12</f>
        <v>0.43993720478855186</v>
      </c>
      <c r="AC81" s="24">
        <f t="shared" si="57"/>
        <v>135.18660855555768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</v>
      </c>
      <c r="AI81" s="14">
        <f>IF('Données projet'!$A$62&gt;35,AI80+AH81-AQ80,IF(A81&lt;'Données projet'!$A$62,$AF$205^A81,IF(A81='Données projet'!$A$62,'Données projet'!$B$62,AI80+AH81-AQ80)))</f>
        <v>590</v>
      </c>
      <c r="AJ81" s="14">
        <f>AI81*VLOOKUP('Données projet'!$B$10,Paramètres!$A$1:$I$89,3,0)*VLOOKUP('Données projet'!$B$10,Paramètres!$A$1:$I$89,5,0)</f>
        <v>276.12</v>
      </c>
      <c r="AK81" s="14">
        <f t="shared" si="89"/>
        <v>66.146388626624258</v>
      </c>
      <c r="AL81" s="22">
        <f t="shared" si="58"/>
        <v>596.11396019137055</v>
      </c>
      <c r="AM81" s="62">
        <f t="shared" si="59"/>
        <v>889.44729352470381</v>
      </c>
      <c r="AN81" s="62">
        <f ca="1">AVERAGE(OFFSET($AM$3,0,0,'Données projet'!$E$10+1,1))-AVERAGE(OFFSET($H$3,0,0,'Données projet'!$E$10+1,1))</f>
        <v>265.57412766850422</v>
      </c>
      <c r="AO81" s="62">
        <f t="shared" si="90"/>
        <v>179.39213799913273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19.430906361023311</v>
      </c>
      <c r="AV81" s="23">
        <f>EXP(-LN(2)/25)*AV80+(1-EXP(-LN(2)/25))/(LN(2)/25)*Calculateur!AQ81*Calculateur!AS81*VLOOKUP('Données projet'!$B$10,Paramètres!$A$1:$I$89,3,0)*0.475*44/12</f>
        <v>13.230947406838169</v>
      </c>
      <c r="AW81" s="23">
        <f>EXP(-LN(2)/2)*AW80+(1-EXP(-LN(2)/2))/(LN(2)/2)*AQ81*AT81*VLOOKUP('Données projet'!$B$10,Paramètres!$A$1:$I$89,3,0)*0.475*44/12</f>
        <v>0.24799219169991799</v>
      </c>
      <c r="AX81" s="23">
        <f t="shared" si="60"/>
        <v>32.909845959561395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-5.6843418860808015E-13</v>
      </c>
      <c r="BE81" s="14">
        <f>BD81*VLOOKUP('Données projet'!$B$11,Paramètres!$A$1:$I$89,3,0)*VLOOKUP('Données projet'!$B$11,Paramètres!$A$1:$I$89,5,0)</f>
        <v>-3.39923644787632E-13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361.81625684745416</v>
      </c>
      <c r="BJ81" s="62">
        <f t="shared" si="92"/>
        <v>302.25424592654684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267.94072904260753</v>
      </c>
      <c r="BQ81" s="23">
        <f>EXP(-LN(2)/25)*BQ80+(1-EXP(-LN(2)/25))/(LN(2)/25)*Calculateur!BL81*Calculateur!BN81*VLOOKUP('Données projet'!$B$11,Paramètres!$A$1:$I$89,3,0)*0.475*44/12</f>
        <v>25.04429985906658</v>
      </c>
      <c r="BR81" s="23">
        <f>EXP(-LN(2)/2)*BR80+(1-EXP(-LN(2)/2))/(LN(2)/2)*BL81*BO81*VLOOKUP('Données projet'!$B$11,Paramètres!$A$1:$I$89,3,0)*0.475*44/12</f>
        <v>9.13202943191075</v>
      </c>
      <c r="BS81" s="24">
        <f t="shared" si="63"/>
        <v>302.11705833358485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13.8</v>
      </c>
      <c r="N82" s="14">
        <f>IF('Données projet'!$A$36&gt;35,N81+M82-V81,IF(A82&lt;'Données projet'!$A$36,$K$205^A82,IF(A82='Données projet'!$A$36,'Données projet'!$B$36,N81+M82-V81)))</f>
        <v>872.19999999999891</v>
      </c>
      <c r="O82" s="14">
        <f>N82*VLOOKUP('Données projet'!$B$9,Paramètres!$A$1:$I$89,3,0)*VLOOKUP('Données projet'!$B$9,Paramètres!$A$1:$I$89,5,0)</f>
        <v>487.55979999999943</v>
      </c>
      <c r="P82" s="14">
        <f t="shared" si="87"/>
        <v>109.31846091537511</v>
      </c>
      <c r="Q82" s="22">
        <f t="shared" si="54"/>
        <v>1039.5629710942774</v>
      </c>
      <c r="R82" s="62">
        <f t="shared" si="55"/>
        <v>1332.8963044276106</v>
      </c>
      <c r="S82" s="62">
        <f ca="1">AVERAGE(OFFSET($R$3,0,0,'Données projet'!$E$9+1,1))-AVERAGE(OFFSET($H$3,0,0,'Données projet'!$E$9+1,1))</f>
        <v>500.52921520843432</v>
      </c>
      <c r="T82" s="62">
        <f t="shared" si="88"/>
        <v>430.43167430170087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109.49152963982417</v>
      </c>
      <c r="AA82" s="23">
        <f>EXP(-LN(2)/25)*AA81+(1-EXP(-LN(2)/25))/(LN(2)/25)*Calculateur!V82*Calculateur!X82*VLOOKUP('Données projet'!$B$9,Paramètres!$A$1:$I$89,3,0)*0.475*44/12</f>
        <v>22.434417573371977</v>
      </c>
      <c r="AB82" s="23">
        <f>EXP(-LN(2)/2)*AB81+(1-EXP(-LN(2)/2))/(LN(2)/2)*V82*Y82*VLOOKUP('Données projet'!$B$9,Paramètres!$A$1:$I$89,3,0)*0.475*44/12</f>
        <v>0.31108258080223988</v>
      </c>
      <c r="AC82" s="24">
        <f t="shared" si="57"/>
        <v>132.23702979399837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</v>
      </c>
      <c r="AI82" s="14">
        <f>IF('Données projet'!$A$62&gt;35,AI81+AH82-AQ81,IF(A82&lt;'Données projet'!$A$62,$AF$205^A82,IF(A82='Données projet'!$A$62,'Données projet'!$B$62,AI81+AH82-AQ81)))</f>
        <v>600</v>
      </c>
      <c r="AJ82" s="14">
        <f>AI82*VLOOKUP('Données projet'!$B$10,Paramètres!$A$1:$I$89,3,0)*VLOOKUP('Données projet'!$B$10,Paramètres!$A$1:$I$89,5,0)</f>
        <v>280.8</v>
      </c>
      <c r="AK82" s="14">
        <f t="shared" si="89"/>
        <v>67.136043795470286</v>
      </c>
      <c r="AL82" s="22">
        <f t="shared" si="58"/>
        <v>605.98860961044409</v>
      </c>
      <c r="AM82" s="62">
        <f t="shared" si="59"/>
        <v>899.32194294377746</v>
      </c>
      <c r="AN82" s="62">
        <f ca="1">AVERAGE(OFFSET($AM$3,0,0,'Données projet'!$E$10+1,1))-AVERAGE(OFFSET($H$3,0,0,'Données projet'!$E$10+1,1))</f>
        <v>265.57412766850422</v>
      </c>
      <c r="AO82" s="62">
        <f t="shared" si="90"/>
        <v>179.39213799913273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19.049878138966267</v>
      </c>
      <c r="AV82" s="23">
        <f>EXP(-LN(2)/25)*AV81+(1-EXP(-LN(2)/25))/(LN(2)/25)*Calculateur!AQ82*Calculateur!AS82*VLOOKUP('Données projet'!$B$10,Paramètres!$A$1:$I$89,3,0)*0.475*44/12</f>
        <v>12.869146454212895</v>
      </c>
      <c r="AW82" s="23">
        <f>EXP(-LN(2)/2)*AW81+(1-EXP(-LN(2)/2))/(LN(2)/2)*AQ82*AT82*VLOOKUP('Données projet'!$B$10,Paramètres!$A$1:$I$89,3,0)*0.475*44/12</f>
        <v>0.17535696043232626</v>
      </c>
      <c r="AX82" s="23">
        <f t="shared" si="60"/>
        <v>32.094381553611491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-5.6843418860808015E-13</v>
      </c>
      <c r="BE82" s="14">
        <f>BD82*VLOOKUP('Données projet'!$B$11,Paramètres!$A$1:$I$89,3,0)*VLOOKUP('Données projet'!$B$11,Paramètres!$A$1:$I$89,5,0)</f>
        <v>-3.39923644787632E-13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361.81625684745416</v>
      </c>
      <c r="BJ82" s="62">
        <f t="shared" si="92"/>
        <v>302.25424592654684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262.68657477378957</v>
      </c>
      <c r="BQ82" s="23">
        <f>EXP(-LN(2)/25)*BQ81+(1-EXP(-LN(2)/25))/(LN(2)/25)*Calculateur!BL82*Calculateur!BN82*VLOOKUP('Données projet'!$B$11,Paramètres!$A$1:$I$89,3,0)*0.475*44/12</f>
        <v>24.359462162397914</v>
      </c>
      <c r="BR82" s="23">
        <f>EXP(-LN(2)/2)*BR81+(1-EXP(-LN(2)/2))/(LN(2)/2)*BL82*BO82*VLOOKUP('Données projet'!$B$11,Paramètres!$A$1:$I$89,3,0)*0.475*44/12</f>
        <v>6.4573199372992267</v>
      </c>
      <c r="BS82" s="24">
        <f t="shared" si="63"/>
        <v>293.50335687348672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886</v>
      </c>
      <c r="L83" s="13">
        <f>VLOOKUP(A83,'Données projet'!$A$35:$I$55,9,0)</f>
        <v>13.8</v>
      </c>
      <c r="M83" s="13">
        <f t="array" ref="M83">INDEX(L:L,MIN(IF(ISNUMBER(L83:L279),ROW(L83:L279),"")))</f>
        <v>13.8</v>
      </c>
      <c r="N83" s="14">
        <f>IF('Données projet'!$A$36&gt;35,N82+M83-V82,IF(A83&lt;'Données projet'!$A$36,$K$205^A83,IF(A83='Données projet'!$A$36,'Données projet'!$B$36,N82+M83-V82)))</f>
        <v>885.99999999999886</v>
      </c>
      <c r="O83" s="14">
        <f>N83*VLOOKUP('Données projet'!$B$9,Paramètres!$A$1:$I$89,3,0)*VLOOKUP('Données projet'!$B$9,Paramètres!$A$1:$I$89,5,0)</f>
        <v>495.27399999999938</v>
      </c>
      <c r="P83" s="14">
        <f t="shared" si="87"/>
        <v>110.84537448824393</v>
      </c>
      <c r="Q83" s="22">
        <f t="shared" si="54"/>
        <v>1055.6579105670237</v>
      </c>
      <c r="R83" s="62">
        <f t="shared" si="55"/>
        <v>1348.9912439003569</v>
      </c>
      <c r="S83" s="62">
        <f ca="1">AVERAGE(OFFSET($R$3,0,0,'Données projet'!$E$9+1,1))-AVERAGE(OFFSET($H$3,0,0,'Données projet'!$E$9+1,1))</f>
        <v>500.52921520843432</v>
      </c>
      <c r="T83" s="62">
        <f t="shared" si="88"/>
        <v>430.43167430170087</v>
      </c>
      <c r="U83" s="16">
        <f>IF(ISNA(VLOOKUP(A83,'Données projet'!$A$35:$I$55,3,0)),0,VLOOKUP(A83,'Données projet'!$A$35:$I$55,3,0))</f>
        <v>15</v>
      </c>
      <c r="V83" s="16">
        <f>IF(ISNA(VLOOKUP(A83,'Données projet'!$A$35:$I$55,4,0)),0,VLOOKUP(A83,'Données projet'!$A$35:$I$55,4,0))</f>
        <v>886</v>
      </c>
      <c r="W83" s="17">
        <f>IF(ISNA(VLOOKUP(A83,'Données projet'!$A$35:$I$55,5,0)),0%,VLOOKUP(A83,'Données projet'!$A$35:$I$55,5,0)*VLOOKUP('Données projet'!$B$9,Paramètres!$A$1:$I$89,7,0))</f>
        <v>0.49500000000000005</v>
      </c>
      <c r="X83" s="17">
        <f>IF(ISNA(VLOOKUP(A83,'Données projet'!$A$35:$I$55,6,0)),0%,VLOOKUP(A83,'Données projet'!$A$35:$I$55,6,0)*VLOOKUP('Données projet'!$B$9,Paramètres!$A$1:$I$89,7,0))</f>
        <v>3.3000000000000002E-2</v>
      </c>
      <c r="Y83" s="17">
        <f>IF(ISNA(VLOOKUP(A83,'Données projet'!$A$35:$I$55,7,0)),0%,VLOOKUP(A83,'Données projet'!$A$35:$I$55,7,0))</f>
        <v>0.04</v>
      </c>
      <c r="Z83" s="23">
        <f>EXP(-LN(2)/35)*Z82+(1-EXP(-LN(2)/35))/(LN(2)/35)*V83*W83*VLOOKUP('Données projet'!$B$9,Paramètres!$A$1:$I$89,3,0)*0.475*44/12</f>
        <v>432.56584515799068</v>
      </c>
      <c r="AA83" s="23">
        <f>EXP(-LN(2)/25)*AA82+(1-EXP(-LN(2)/25))/(LN(2)/25)*Calculateur!V83*Calculateur!X83*VLOOKUP('Données projet'!$B$9,Paramètres!$A$1:$I$89,3,0)*0.475*44/12</f>
        <v>43.417004388278087</v>
      </c>
      <c r="AB83" s="23">
        <f>EXP(-LN(2)/2)*AB82+(1-EXP(-LN(2)/2))/(LN(2)/2)*V83*Y83*VLOOKUP('Données projet'!$B$9,Paramètres!$A$1:$I$89,3,0)*0.475*44/12</f>
        <v>22.65057735939919</v>
      </c>
      <c r="AC83" s="24">
        <f t="shared" si="57"/>
        <v>498.63342690566793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610</v>
      </c>
      <c r="AG83" s="13">
        <f>VLOOKUP(A83,'Données projet'!$A$61:$I$81,9,0)</f>
        <v>10</v>
      </c>
      <c r="AH83" s="13">
        <f t="array" ref="AH83">INDEX(AG:AG,MIN(IF(ISNUMBER(AG83:AG279),ROW(AG83:AG279),"")))</f>
        <v>10</v>
      </c>
      <c r="AI83" s="14">
        <f>IF('Données projet'!$A$62&gt;35,AI82+AH83-AQ82,IF(A83&lt;'Données projet'!$A$62,$AF$205^A83,IF(A83='Données projet'!$A$62,'Données projet'!$B$62,AI82+AH83-AQ82)))</f>
        <v>610</v>
      </c>
      <c r="AJ83" s="14">
        <f>AI83*VLOOKUP('Données projet'!$B$10,Paramètres!$A$1:$I$89,3,0)*VLOOKUP('Données projet'!$B$10,Paramètres!$A$1:$I$89,5,0)</f>
        <v>285.48</v>
      </c>
      <c r="AK83" s="14">
        <f t="shared" si="89"/>
        <v>68.123780800530767</v>
      </c>
      <c r="AL83" s="22">
        <f t="shared" si="58"/>
        <v>615.85991822759104</v>
      </c>
      <c r="AM83" s="62">
        <f t="shared" si="59"/>
        <v>909.19325156092441</v>
      </c>
      <c r="AN83" s="62">
        <f ca="1">AVERAGE(OFFSET($AM$3,0,0,'Données projet'!$E$10+1,1))-AVERAGE(OFFSET($H$3,0,0,'Données projet'!$E$10+1,1))</f>
        <v>265.57412766850422</v>
      </c>
      <c r="AO83" s="62">
        <f t="shared" si="90"/>
        <v>179.39213799913273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30</v>
      </c>
      <c r="AR83" s="17">
        <f>IF(ISNA(VLOOKUP(A83,'Données projet'!$A$61:$I$81,5,0)),0%,VLOOKUP(A83,'Données projet'!$A$61:$I$81,5,0)*VLOOKUP('Données projet'!$B$10,Paramètres!$A$1:$I$89,7,0))</f>
        <v>0.38500000000000001</v>
      </c>
      <c r="AS83" s="17">
        <f>IF(ISNA(VLOOKUP(A83,'Données projet'!$A$61:$I$81,6,0)),0%,VLOOKUP(A83,'Données projet'!$A$61:$I$81,6,0)*VLOOKUP('Données projet'!$B$10,Paramètres!$A$1:$I$89,7,0))</f>
        <v>9.3500000000000014E-2</v>
      </c>
      <c r="AT83" s="17">
        <f>IF(ISNA(VLOOKUP(A83,'Données projet'!$A$61:$I$81,7,0)),0%,VLOOKUP(A83,'Données projet'!$A$61:$I$81,7,0))</f>
        <v>0.13</v>
      </c>
      <c r="AU83" s="23">
        <f>EXP(-LN(2)/35)*AU82+(1-EXP(-LN(2)/35))/(LN(2)/35)*AQ83*AR83*VLOOKUP('Données projet'!$B$10,Paramètres!$A$1:$I$89,3,0)*0.475*44/12</f>
        <v>25.846933155372383</v>
      </c>
      <c r="AV83" s="23">
        <f>EXP(-LN(2)/25)*AV82+(1-EXP(-LN(2)/25))/(LN(2)/25)*Calculateur!AQ83*Calculateur!AS83*VLOOKUP('Données projet'!$B$10,Paramètres!$A$1:$I$89,3,0)*0.475*44/12</f>
        <v>14.251816500821818</v>
      </c>
      <c r="AW83" s="23">
        <f>EXP(-LN(2)/2)*AW82+(1-EXP(-LN(2)/2))/(LN(2)/2)*AQ83*AT83*VLOOKUP('Données projet'!$B$10,Paramètres!$A$1:$I$89,3,0)*0.475*44/12</f>
        <v>2.1905464852952643</v>
      </c>
      <c r="AX83" s="23">
        <f t="shared" si="60"/>
        <v>42.289296141489466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-5.6843418860808015E-13</v>
      </c>
      <c r="BE83" s="14">
        <f>BD83*VLOOKUP('Données projet'!$B$11,Paramètres!$A$1:$I$89,3,0)*VLOOKUP('Données projet'!$B$11,Paramètres!$A$1:$I$89,5,0)</f>
        <v>-3.39923644787632E-13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361.81625684745416</v>
      </c>
      <c r="BJ83" s="62">
        <f t="shared" si="92"/>
        <v>302.25424592654684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257.53545126546544</v>
      </c>
      <c r="BQ83" s="23">
        <f>EXP(-LN(2)/25)*BQ82+(1-EXP(-LN(2)/25))/(LN(2)/25)*Calculateur!BL83*Calculateur!BN83*VLOOKUP('Données projet'!$B$11,Paramètres!$A$1:$I$89,3,0)*0.475*44/12</f>
        <v>23.693351388558703</v>
      </c>
      <c r="BR83" s="23">
        <f>EXP(-LN(2)/2)*BR82+(1-EXP(-LN(2)/2))/(LN(2)/2)*BL83*BO83*VLOOKUP('Données projet'!$B$11,Paramètres!$A$1:$I$89,3,0)*0.475*44/12</f>
        <v>4.566014715955375</v>
      </c>
      <c r="BS83" s="24">
        <f t="shared" si="63"/>
        <v>285.79481736997951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-1.1368683772161603E-12</v>
      </c>
      <c r="O84" s="14">
        <f>N84*VLOOKUP('Données projet'!$B$9,Paramètres!$A$1:$I$89,3,0)*VLOOKUP('Données projet'!$B$9,Paramètres!$A$1:$I$89,5,0)</f>
        <v>-6.3550942286383359E-13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500.52921520843432</v>
      </c>
      <c r="T84" s="62">
        <f t="shared" si="88"/>
        <v>430.43167430170087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424.08349277355609</v>
      </c>
      <c r="AA84" s="23">
        <f>EXP(-LN(2)/25)*AA83+(1-EXP(-LN(2)/25))/(LN(2)/25)*Calculateur!V84*Calculateur!X84*VLOOKUP('Données projet'!$B$9,Paramètres!$A$1:$I$89,3,0)*0.475*44/12</f>
        <v>42.229764120079594</v>
      </c>
      <c r="AB84" s="23">
        <f>EXP(-LN(2)/2)*AB83+(1-EXP(-LN(2)/2))/(LN(2)/2)*V84*Y84*VLOOKUP('Données projet'!$B$9,Paramètres!$A$1:$I$89,3,0)*0.475*44/12</f>
        <v>16.01637684862165</v>
      </c>
      <c r="AC84" s="24">
        <f t="shared" si="57"/>
        <v>482.32963374225733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</v>
      </c>
      <c r="AI84" s="14">
        <f>IF('Données projet'!$A$62&gt;35,AI83+AH84-AQ83,IF(A84&lt;'Données projet'!$A$62,$AF$205^A84,IF(A84='Données projet'!$A$62,'Données projet'!$B$62,AI83+AH84-AQ83)))</f>
        <v>586</v>
      </c>
      <c r="AJ84" s="14">
        <f>AI84*VLOOKUP('Données projet'!$B$10,Paramètres!$A$1:$I$89,3,0)*VLOOKUP('Données projet'!$B$10,Paramètres!$A$1:$I$89,5,0)</f>
        <v>274.24799999999999</v>
      </c>
      <c r="AK84" s="14">
        <f t="shared" si="89"/>
        <v>65.749981378063481</v>
      </c>
      <c r="AL84" s="22">
        <f t="shared" si="58"/>
        <v>592.16315090012722</v>
      </c>
      <c r="AM84" s="62">
        <f t="shared" si="59"/>
        <v>885.49648423346048</v>
      </c>
      <c r="AN84" s="62">
        <f ca="1">AVERAGE(OFFSET($AM$3,0,0,'Données projet'!$E$10+1,1))-AVERAGE(OFFSET($H$3,0,0,'Données projet'!$E$10+1,1))</f>
        <v>265.57412766850422</v>
      </c>
      <c r="AO84" s="62">
        <f t="shared" si="90"/>
        <v>179.39213799913273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25.340090561268084</v>
      </c>
      <c r="AV84" s="23">
        <f>EXP(-LN(2)/25)*AV83+(1-EXP(-LN(2)/25))/(LN(2)/25)*Calculateur!AQ84*Calculateur!AS84*VLOOKUP('Données projet'!$B$10,Paramètres!$A$1:$I$89,3,0)*0.475*44/12</f>
        <v>13.862099829136389</v>
      </c>
      <c r="AW84" s="23">
        <f>EXP(-LN(2)/2)*AW83+(1-EXP(-LN(2)/2))/(LN(2)/2)*AQ84*AT84*VLOOKUP('Données projet'!$B$10,Paramètres!$A$1:$I$89,3,0)*0.475*44/12</f>
        <v>1.5489502742566392</v>
      </c>
      <c r="AX84" s="23">
        <f t="shared" si="60"/>
        <v>40.751140664661115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-5.6843418860808015E-13</v>
      </c>
      <c r="BE84" s="14">
        <f>BD84*VLOOKUP('Données projet'!$B$11,Paramètres!$A$1:$I$89,3,0)*VLOOKUP('Données projet'!$B$11,Paramètres!$A$1:$I$89,5,0)</f>
        <v>-3.39923644787632E-13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361.81625684745416</v>
      </c>
      <c r="BJ84" s="62">
        <f t="shared" si="92"/>
        <v>302.25424592654684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252.48533814726446</v>
      </c>
      <c r="BQ84" s="23">
        <f>EXP(-LN(2)/25)*BQ83+(1-EXP(-LN(2)/25))/(LN(2)/25)*Calculateur!BL84*Calculateur!BN84*VLOOKUP('Données projet'!$B$11,Paramètres!$A$1:$I$89,3,0)*0.475*44/12</f>
        <v>23.045455448859368</v>
      </c>
      <c r="BR84" s="23">
        <f>EXP(-LN(2)/2)*BR83+(1-EXP(-LN(2)/2))/(LN(2)/2)*BL84*BO84*VLOOKUP('Données projet'!$B$11,Paramètres!$A$1:$I$89,3,0)*0.475*44/12</f>
        <v>3.2286599686496134</v>
      </c>
      <c r="BS84" s="24">
        <f t="shared" si="63"/>
        <v>278.75945356477342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-1.1368683772161603E-12</v>
      </c>
      <c r="O85" s="14">
        <f>N85*VLOOKUP('Données projet'!$B$9,Paramètres!$A$1:$I$89,3,0)*VLOOKUP('Données projet'!$B$9,Paramètres!$A$1:$I$89,5,0)</f>
        <v>-6.3550942286383359E-13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500.52921520843432</v>
      </c>
      <c r="T85" s="62">
        <f t="shared" si="88"/>
        <v>430.43167430170087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415.76747414565614</v>
      </c>
      <c r="AA85" s="23">
        <f>EXP(-LN(2)/25)*AA84+(1-EXP(-LN(2)/25))/(LN(2)/25)*Calculateur!V85*Calculateur!X85*VLOOKUP('Données projet'!$B$9,Paramètres!$A$1:$I$89,3,0)*0.475*44/12</f>
        <v>41.074988999449239</v>
      </c>
      <c r="AB85" s="23">
        <f>EXP(-LN(2)/2)*AB84+(1-EXP(-LN(2)/2))/(LN(2)/2)*V85*Y85*VLOOKUP('Données projet'!$B$9,Paramètres!$A$1:$I$89,3,0)*0.475*44/12</f>
        <v>11.325288679699597</v>
      </c>
      <c r="AC85" s="24">
        <f t="shared" si="57"/>
        <v>468.16775182480501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</v>
      </c>
      <c r="AI85" s="14">
        <f>IF('Données projet'!$A$62&gt;35,AI84+AH85-AQ84,IF(A85&lt;'Données projet'!$A$62,$AF$205^A85,IF(A85='Données projet'!$A$62,'Données projet'!$B$62,AI84+AH85-AQ84)))</f>
        <v>592</v>
      </c>
      <c r="AJ85" s="14">
        <f>AI85*VLOOKUP('Données projet'!$B$10,Paramètres!$A$1:$I$89,3,0)*VLOOKUP('Données projet'!$B$10,Paramètres!$A$1:$I$89,5,0)</f>
        <v>277.05600000000004</v>
      </c>
      <c r="AK85" s="14">
        <f t="shared" si="89"/>
        <v>66.344474838897852</v>
      </c>
      <c r="AL85" s="22">
        <f t="shared" si="58"/>
        <v>598.0891603444137</v>
      </c>
      <c r="AM85" s="62">
        <f t="shared" si="59"/>
        <v>891.42249367774707</v>
      </c>
      <c r="AN85" s="62">
        <f ca="1">AVERAGE(OFFSET($AM$3,0,0,'Données projet'!$E$10+1,1))-AVERAGE(OFFSET($H$3,0,0,'Données projet'!$E$10+1,1))</f>
        <v>265.57412766850422</v>
      </c>
      <c r="AO85" s="62">
        <f t="shared" si="90"/>
        <v>179.39213799913273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24.843186841290713</v>
      </c>
      <c r="AV85" s="23">
        <f>EXP(-LN(2)/25)*AV84+(1-EXP(-LN(2)/25))/(LN(2)/25)*Calculateur!AQ85*Calculateur!AS85*VLOOKUP('Données projet'!$B$10,Paramètres!$A$1:$I$89,3,0)*0.475*44/12</f>
        <v>13.483039980332507</v>
      </c>
      <c r="AW85" s="23">
        <f>EXP(-LN(2)/2)*AW84+(1-EXP(-LN(2)/2))/(LN(2)/2)*AQ85*AT85*VLOOKUP('Données projet'!$B$10,Paramètres!$A$1:$I$89,3,0)*0.475*44/12</f>
        <v>1.0952732426476322</v>
      </c>
      <c r="AX85" s="23">
        <f t="shared" si="60"/>
        <v>39.421500064270852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-5.6843418860808015E-13</v>
      </c>
      <c r="BE85" s="14">
        <f>BD85*VLOOKUP('Données projet'!$B$11,Paramètres!$A$1:$I$89,3,0)*VLOOKUP('Données projet'!$B$11,Paramètres!$A$1:$I$89,5,0)</f>
        <v>-3.39923644787632E-13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361.81625684745416</v>
      </c>
      <c r="BJ85" s="62">
        <f t="shared" si="92"/>
        <v>302.25424592654684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247.53425466704655</v>
      </c>
      <c r="BQ85" s="23">
        <f>EXP(-LN(2)/25)*BQ84+(1-EXP(-LN(2)/25))/(LN(2)/25)*Calculateur!BL85*Calculateur!BN85*VLOOKUP('Données projet'!$B$11,Paramètres!$A$1:$I$89,3,0)*0.475*44/12</f>
        <v>22.415276257702477</v>
      </c>
      <c r="BR85" s="23">
        <f>EXP(-LN(2)/2)*BR84+(1-EXP(-LN(2)/2))/(LN(2)/2)*BL85*BO85*VLOOKUP('Données projet'!$B$11,Paramètres!$A$1:$I$89,3,0)*0.475*44/12</f>
        <v>2.2830073579776875</v>
      </c>
      <c r="BS85" s="24">
        <f t="shared" si="63"/>
        <v>272.23253828272669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-1.1368683772161603E-12</v>
      </c>
      <c r="O86" s="14">
        <f>N86*VLOOKUP('Données projet'!$B$9,Paramètres!$A$1:$I$89,3,0)*VLOOKUP('Données projet'!$B$9,Paramètres!$A$1:$I$89,5,0)</f>
        <v>-6.3550942286383359E-13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500.52921520843432</v>
      </c>
      <c r="T86" s="62">
        <f t="shared" si="88"/>
        <v>430.43167430170087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407.61452757077882</v>
      </c>
      <c r="AA86" s="23">
        <f>EXP(-LN(2)/25)*AA85+(1-EXP(-LN(2)/25))/(LN(2)/25)*Calculateur!V86*Calculateur!X86*VLOOKUP('Données projet'!$B$9,Paramètres!$A$1:$I$89,3,0)*0.475*44/12</f>
        <v>39.951791265219505</v>
      </c>
      <c r="AB86" s="23">
        <f>EXP(-LN(2)/2)*AB85+(1-EXP(-LN(2)/2))/(LN(2)/2)*V86*Y86*VLOOKUP('Données projet'!$B$9,Paramètres!$A$1:$I$89,3,0)*0.475*44/12</f>
        <v>8.008188424310827</v>
      </c>
      <c r="AC86" s="24">
        <f t="shared" si="57"/>
        <v>455.57450726030919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</v>
      </c>
      <c r="AI86" s="14">
        <f>IF('Données projet'!$A$62&gt;35,AI85+AH86-AQ85,IF(A86&lt;'Données projet'!$A$62,$AF$205^A86,IF(A86='Données projet'!$A$62,'Données projet'!$B$62,AI85+AH86-AQ85)))</f>
        <v>598</v>
      </c>
      <c r="AJ86" s="14">
        <f>AI86*VLOOKUP('Données projet'!$B$10,Paramètres!$A$1:$I$89,3,0)*VLOOKUP('Données projet'!$B$10,Paramètres!$A$1:$I$89,5,0)</f>
        <v>279.86400000000003</v>
      </c>
      <c r="AK86" s="14">
        <f t="shared" si="89"/>
        <v>66.938267358965064</v>
      </c>
      <c r="AL86" s="22">
        <f t="shared" si="58"/>
        <v>604.01394898353078</v>
      </c>
      <c r="AM86" s="62">
        <f t="shared" si="59"/>
        <v>897.34728231686404</v>
      </c>
      <c r="AN86" s="62">
        <f ca="1">AVERAGE(OFFSET($AM$3,0,0,'Données projet'!$E$10+1,1))-AVERAGE(OFFSET($H$3,0,0,'Données projet'!$E$10+1,1))</f>
        <v>265.57412766850422</v>
      </c>
      <c r="AO86" s="62">
        <f t="shared" si="90"/>
        <v>179.39213799913273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24.356027100180757</v>
      </c>
      <c r="AV86" s="23">
        <f>EXP(-LN(2)/25)*AV85+(1-EXP(-LN(2)/25))/(LN(2)/25)*Calculateur!AQ86*Calculateur!AS86*VLOOKUP('Données projet'!$B$10,Paramètres!$A$1:$I$89,3,0)*0.475*44/12</f>
        <v>13.114345543028058</v>
      </c>
      <c r="AW86" s="23">
        <f>EXP(-LN(2)/2)*AW85+(1-EXP(-LN(2)/2))/(LN(2)/2)*AQ86*AT86*VLOOKUP('Données projet'!$B$10,Paramètres!$A$1:$I$89,3,0)*0.475*44/12</f>
        <v>0.77447513712831961</v>
      </c>
      <c r="AX86" s="23">
        <f t="shared" si="60"/>
        <v>38.244847780337139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-5.6843418860808015E-13</v>
      </c>
      <c r="BE86" s="14">
        <f>BD86*VLOOKUP('Données projet'!$B$11,Paramètres!$A$1:$I$89,3,0)*VLOOKUP('Données projet'!$B$11,Paramètres!$A$1:$I$89,5,0)</f>
        <v>-3.39923644787632E-13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361.81625684745416</v>
      </c>
      <c r="BJ86" s="62">
        <f t="shared" si="92"/>
        <v>302.25424592654684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242.680258914013</v>
      </c>
      <c r="BQ86" s="23">
        <f>EXP(-LN(2)/25)*BQ85+(1-EXP(-LN(2)/25))/(LN(2)/25)*Calculateur!BL86*Calculateur!BN86*VLOOKUP('Données projet'!$B$11,Paramètres!$A$1:$I$89,3,0)*0.475*44/12</f>
        <v>21.802329349667456</v>
      </c>
      <c r="BR86" s="23">
        <f>EXP(-LN(2)/2)*BR85+(1-EXP(-LN(2)/2))/(LN(2)/2)*BL86*BO86*VLOOKUP('Données projet'!$B$11,Paramètres!$A$1:$I$89,3,0)*0.475*44/12</f>
        <v>1.6143299843248067</v>
      </c>
      <c r="BS86" s="24">
        <f t="shared" si="63"/>
        <v>266.09691824800524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-1.1368683772161603E-12</v>
      </c>
      <c r="O87" s="14">
        <f>N87*VLOOKUP('Données projet'!$B$9,Paramètres!$A$1:$I$89,3,0)*VLOOKUP('Données projet'!$B$9,Paramètres!$A$1:$I$89,5,0)</f>
        <v>-6.3550942286383359E-13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500.52921520843432</v>
      </c>
      <c r="T87" s="62">
        <f t="shared" si="88"/>
        <v>430.43167430170087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399.62145530542847</v>
      </c>
      <c r="AA87" s="23">
        <f>EXP(-LN(2)/25)*AA86+(1-EXP(-LN(2)/25))/(LN(2)/25)*Calculateur!V87*Calculateur!X87*VLOOKUP('Données projet'!$B$9,Paramètres!$A$1:$I$89,3,0)*0.475*44/12</f>
        <v>38.859307432098689</v>
      </c>
      <c r="AB87" s="23">
        <f>EXP(-LN(2)/2)*AB86+(1-EXP(-LN(2)/2))/(LN(2)/2)*V87*Y87*VLOOKUP('Données projet'!$B$9,Paramètres!$A$1:$I$89,3,0)*0.475*44/12</f>
        <v>5.6626443398497992</v>
      </c>
      <c r="AC87" s="24">
        <f t="shared" si="57"/>
        <v>444.14340707737693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</v>
      </c>
      <c r="AI87" s="14">
        <f>IF('Données projet'!$A$62&gt;35,AI86+AH87-AQ86,IF(A87&lt;'Données projet'!$A$62,$AF$205^A87,IF(A87='Données projet'!$A$62,'Données projet'!$B$62,AI86+AH87-AQ86)))</f>
        <v>604</v>
      </c>
      <c r="AJ87" s="14">
        <f>AI87*VLOOKUP('Données projet'!$B$10,Paramètres!$A$1:$I$89,3,0)*VLOOKUP('Données projet'!$B$10,Paramètres!$A$1:$I$89,5,0)</f>
        <v>282.67200000000003</v>
      </c>
      <c r="AK87" s="14">
        <f t="shared" si="89"/>
        <v>67.531366785420772</v>
      </c>
      <c r="AL87" s="22">
        <f t="shared" si="58"/>
        <v>609.93753048460792</v>
      </c>
      <c r="AM87" s="62">
        <f t="shared" si="59"/>
        <v>903.27086381794129</v>
      </c>
      <c r="AN87" s="62">
        <f ca="1">AVERAGE(OFFSET($AM$3,0,0,'Données projet'!$E$10+1,1))-AVERAGE(OFFSET($H$3,0,0,'Données projet'!$E$10+1,1))</f>
        <v>265.57412766850422</v>
      </c>
      <c r="AO87" s="62">
        <f t="shared" si="90"/>
        <v>179.39213799913273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23.878420264455865</v>
      </c>
      <c r="AV87" s="23">
        <f>EXP(-LN(2)/25)*AV86+(1-EXP(-LN(2)/25))/(LN(2)/25)*Calculateur!AQ87*Calculateur!AS87*VLOOKUP('Données projet'!$B$10,Paramètres!$A$1:$I$89,3,0)*0.475*44/12</f>
        <v>12.755733074500498</v>
      </c>
      <c r="AW87" s="23">
        <f>EXP(-LN(2)/2)*AW86+(1-EXP(-LN(2)/2))/(LN(2)/2)*AQ87*AT87*VLOOKUP('Données projet'!$B$10,Paramètres!$A$1:$I$89,3,0)*0.475*44/12</f>
        <v>0.54763662132381608</v>
      </c>
      <c r="AX87" s="23">
        <f t="shared" si="60"/>
        <v>37.181789960280184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-5.6843418860808015E-13</v>
      </c>
      <c r="BE87" s="14">
        <f>BD87*VLOOKUP('Données projet'!$B$11,Paramètres!$A$1:$I$89,3,0)*VLOOKUP('Données projet'!$B$11,Paramètres!$A$1:$I$89,5,0)</f>
        <v>-3.39923644787632E-13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361.81625684745416</v>
      </c>
      <c r="BJ87" s="62">
        <f t="shared" si="92"/>
        <v>302.25424592654684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237.92144705705135</v>
      </c>
      <c r="BQ87" s="23">
        <f>EXP(-LN(2)/25)*BQ86+(1-EXP(-LN(2)/25))/(LN(2)/25)*Calculateur!BL87*Calculateur!BN87*VLOOKUP('Données projet'!$B$11,Paramètres!$A$1:$I$89,3,0)*0.475*44/12</f>
        <v>21.20614350706613</v>
      </c>
      <c r="BR87" s="23">
        <f>EXP(-LN(2)/2)*BR86+(1-EXP(-LN(2)/2))/(LN(2)/2)*BL87*BO87*VLOOKUP('Données projet'!$B$11,Paramètres!$A$1:$I$89,3,0)*0.475*44/12</f>
        <v>1.1415036789888438</v>
      </c>
      <c r="BS87" s="24">
        <f t="shared" si="63"/>
        <v>260.26909424310634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-1.1368683772161603E-12</v>
      </c>
      <c r="O88" s="14">
        <f>N88*VLOOKUP('Données projet'!$B$9,Paramètres!$A$1:$I$89,3,0)*VLOOKUP('Données projet'!$B$9,Paramètres!$A$1:$I$89,5,0)</f>
        <v>-6.3550942286383359E-13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500.52921520843432</v>
      </c>
      <c r="T88" s="62">
        <f t="shared" si="88"/>
        <v>430.43167430170087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391.78512231190894</v>
      </c>
      <c r="AA88" s="23">
        <f>EXP(-LN(2)/25)*AA87+(1-EXP(-LN(2)/25))/(LN(2)/25)*Calculateur!V88*Calculateur!X88*VLOOKUP('Données projet'!$B$9,Paramètres!$A$1:$I$89,3,0)*0.475*44/12</f>
        <v>37.796697626845784</v>
      </c>
      <c r="AB88" s="23">
        <f>EXP(-LN(2)/2)*AB87+(1-EXP(-LN(2)/2))/(LN(2)/2)*V88*Y88*VLOOKUP('Données projet'!$B$9,Paramètres!$A$1:$I$89,3,0)*0.475*44/12</f>
        <v>4.0040942121554144</v>
      </c>
      <c r="AC88" s="24">
        <f t="shared" si="57"/>
        <v>433.58591415091013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6</v>
      </c>
      <c r="AI88" s="14">
        <f>IF('Données projet'!$A$62&gt;35,AI87+AH88-AQ87,IF(A88&lt;'Données projet'!$A$62,$AF$205^A88,IF(A88='Données projet'!$A$62,'Données projet'!$B$62,AI87+AH88-AQ87)))</f>
        <v>610</v>
      </c>
      <c r="AJ88" s="14">
        <f>AI88*VLOOKUP('Données projet'!$B$10,Paramètres!$A$1:$I$89,3,0)*VLOOKUP('Données projet'!$B$10,Paramètres!$A$1:$I$89,5,0)</f>
        <v>285.48</v>
      </c>
      <c r="AK88" s="14">
        <f t="shared" si="89"/>
        <v>68.123780800530767</v>
      </c>
      <c r="AL88" s="22">
        <f t="shared" si="58"/>
        <v>615.85991822759104</v>
      </c>
      <c r="AM88" s="62">
        <f t="shared" si="59"/>
        <v>909.19325156092441</v>
      </c>
      <c r="AN88" s="62">
        <f ca="1">AVERAGE(OFFSET($AM$3,0,0,'Données projet'!$E$10+1,1))-AVERAGE(OFFSET($H$3,0,0,'Données projet'!$E$10+1,1))</f>
        <v>265.57412766850422</v>
      </c>
      <c r="AO88" s="62">
        <f t="shared" si="90"/>
        <v>179.39213799913273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23.410179007468134</v>
      </c>
      <c r="AV88" s="23">
        <f>EXP(-LN(2)/25)*AV87+(1-EXP(-LN(2)/25))/(LN(2)/25)*Calculateur!AQ88*Calculateur!AS88*VLOOKUP('Données projet'!$B$10,Paramètres!$A$1:$I$89,3,0)*0.475*44/12</f>
        <v>12.406926882783432</v>
      </c>
      <c r="AW88" s="23">
        <f>EXP(-LN(2)/2)*AW87+(1-EXP(-LN(2)/2))/(LN(2)/2)*AQ88*AT88*VLOOKUP('Données projet'!$B$10,Paramètres!$A$1:$I$89,3,0)*0.475*44/12</f>
        <v>0.38723756856415981</v>
      </c>
      <c r="AX88" s="23">
        <f t="shared" si="60"/>
        <v>36.204343458815728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-5.6843418860808015E-13</v>
      </c>
      <c r="BE88" s="14">
        <f>BD88*VLOOKUP('Données projet'!$B$11,Paramètres!$A$1:$I$89,3,0)*VLOOKUP('Données projet'!$B$11,Paramètres!$A$1:$I$89,5,0)</f>
        <v>-3.39923644787632E-13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361.81625684745416</v>
      </c>
      <c r="BJ88" s="62">
        <f t="shared" si="92"/>
        <v>302.25424592654684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233.25595259801608</v>
      </c>
      <c r="BQ88" s="23">
        <f>EXP(-LN(2)/25)*BQ87+(1-EXP(-LN(2)/25))/(LN(2)/25)*Calculateur!BL88*Calculateur!BN88*VLOOKUP('Données projet'!$B$11,Paramètres!$A$1:$I$89,3,0)*0.475*44/12</f>
        <v>20.626260397682788</v>
      </c>
      <c r="BR88" s="23">
        <f>EXP(-LN(2)/2)*BR87+(1-EXP(-LN(2)/2))/(LN(2)/2)*BL88*BO88*VLOOKUP('Données projet'!$B$11,Paramètres!$A$1:$I$89,3,0)*0.475*44/12</f>
        <v>0.80716499216240334</v>
      </c>
      <c r="BS88" s="24">
        <f t="shared" si="63"/>
        <v>254.68937798786126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-1.1368683772161603E-12</v>
      </c>
      <c r="O89" s="14">
        <f>N89*VLOOKUP('Données projet'!$B$9,Paramètres!$A$1:$I$89,3,0)*VLOOKUP('Données projet'!$B$9,Paramètres!$A$1:$I$89,5,0)</f>
        <v>-6.3550942286383359E-13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500.52921520843432</v>
      </c>
      <c r="T89" s="62">
        <f t="shared" si="88"/>
        <v>430.43167430170087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384.10245502870117</v>
      </c>
      <c r="AA89" s="23">
        <f>EXP(-LN(2)/25)*AA88+(1-EXP(-LN(2)/25))/(LN(2)/25)*Calculateur!V89*Calculateur!X89*VLOOKUP('Données projet'!$B$9,Paramètres!$A$1:$I$89,3,0)*0.475*44/12</f>
        <v>36.763144942597741</v>
      </c>
      <c r="AB89" s="23">
        <f>EXP(-LN(2)/2)*AB88+(1-EXP(-LN(2)/2))/(LN(2)/2)*V89*Y89*VLOOKUP('Données projet'!$B$9,Paramètres!$A$1:$I$89,3,0)*0.475*44/12</f>
        <v>2.8313221699249</v>
      </c>
      <c r="AC89" s="24">
        <f t="shared" si="57"/>
        <v>423.69692214122381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</v>
      </c>
      <c r="AI89" s="14">
        <f>IF('Données projet'!$A$62&gt;35,AI88+AH89-AQ88,IF(A89&lt;'Données projet'!$A$62,$AF$205^A89,IF(A89='Données projet'!$A$62,'Données projet'!$B$62,AI88+AH89-AQ88)))</f>
        <v>616</v>
      </c>
      <c r="AJ89" s="14">
        <f>AI89*VLOOKUP('Données projet'!$B$10,Paramètres!$A$1:$I$89,3,0)*VLOOKUP('Données projet'!$B$10,Paramètres!$A$1:$I$89,5,0)</f>
        <v>288.28800000000001</v>
      </c>
      <c r="AK89" s="14">
        <f t="shared" si="89"/>
        <v>68.715516926722444</v>
      </c>
      <c r="AL89" s="22">
        <f t="shared" si="58"/>
        <v>621.78112531404156</v>
      </c>
      <c r="AM89" s="62">
        <f t="shared" si="59"/>
        <v>915.11445864737493</v>
      </c>
      <c r="AN89" s="62">
        <f ca="1">AVERAGE(OFFSET($AM$3,0,0,'Données projet'!$E$10+1,1))-AVERAGE(OFFSET($H$3,0,0,'Données projet'!$E$10+1,1))</f>
        <v>265.57412766850422</v>
      </c>
      <c r="AO89" s="62">
        <f t="shared" si="90"/>
        <v>179.39213799913273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22.951119675930965</v>
      </c>
      <c r="AV89" s="23">
        <f>EXP(-LN(2)/25)*AV88+(1-EXP(-LN(2)/25))/(LN(2)/25)*Calculateur!AQ89*Calculateur!AS89*VLOOKUP('Données projet'!$B$10,Paramètres!$A$1:$I$89,3,0)*0.475*44/12</f>
        <v>12.067658814721792</v>
      </c>
      <c r="AW89" s="23">
        <f>EXP(-LN(2)/2)*AW88+(1-EXP(-LN(2)/2))/(LN(2)/2)*AQ89*AT89*VLOOKUP('Données projet'!$B$10,Paramètres!$A$1:$I$89,3,0)*0.475*44/12</f>
        <v>0.27381831066190804</v>
      </c>
      <c r="AX89" s="23">
        <f t="shared" si="60"/>
        <v>35.292596801314666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-5.6843418860808015E-13</v>
      </c>
      <c r="BE89" s="14">
        <f>BD89*VLOOKUP('Données projet'!$B$11,Paramètres!$A$1:$I$89,3,0)*VLOOKUP('Données projet'!$B$11,Paramètres!$A$1:$I$89,5,0)</f>
        <v>-3.39923644787632E-13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361.81625684745416</v>
      </c>
      <c r="BJ89" s="62">
        <f t="shared" si="92"/>
        <v>302.25424592654684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228.68194563965187</v>
      </c>
      <c r="BQ89" s="23">
        <f>EXP(-LN(2)/25)*BQ88+(1-EXP(-LN(2)/25))/(LN(2)/25)*Calculateur!BL89*Calculateur!BN89*VLOOKUP('Données projet'!$B$11,Paramètres!$A$1:$I$89,3,0)*0.475*44/12</f>
        <v>20.062234222420258</v>
      </c>
      <c r="BR89" s="23">
        <f>EXP(-LN(2)/2)*BR88+(1-EXP(-LN(2)/2))/(LN(2)/2)*BL89*BO89*VLOOKUP('Données projet'!$B$11,Paramètres!$A$1:$I$89,3,0)*0.475*44/12</f>
        <v>0.57075183949442188</v>
      </c>
      <c r="BS89" s="24">
        <f t="shared" si="63"/>
        <v>249.31493170156656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-1.1368683772161603E-12</v>
      </c>
      <c r="O90" s="14">
        <f>N90*VLOOKUP('Données projet'!$B$9,Paramètres!$A$1:$I$89,3,0)*VLOOKUP('Données projet'!$B$9,Paramètres!$A$1:$I$89,5,0)</f>
        <v>-6.3550942286383359E-13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500.52921520843432</v>
      </c>
      <c r="T90" s="62">
        <f t="shared" si="88"/>
        <v>430.43167430170087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376.57044016495274</v>
      </c>
      <c r="AA90" s="23">
        <f>EXP(-LN(2)/25)*AA89+(1-EXP(-LN(2)/25))/(LN(2)/25)*Calculateur!V90*Calculateur!X90*VLOOKUP('Données projet'!$B$9,Paramètres!$A$1:$I$89,3,0)*0.475*44/12</f>
        <v>35.757854810852635</v>
      </c>
      <c r="AB90" s="23">
        <f>EXP(-LN(2)/2)*AB89+(1-EXP(-LN(2)/2))/(LN(2)/2)*V90*Y90*VLOOKUP('Données projet'!$B$9,Paramètres!$A$1:$I$89,3,0)*0.475*44/12</f>
        <v>2.0020471060777072</v>
      </c>
      <c r="AC90" s="24">
        <f t="shared" si="57"/>
        <v>414.33034208188309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</v>
      </c>
      <c r="AI90" s="14">
        <f>IF('Données projet'!$A$62&gt;35,AI89+AH90-AQ89,IF(A90&lt;'Données projet'!$A$62,$AF$205^A90,IF(A90='Données projet'!$A$62,'Données projet'!$B$62,AI89+AH90-AQ89)))</f>
        <v>622</v>
      </c>
      <c r="AJ90" s="14">
        <f>AI90*VLOOKUP('Données projet'!$B$10,Paramètres!$A$1:$I$89,3,0)*VLOOKUP('Données projet'!$B$10,Paramètres!$A$1:$I$89,5,0)</f>
        <v>291.096</v>
      </c>
      <c r="AK90" s="14">
        <f t="shared" si="89"/>
        <v>69.306582531434373</v>
      </c>
      <c r="AL90" s="22">
        <f t="shared" si="58"/>
        <v>627.70116457558152</v>
      </c>
      <c r="AM90" s="62">
        <f t="shared" si="59"/>
        <v>921.03449790891477</v>
      </c>
      <c r="AN90" s="62">
        <f ca="1">AVERAGE(OFFSET($AM$3,0,0,'Données projet'!$E$10+1,1))-AVERAGE(OFFSET($H$3,0,0,'Données projet'!$E$10+1,1))</f>
        <v>265.57412766850422</v>
      </c>
      <c r="AO90" s="62">
        <f t="shared" si="90"/>
        <v>179.39213799913273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22.501062217886695</v>
      </c>
      <c r="AV90" s="23">
        <f>EXP(-LN(2)/25)*AV89+(1-EXP(-LN(2)/25))/(LN(2)/25)*Calculateur!AQ90*Calculateur!AS90*VLOOKUP('Données projet'!$B$10,Paramètres!$A$1:$I$89,3,0)*0.475*44/12</f>
        <v>11.737668049822629</v>
      </c>
      <c r="AW90" s="23">
        <f>EXP(-LN(2)/2)*AW89+(1-EXP(-LN(2)/2))/(LN(2)/2)*AQ90*AT90*VLOOKUP('Données projet'!$B$10,Paramètres!$A$1:$I$89,3,0)*0.475*44/12</f>
        <v>0.1936187842820799</v>
      </c>
      <c r="AX90" s="23">
        <f t="shared" si="60"/>
        <v>34.432349051991402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-5.6843418860808015E-13</v>
      </c>
      <c r="BE90" s="14">
        <f>BD90*VLOOKUP('Données projet'!$B$11,Paramètres!$A$1:$I$89,3,0)*VLOOKUP('Données projet'!$B$11,Paramètres!$A$1:$I$89,5,0)</f>
        <v>-3.39923644787632E-13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361.81625684745416</v>
      </c>
      <c r="BJ90" s="62">
        <f t="shared" si="92"/>
        <v>302.25424592654684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224.19763216787243</v>
      </c>
      <c r="BQ90" s="23">
        <f>EXP(-LN(2)/25)*BQ89+(1-EXP(-LN(2)/25))/(LN(2)/25)*Calculateur!BL90*Calculateur!BN90*VLOOKUP('Données projet'!$B$11,Paramètres!$A$1:$I$89,3,0)*0.475*44/12</f>
        <v>19.513631372581131</v>
      </c>
      <c r="BR90" s="23">
        <f>EXP(-LN(2)/2)*BR89+(1-EXP(-LN(2)/2))/(LN(2)/2)*BL90*BO90*VLOOKUP('Données projet'!$B$11,Paramètres!$A$1:$I$89,3,0)*0.475*44/12</f>
        <v>0.40358249608120167</v>
      </c>
      <c r="BS90" s="24">
        <f t="shared" si="63"/>
        <v>244.11484603653477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-1.1368683772161603E-12</v>
      </c>
      <c r="O91" s="14">
        <f>N91*VLOOKUP('Données projet'!$B$9,Paramètres!$A$1:$I$89,3,0)*VLOOKUP('Données projet'!$B$9,Paramètres!$A$1:$I$89,5,0)</f>
        <v>-6.3550942286383359E-13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500.52921520843432</v>
      </c>
      <c r="T91" s="62">
        <f t="shared" si="88"/>
        <v>430.43167430170087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369.18612351860696</v>
      </c>
      <c r="AA91" s="23">
        <f>EXP(-LN(2)/25)*AA90+(1-EXP(-LN(2)/25))/(LN(2)/25)*Calculateur!V91*Calculateur!X91*VLOOKUP('Données projet'!$B$9,Paramètres!$A$1:$I$89,3,0)*0.475*44/12</f>
        <v>34.780054390626013</v>
      </c>
      <c r="AB91" s="23">
        <f>EXP(-LN(2)/2)*AB90+(1-EXP(-LN(2)/2))/(LN(2)/2)*V91*Y91*VLOOKUP('Données projet'!$B$9,Paramètres!$A$1:$I$89,3,0)*0.475*44/12</f>
        <v>1.41566108496245</v>
      </c>
      <c r="AC91" s="24">
        <f t="shared" si="57"/>
        <v>405.38183899419539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</v>
      </c>
      <c r="AI91" s="14">
        <f>IF('Données projet'!$A$62&gt;35,AI90+AH91-AQ90,IF(A91&lt;'Données projet'!$A$62,$AF$205^A91,IF(A91='Données projet'!$A$62,'Données projet'!$B$62,AI90+AH91-AQ90)))</f>
        <v>628</v>
      </c>
      <c r="AJ91" s="14">
        <f>AI91*VLOOKUP('Données projet'!$B$10,Paramètres!$A$1:$I$89,3,0)*VLOOKUP('Données projet'!$B$10,Paramètres!$A$1:$I$89,5,0)</f>
        <v>293.904</v>
      </c>
      <c r="AK91" s="14">
        <f t="shared" si="89"/>
        <v>69.896984831773324</v>
      </c>
      <c r="AL91" s="22">
        <f t="shared" si="58"/>
        <v>633.62004858200532</v>
      </c>
      <c r="AM91" s="62">
        <f t="shared" si="59"/>
        <v>926.9533819153387</v>
      </c>
      <c r="AN91" s="62">
        <f ca="1">AVERAGE(OFFSET($AM$3,0,0,'Données projet'!$E$10+1,1))-AVERAGE(OFFSET($H$3,0,0,'Données projet'!$E$10+1,1))</f>
        <v>265.57412766850422</v>
      </c>
      <c r="AO91" s="62">
        <f t="shared" si="90"/>
        <v>179.39213799913273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22.059830112086729</v>
      </c>
      <c r="AV91" s="23">
        <f>EXP(-LN(2)/25)*AV90+(1-EXP(-LN(2)/25))/(LN(2)/25)*Calculateur!AQ91*Calculateur!AS91*VLOOKUP('Données projet'!$B$10,Paramètres!$A$1:$I$89,3,0)*0.475*44/12</f>
        <v>11.416700899743093</v>
      </c>
      <c r="AW91" s="23">
        <f>EXP(-LN(2)/2)*AW90+(1-EXP(-LN(2)/2))/(LN(2)/2)*AQ91*AT91*VLOOKUP('Données projet'!$B$10,Paramètres!$A$1:$I$89,3,0)*0.475*44/12</f>
        <v>0.13690915533095402</v>
      </c>
      <c r="AX91" s="23">
        <f t="shared" si="60"/>
        <v>33.613440167160775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-5.6843418860808015E-13</v>
      </c>
      <c r="BE91" s="14">
        <f>BD91*VLOOKUP('Données projet'!$B$11,Paramètres!$A$1:$I$89,3,0)*VLOOKUP('Données projet'!$B$11,Paramètres!$A$1:$I$89,5,0)</f>
        <v>-3.39923644787632E-13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361.81625684745416</v>
      </c>
      <c r="BJ91" s="62">
        <f t="shared" si="92"/>
        <v>302.25424592654684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219.80125334811342</v>
      </c>
      <c r="BQ91" s="23">
        <f>EXP(-LN(2)/25)*BQ90+(1-EXP(-LN(2)/25))/(LN(2)/25)*Calculateur!BL91*Calculateur!BN91*VLOOKUP('Données projet'!$B$11,Paramètres!$A$1:$I$89,3,0)*0.475*44/12</f>
        <v>18.980030096520625</v>
      </c>
      <c r="BR91" s="23">
        <f>EXP(-LN(2)/2)*BR90+(1-EXP(-LN(2)/2))/(LN(2)/2)*BL91*BO91*VLOOKUP('Données projet'!$B$11,Paramètres!$A$1:$I$89,3,0)*0.475*44/12</f>
        <v>0.28537591974721094</v>
      </c>
      <c r="BS91" s="24">
        <f t="shared" si="63"/>
        <v>239.06665936438128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-1.1368683772161603E-12</v>
      </c>
      <c r="O92" s="14">
        <f>N92*VLOOKUP('Données projet'!$B$9,Paramètres!$A$1:$I$89,3,0)*VLOOKUP('Données projet'!$B$9,Paramètres!$A$1:$I$89,5,0)</f>
        <v>-6.3550942286383359E-13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500.52921520843432</v>
      </c>
      <c r="T92" s="62">
        <f t="shared" si="88"/>
        <v>430.43167430170087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361.94660881770761</v>
      </c>
      <c r="AA92" s="23">
        <f>EXP(-LN(2)/25)*AA91+(1-EXP(-LN(2)/25))/(LN(2)/25)*Calculateur!V92*Calculateur!X92*VLOOKUP('Données projet'!$B$9,Paramètres!$A$1:$I$89,3,0)*0.475*44/12</f>
        <v>33.828991974310775</v>
      </c>
      <c r="AB92" s="23">
        <f>EXP(-LN(2)/2)*AB91+(1-EXP(-LN(2)/2))/(LN(2)/2)*V92*Y92*VLOOKUP('Données projet'!$B$9,Paramètres!$A$1:$I$89,3,0)*0.475*44/12</f>
        <v>1.0010235530388536</v>
      </c>
      <c r="AC92" s="24">
        <f t="shared" si="57"/>
        <v>396.77662434505726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</v>
      </c>
      <c r="AI92" s="14">
        <f>IF('Données projet'!$A$62&gt;35,AI91+AH92-AQ91,IF(A92&lt;'Données projet'!$A$62,$AF$205^A92,IF(A92='Données projet'!$A$62,'Données projet'!$B$62,AI91+AH92-AQ91)))</f>
        <v>634</v>
      </c>
      <c r="AJ92" s="14">
        <f>AI92*VLOOKUP('Données projet'!$B$10,Paramètres!$A$1:$I$89,3,0)*VLOOKUP('Données projet'!$B$10,Paramètres!$A$1:$I$89,5,0)</f>
        <v>296.71199999999999</v>
      </c>
      <c r="AK92" s="14">
        <f t="shared" si="89"/>
        <v>70.48673089898756</v>
      </c>
      <c r="AL92" s="22">
        <f t="shared" si="58"/>
        <v>639.53778964906996</v>
      </c>
      <c r="AM92" s="62">
        <f t="shared" si="59"/>
        <v>932.87112298240322</v>
      </c>
      <c r="AN92" s="62">
        <f ca="1">AVERAGE(OFFSET($AM$3,0,0,'Données projet'!$E$10+1,1))-AVERAGE(OFFSET($H$3,0,0,'Données projet'!$E$10+1,1))</f>
        <v>265.57412766850422</v>
      </c>
      <c r="AO92" s="62">
        <f t="shared" si="90"/>
        <v>179.39213799913273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21.62725029875649</v>
      </c>
      <c r="AV92" s="23">
        <f>EXP(-LN(2)/25)*AV91+(1-EXP(-LN(2)/25))/(LN(2)/25)*Calculateur!AQ92*Calculateur!AS92*VLOOKUP('Données projet'!$B$10,Paramètres!$A$1:$I$89,3,0)*0.475*44/12</f>
        <v>11.104510613261411</v>
      </c>
      <c r="AW92" s="23">
        <f>EXP(-LN(2)/2)*AW91+(1-EXP(-LN(2)/2))/(LN(2)/2)*AQ92*AT92*VLOOKUP('Données projet'!$B$10,Paramètres!$A$1:$I$89,3,0)*0.475*44/12</f>
        <v>9.6809392141039952E-2</v>
      </c>
      <c r="AX92" s="23">
        <f t="shared" si="60"/>
        <v>32.828570304158944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-5.6843418860808015E-13</v>
      </c>
      <c r="BE92" s="14">
        <f>BD92*VLOOKUP('Données projet'!$B$11,Paramètres!$A$1:$I$89,3,0)*VLOOKUP('Données projet'!$B$11,Paramètres!$A$1:$I$89,5,0)</f>
        <v>-3.39923644787632E-13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361.81625684745416</v>
      </c>
      <c r="BJ92" s="62">
        <f t="shared" si="92"/>
        <v>302.25424592654684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215.49108483548358</v>
      </c>
      <c r="BQ92" s="23">
        <f>EXP(-LN(2)/25)*BQ91+(1-EXP(-LN(2)/25))/(LN(2)/25)*Calculateur!BL92*Calculateur!BN92*VLOOKUP('Données projet'!$B$11,Paramètres!$A$1:$I$89,3,0)*0.475*44/12</f>
        <v>18.461020175414866</v>
      </c>
      <c r="BR92" s="23">
        <f>EXP(-LN(2)/2)*BR91+(1-EXP(-LN(2)/2))/(LN(2)/2)*BL92*BO92*VLOOKUP('Données projet'!$B$11,Paramètres!$A$1:$I$89,3,0)*0.475*44/12</f>
        <v>0.20179124804060083</v>
      </c>
      <c r="BS92" s="24">
        <f t="shared" si="63"/>
        <v>234.15389625893903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-1.1368683772161603E-12</v>
      </c>
      <c r="O93" s="14">
        <f>N93*VLOOKUP('Données projet'!$B$9,Paramètres!$A$1:$I$89,3,0)*VLOOKUP('Données projet'!$B$9,Paramètres!$A$1:$I$89,5,0)</f>
        <v>-6.3550942286383359E-13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500.52921520843432</v>
      </c>
      <c r="T93" s="62">
        <f t="shared" si="88"/>
        <v>430.43167430170087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354.84905658442494</v>
      </c>
      <c r="AA93" s="23">
        <f>EXP(-LN(2)/25)*AA92+(1-EXP(-LN(2)/25))/(LN(2)/25)*Calculateur!V93*Calculateur!X93*VLOOKUP('Données projet'!$B$9,Paramètres!$A$1:$I$89,3,0)*0.475*44/12</f>
        <v>32.903936409783874</v>
      </c>
      <c r="AB93" s="23">
        <f>EXP(-LN(2)/2)*AB92+(1-EXP(-LN(2)/2))/(LN(2)/2)*V93*Y93*VLOOKUP('Données projet'!$B$9,Paramètres!$A$1:$I$89,3,0)*0.475*44/12</f>
        <v>0.70783054248122501</v>
      </c>
      <c r="AC93" s="24">
        <f t="shared" si="57"/>
        <v>388.46082353669004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640</v>
      </c>
      <c r="AG93" s="13">
        <f>VLOOKUP(A93,'Données projet'!$A$61:$I$81,9,0)</f>
        <v>6</v>
      </c>
      <c r="AH93" s="13">
        <f t="array" ref="AH93">INDEX(AG:AG,MIN(IF(ISNUMBER(AG93:AG289),ROW(AG93:AG289),"")))</f>
        <v>6</v>
      </c>
      <c r="AI93" s="14">
        <f>IF('Données projet'!$A$62&gt;35,AI92+AH93-AQ92,IF(A93&lt;'Données projet'!$A$62,$AF$205^A93,IF(A93='Données projet'!$A$62,'Données projet'!$B$62,AI92+AH93-AQ92)))</f>
        <v>640</v>
      </c>
      <c r="AJ93" s="14">
        <f>AI93*VLOOKUP('Données projet'!$B$10,Paramètres!$A$1:$I$89,3,0)*VLOOKUP('Données projet'!$B$10,Paramètres!$A$1:$I$89,5,0)</f>
        <v>299.52</v>
      </c>
      <c r="AK93" s="14">
        <f t="shared" si="89"/>
        <v>71.075827662767125</v>
      </c>
      <c r="AL93" s="22">
        <f t="shared" si="58"/>
        <v>645.4543998459859</v>
      </c>
      <c r="AM93" s="62">
        <f t="shared" si="59"/>
        <v>938.78773317931928</v>
      </c>
      <c r="AN93" s="62">
        <f ca="1">AVERAGE(OFFSET($AM$3,0,0,'Données projet'!$E$10+1,1))-AVERAGE(OFFSET($H$3,0,0,'Données projet'!$E$10+1,1))</f>
        <v>265.57412766850422</v>
      </c>
      <c r="AO93" s="62">
        <f t="shared" si="90"/>
        <v>179.39213799913273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640</v>
      </c>
      <c r="AR93" s="17">
        <f>IF(ISNA(VLOOKUP(A93,'Données projet'!$A$61:$I$81,5,0)),0%,VLOOKUP(A93,'Données projet'!$A$61:$I$81,5,0)*VLOOKUP('Données projet'!$B$10,Paramètres!$A$1:$I$89,7,0))</f>
        <v>0.44000000000000006</v>
      </c>
      <c r="AS93" s="17">
        <f>IF(ISNA(VLOOKUP(A93,'Données projet'!$A$61:$I$81,6,0)),0%,VLOOKUP(A93,'Données projet'!$A$61:$I$81,6,0)*VLOOKUP('Données projet'!$B$10,Paramètres!$A$1:$I$89,7,0))</f>
        <v>6.0500000000000005E-2</v>
      </c>
      <c r="AT93" s="17">
        <f>IF(ISNA(VLOOKUP(A93,'Données projet'!$A$61:$I$81,7,0)),0%,VLOOKUP(A93,'Données projet'!$A$61:$I$81,7,0))</f>
        <v>0.09</v>
      </c>
      <c r="AU93" s="23">
        <f>EXP(-LN(2)/35)*AU92+(1-EXP(-LN(2)/35))/(LN(2)/35)*AQ93*AR93*VLOOKUP('Données projet'!$B$10,Paramètres!$A$1:$I$89,3,0)*0.475*44/12</f>
        <v>196.02949081674848</v>
      </c>
      <c r="AV93" s="23">
        <f>EXP(-LN(2)/25)*AV92+(1-EXP(-LN(2)/25))/(LN(2)/25)*Calculateur!AQ93*Calculateur!AS93*VLOOKUP('Données projet'!$B$10,Paramètres!$A$1:$I$89,3,0)*0.475*44/12</f>
        <v>34.744829409002378</v>
      </c>
      <c r="AW93" s="23">
        <f>EXP(-LN(2)/2)*AW92+(1-EXP(-LN(2)/2))/(LN(2)/2)*AQ93*AT93*VLOOKUP('Données projet'!$B$10,Paramètres!$A$1:$I$89,3,0)*0.475*44/12</f>
        <v>30.589814175626913</v>
      </c>
      <c r="AX93" s="23">
        <f t="shared" si="60"/>
        <v>261.36413440137778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-5.6843418860808015E-13</v>
      </c>
      <c r="BE93" s="14">
        <f>BD93*VLOOKUP('Données projet'!$B$11,Paramètres!$A$1:$I$89,3,0)*VLOOKUP('Données projet'!$B$11,Paramètres!$A$1:$I$89,5,0)</f>
        <v>-3.39923644787632E-13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361.81625684745416</v>
      </c>
      <c r="BJ93" s="62">
        <f t="shared" si="92"/>
        <v>302.25424592654684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211.26543609844322</v>
      </c>
      <c r="BQ93" s="23">
        <f>EXP(-LN(2)/25)*BQ92+(1-EXP(-LN(2)/25))/(LN(2)/25)*Calculateur!BL93*Calculateur!BN93*VLOOKUP('Données projet'!$B$11,Paramètres!$A$1:$I$89,3,0)*0.475*44/12</f>
        <v>17.956202607895289</v>
      </c>
      <c r="BR93" s="23">
        <f>EXP(-LN(2)/2)*BR92+(1-EXP(-LN(2)/2))/(LN(2)/2)*BL93*BO93*VLOOKUP('Données projet'!$B$11,Paramètres!$A$1:$I$89,3,0)*0.475*44/12</f>
        <v>0.14268795987360547</v>
      </c>
      <c r="BS93" s="24">
        <f t="shared" si="63"/>
        <v>229.36432666621209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-1.1368683772161603E-12</v>
      </c>
      <c r="O94" s="14">
        <f>N94*VLOOKUP('Données projet'!$B$9,Paramètres!$A$1:$I$89,3,0)*VLOOKUP('Données projet'!$B$9,Paramètres!$A$1:$I$89,5,0)</f>
        <v>-6.3550942286383359E-13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500.52921520843432</v>
      </c>
      <c r="T94" s="62">
        <f t="shared" si="88"/>
        <v>430.43167430170087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347.89068302135757</v>
      </c>
      <c r="AA94" s="23">
        <f>EXP(-LN(2)/25)*AA93+(1-EXP(-LN(2)/25))/(LN(2)/25)*Calculateur!V94*Calculateur!X94*VLOOKUP('Données projet'!$B$9,Paramètres!$A$1:$I$89,3,0)*0.475*44/12</f>
        <v>32.004176538315519</v>
      </c>
      <c r="AB94" s="23">
        <f>EXP(-LN(2)/2)*AB93+(1-EXP(-LN(2)/2))/(LN(2)/2)*V94*Y94*VLOOKUP('Données projet'!$B$9,Paramètres!$A$1:$I$89,3,0)*0.475*44/12</f>
        <v>0.5005117765194268</v>
      </c>
      <c r="AC94" s="24">
        <f t="shared" si="57"/>
        <v>380.39537133619251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265.57412766850422</v>
      </c>
      <c r="AO94" s="62">
        <f t="shared" si="90"/>
        <v>179.39213799913273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192.18547206801526</v>
      </c>
      <c r="AV94" s="23">
        <f>EXP(-LN(2)/25)*AV93+(1-EXP(-LN(2)/25))/(LN(2)/25)*Calculateur!AQ94*Calculateur!AS94*VLOOKUP('Données projet'!$B$10,Paramètres!$A$1:$I$89,3,0)*0.475*44/12</f>
        <v>33.794730221662043</v>
      </c>
      <c r="AW94" s="23">
        <f>EXP(-LN(2)/2)*AW93+(1-EXP(-LN(2)/2))/(LN(2)/2)*AQ94*AT94*VLOOKUP('Données projet'!$B$10,Paramètres!$A$1:$I$89,3,0)*0.475*44/12</f>
        <v>21.63026503882217</v>
      </c>
      <c r="AX94" s="23">
        <f t="shared" si="60"/>
        <v>247.61046732849945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-5.6843418860808015E-13</v>
      </c>
      <c r="BE94" s="14">
        <f>BD94*VLOOKUP('Données projet'!$B$11,Paramètres!$A$1:$I$89,3,0)*VLOOKUP('Données projet'!$B$11,Paramètres!$A$1:$I$89,5,0)</f>
        <v>-3.39923644787632E-13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361.81625684745416</v>
      </c>
      <c r="BJ94" s="62">
        <f t="shared" si="92"/>
        <v>302.25424592654684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207.12264975574499</v>
      </c>
      <c r="BQ94" s="23">
        <f>EXP(-LN(2)/25)*BQ93+(1-EXP(-LN(2)/25))/(LN(2)/25)*Calculateur!BL94*Calculateur!BN94*VLOOKUP('Données projet'!$B$11,Paramètres!$A$1:$I$89,3,0)*0.475*44/12</f>
        <v>17.465189303306737</v>
      </c>
      <c r="BR94" s="23">
        <f>EXP(-LN(2)/2)*BR93+(1-EXP(-LN(2)/2))/(LN(2)/2)*BL94*BO94*VLOOKUP('Données projet'!$B$11,Paramètres!$A$1:$I$89,3,0)*0.475*44/12</f>
        <v>0.10089562402030042</v>
      </c>
      <c r="BS94" s="24">
        <f t="shared" si="63"/>
        <v>224.68873468307203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-1.1368683772161603E-12</v>
      </c>
      <c r="O95" s="14">
        <f>N95*VLOOKUP('Données projet'!$B$9,Paramètres!$A$1:$I$89,3,0)*VLOOKUP('Données projet'!$B$9,Paramètres!$A$1:$I$89,5,0)</f>
        <v>-6.3550942286383359E-13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500.52921520843432</v>
      </c>
      <c r="T95" s="62">
        <f t="shared" si="88"/>
        <v>430.43167430170087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341.06875891967314</v>
      </c>
      <c r="AA95" s="23">
        <f>EXP(-LN(2)/25)*AA94+(1-EXP(-LN(2)/25))/(LN(2)/25)*Calculateur!V95*Calculateur!X95*VLOOKUP('Données projet'!$B$9,Paramètres!$A$1:$I$89,3,0)*0.475*44/12</f>
        <v>31.129020647848783</v>
      </c>
      <c r="AB95" s="23">
        <f>EXP(-LN(2)/2)*AB94+(1-EXP(-LN(2)/2))/(LN(2)/2)*V95*Y95*VLOOKUP('Données projet'!$B$9,Paramètres!$A$1:$I$89,3,0)*0.475*44/12</f>
        <v>0.35391527124061251</v>
      </c>
      <c r="AC95" s="24">
        <f t="shared" si="57"/>
        <v>372.55169483876256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265.57412766850422</v>
      </c>
      <c r="AO95" s="62">
        <f t="shared" si="90"/>
        <v>179.39213799913273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188.41683218232478</v>
      </c>
      <c r="AV95" s="23">
        <f>EXP(-LN(2)/25)*AV94+(1-EXP(-LN(2)/25))/(LN(2)/25)*Calculateur!AQ95*Calculateur!AS95*VLOOKUP('Données projet'!$B$10,Paramètres!$A$1:$I$89,3,0)*0.475*44/12</f>
        <v>32.870611546563069</v>
      </c>
      <c r="AW95" s="23">
        <f>EXP(-LN(2)/2)*AW94+(1-EXP(-LN(2)/2))/(LN(2)/2)*AQ95*AT95*VLOOKUP('Données projet'!$B$10,Paramètres!$A$1:$I$89,3,0)*0.475*44/12</f>
        <v>15.294907087813458</v>
      </c>
      <c r="AX95" s="23">
        <f t="shared" si="60"/>
        <v>236.58235081670134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-5.6843418860808015E-13</v>
      </c>
      <c r="BE95" s="14">
        <f>BD95*VLOOKUP('Données projet'!$B$11,Paramètres!$A$1:$I$89,3,0)*VLOOKUP('Données projet'!$B$11,Paramètres!$A$1:$I$89,5,0)</f>
        <v>-3.39923644787632E-13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361.81625684745416</v>
      </c>
      <c r="BJ95" s="62">
        <f t="shared" si="92"/>
        <v>302.25424592654684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203.06110092637689</v>
      </c>
      <c r="BQ95" s="23">
        <f>EXP(-LN(2)/25)*BQ94+(1-EXP(-LN(2)/25))/(LN(2)/25)*Calculateur!BL95*Calculateur!BN95*VLOOKUP('Données projet'!$B$11,Paramètres!$A$1:$I$89,3,0)*0.475*44/12</f>
        <v>16.987602783353427</v>
      </c>
      <c r="BR95" s="23">
        <f>EXP(-LN(2)/2)*BR94+(1-EXP(-LN(2)/2))/(LN(2)/2)*BL95*BO95*VLOOKUP('Données projet'!$B$11,Paramètres!$A$1:$I$89,3,0)*0.475*44/12</f>
        <v>7.1343979936802734E-2</v>
      </c>
      <c r="BS95" s="24">
        <f t="shared" si="63"/>
        <v>220.12004768966713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-1.1368683772161603E-12</v>
      </c>
      <c r="O96" s="14">
        <f>N96*VLOOKUP('Données projet'!$B$9,Paramètres!$A$1:$I$89,3,0)*VLOOKUP('Données projet'!$B$9,Paramètres!$A$1:$I$89,5,0)</f>
        <v>-6.3550942286383359E-13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500.52921520843432</v>
      </c>
      <c r="T96" s="62">
        <f t="shared" si="88"/>
        <v>430.43167430170087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334.38060858865992</v>
      </c>
      <c r="AA96" s="23">
        <f>EXP(-LN(2)/25)*AA95+(1-EXP(-LN(2)/25))/(LN(2)/25)*Calculateur!V96*Calculateur!X96*VLOOKUP('Données projet'!$B$9,Paramètres!$A$1:$I$89,3,0)*0.475*44/12</f>
        <v>30.277795941229307</v>
      </c>
      <c r="AB96" s="23">
        <f>EXP(-LN(2)/2)*AB95+(1-EXP(-LN(2)/2))/(LN(2)/2)*V96*Y96*VLOOKUP('Données projet'!$B$9,Paramètres!$A$1:$I$89,3,0)*0.475*44/12</f>
        <v>0.2502558882597134</v>
      </c>
      <c r="AC96" s="24">
        <f t="shared" si="57"/>
        <v>364.90866041814894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265.57412766850422</v>
      </c>
      <c r="AO96" s="62">
        <f t="shared" si="90"/>
        <v>179.39213799913273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184.72209302614934</v>
      </c>
      <c r="AV96" s="23">
        <f>EXP(-LN(2)/25)*AV95+(1-EXP(-LN(2)/25))/(LN(2)/25)*Calculateur!AQ96*Calculateur!AS96*VLOOKUP('Données projet'!$B$10,Paramètres!$A$1:$I$89,3,0)*0.475*44/12</f>
        <v>31.971762945231966</v>
      </c>
      <c r="AW96" s="23">
        <f>EXP(-LN(2)/2)*AW95+(1-EXP(-LN(2)/2))/(LN(2)/2)*AQ96*AT96*VLOOKUP('Données projet'!$B$10,Paramètres!$A$1:$I$89,3,0)*0.475*44/12</f>
        <v>10.815132519411087</v>
      </c>
      <c r="AX96" s="23">
        <f t="shared" si="60"/>
        <v>227.5089884907924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-5.6843418860808015E-13</v>
      </c>
      <c r="BE96" s="14">
        <f>BD96*VLOOKUP('Données projet'!$B$11,Paramètres!$A$1:$I$89,3,0)*VLOOKUP('Données projet'!$B$11,Paramètres!$A$1:$I$89,5,0)</f>
        <v>-3.39923644787632E-13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361.81625684745416</v>
      </c>
      <c r="BJ96" s="62">
        <f t="shared" si="92"/>
        <v>302.25424592654684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199.07919659225254</v>
      </c>
      <c r="BQ96" s="23">
        <f>EXP(-LN(2)/25)*BQ95+(1-EXP(-LN(2)/25))/(LN(2)/25)*Calculateur!BL96*Calculateur!BN96*VLOOKUP('Données projet'!$B$11,Paramètres!$A$1:$I$89,3,0)*0.475*44/12</f>
        <v>16.523075891903424</v>
      </c>
      <c r="BR96" s="23">
        <f>EXP(-LN(2)/2)*BR95+(1-EXP(-LN(2)/2))/(LN(2)/2)*BL96*BO96*VLOOKUP('Données projet'!$B$11,Paramètres!$A$1:$I$89,3,0)*0.475*44/12</f>
        <v>5.0447812010150209E-2</v>
      </c>
      <c r="BS96" s="24">
        <f t="shared" si="63"/>
        <v>215.65272029616614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-1.1368683772161603E-12</v>
      </c>
      <c r="O97" s="14">
        <f>N97*VLOOKUP('Données projet'!$B$9,Paramètres!$A$1:$I$89,3,0)*VLOOKUP('Données projet'!$B$9,Paramètres!$A$1:$I$89,5,0)</f>
        <v>-6.3550942286383359E-13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500.52921520843432</v>
      </c>
      <c r="T97" s="62">
        <f t="shared" si="88"/>
        <v>430.43167430170087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327.82360880626896</v>
      </c>
      <c r="AA97" s="23">
        <f>EXP(-LN(2)/25)*AA96+(1-EXP(-LN(2)/25))/(LN(2)/25)*Calculateur!V97*Calculateur!X97*VLOOKUP('Données projet'!$B$9,Paramètres!$A$1:$I$89,3,0)*0.475*44/12</f>
        <v>29.449848018976304</v>
      </c>
      <c r="AB97" s="23">
        <f>EXP(-LN(2)/2)*AB96+(1-EXP(-LN(2)/2))/(LN(2)/2)*V97*Y97*VLOOKUP('Données projet'!$B$9,Paramètres!$A$1:$I$89,3,0)*0.475*44/12</f>
        <v>0.17695763562030625</v>
      </c>
      <c r="AC97" s="24">
        <f t="shared" si="57"/>
        <v>357.45041446086555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265.57412766850422</v>
      </c>
      <c r="AO97" s="62">
        <f t="shared" si="90"/>
        <v>179.39213799913273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181.09980545125813</v>
      </c>
      <c r="AV97" s="23">
        <f>EXP(-LN(2)/25)*AV96+(1-EXP(-LN(2)/25))/(LN(2)/25)*Calculateur!AQ97*Calculateur!AS97*VLOOKUP('Données projet'!$B$10,Paramètres!$A$1:$I$89,3,0)*0.475*44/12</f>
        <v>31.097493406172656</v>
      </c>
      <c r="AW97" s="23">
        <f>EXP(-LN(2)/2)*AW96+(1-EXP(-LN(2)/2))/(LN(2)/2)*AQ97*AT97*VLOOKUP('Données projet'!$B$10,Paramètres!$A$1:$I$89,3,0)*0.475*44/12</f>
        <v>7.6474535439067299</v>
      </c>
      <c r="AX97" s="23">
        <f t="shared" si="60"/>
        <v>219.8447524013375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-5.6843418860808015E-13</v>
      </c>
      <c r="BE97" s="14">
        <f>BD97*VLOOKUP('Données projet'!$B$11,Paramètres!$A$1:$I$89,3,0)*VLOOKUP('Données projet'!$B$11,Paramètres!$A$1:$I$89,5,0)</f>
        <v>-3.39923644787632E-13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361.81625684745416</v>
      </c>
      <c r="BJ97" s="62">
        <f t="shared" si="92"/>
        <v>302.25424592654684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195.17537497339853</v>
      </c>
      <c r="BQ97" s="23">
        <f>EXP(-LN(2)/25)*BQ96+(1-EXP(-LN(2)/25))/(LN(2)/25)*Calculateur!BL97*Calculateur!BN97*VLOOKUP('Données projet'!$B$11,Paramètres!$A$1:$I$89,3,0)*0.475*44/12</f>
        <v>16.071251512728526</v>
      </c>
      <c r="BR97" s="23">
        <f>EXP(-LN(2)/2)*BR96+(1-EXP(-LN(2)/2))/(LN(2)/2)*BL97*BO97*VLOOKUP('Données projet'!$B$11,Paramètres!$A$1:$I$89,3,0)*0.475*44/12</f>
        <v>3.5671989968401367E-2</v>
      </c>
      <c r="BS97" s="24">
        <f t="shared" si="63"/>
        <v>211.28229847609546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-1.1368683772161603E-12</v>
      </c>
      <c r="O98" s="14">
        <f>N98*VLOOKUP('Données projet'!$B$9,Paramètres!$A$1:$I$89,3,0)*VLOOKUP('Données projet'!$B$9,Paramètres!$A$1:$I$89,5,0)</f>
        <v>-6.3550942286383359E-13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500.52921520843432</v>
      </c>
      <c r="T98" s="62">
        <f t="shared" si="88"/>
        <v>430.43167430170087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321.3951877902357</v>
      </c>
      <c r="AA98" s="23">
        <f>EXP(-LN(2)/25)*AA97+(1-EXP(-LN(2)/25))/(LN(2)/25)*Calculateur!V98*Calculateur!X98*VLOOKUP('Données projet'!$B$9,Paramètres!$A$1:$I$89,3,0)*0.475*44/12</f>
        <v>28.644540376197199</v>
      </c>
      <c r="AB98" s="23">
        <f>EXP(-LN(2)/2)*AB97+(1-EXP(-LN(2)/2))/(LN(2)/2)*V98*Y98*VLOOKUP('Données projet'!$B$9,Paramètres!$A$1:$I$89,3,0)*0.475*44/12</f>
        <v>0.1251279441298567</v>
      </c>
      <c r="AC98" s="24">
        <f t="shared" si="57"/>
        <v>350.16485611056277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265.57412766850422</v>
      </c>
      <c r="AO98" s="62">
        <f t="shared" si="90"/>
        <v>179.39213799913273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177.54854872633328</v>
      </c>
      <c r="AV98" s="23">
        <f>EXP(-LN(2)/25)*AV97+(1-EXP(-LN(2)/25))/(LN(2)/25)*Calculateur!AQ98*Calculateur!AS98*VLOOKUP('Données projet'!$B$10,Paramètres!$A$1:$I$89,3,0)*0.475*44/12</f>
        <v>30.247130813634762</v>
      </c>
      <c r="AW98" s="23">
        <f>EXP(-LN(2)/2)*AW97+(1-EXP(-LN(2)/2))/(LN(2)/2)*AQ98*AT98*VLOOKUP('Données projet'!$B$10,Paramètres!$A$1:$I$89,3,0)*0.475*44/12</f>
        <v>5.4075662597055443</v>
      </c>
      <c r="AX98" s="23">
        <f t="shared" si="60"/>
        <v>213.20324579967357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-5.6843418860808015E-13</v>
      </c>
      <c r="BE98" s="14">
        <f>BD98*VLOOKUP('Données projet'!$B$11,Paramètres!$A$1:$I$89,3,0)*VLOOKUP('Données projet'!$B$11,Paramètres!$A$1:$I$89,5,0)</f>
        <v>-3.39923644787632E-13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361.81625684745416</v>
      </c>
      <c r="BJ98" s="62">
        <f t="shared" si="92"/>
        <v>302.25424592654684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191.34810491539417</v>
      </c>
      <c r="BQ98" s="23">
        <f>EXP(-LN(2)/25)*BQ97+(1-EXP(-LN(2)/25))/(LN(2)/25)*Calculateur!BL98*Calculateur!BN98*VLOOKUP('Données projet'!$B$11,Paramètres!$A$1:$I$89,3,0)*0.475*44/12</f>
        <v>15.63178229496258</v>
      </c>
      <c r="BR98" s="23">
        <f>EXP(-LN(2)/2)*BR97+(1-EXP(-LN(2)/2))/(LN(2)/2)*BL98*BO98*VLOOKUP('Données projet'!$B$11,Paramètres!$A$1:$I$89,3,0)*0.475*44/12</f>
        <v>2.5223906005075104E-2</v>
      </c>
      <c r="BS98" s="24">
        <f t="shared" si="63"/>
        <v>207.00511111636183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-1.1368683772161603E-12</v>
      </c>
      <c r="O99" s="14">
        <f>N99*VLOOKUP('Données projet'!$B$9,Paramètres!$A$1:$I$89,3,0)*VLOOKUP('Données projet'!$B$9,Paramètres!$A$1:$I$89,5,0)</f>
        <v>-6.3550942286383359E-13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500.52921520843432</v>
      </c>
      <c r="T99" s="62">
        <f t="shared" si="88"/>
        <v>430.43167430170087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315.09282418937721</v>
      </c>
      <c r="AA99" s="23">
        <f>EXP(-LN(2)/25)*AA98+(1-EXP(-LN(2)/25))/(LN(2)/25)*Calculateur!V99*Calculateur!X99*VLOOKUP('Données projet'!$B$9,Paramètres!$A$1:$I$89,3,0)*0.475*44/12</f>
        <v>27.861253913259176</v>
      </c>
      <c r="AB99" s="23">
        <f>EXP(-LN(2)/2)*AB98+(1-EXP(-LN(2)/2))/(LN(2)/2)*V99*Y99*VLOOKUP('Données projet'!$B$9,Paramètres!$A$1:$I$89,3,0)*0.475*44/12</f>
        <v>8.8478817810153126E-2</v>
      </c>
      <c r="AC99" s="24">
        <f t="shared" si="57"/>
        <v>343.04255692044654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265.57412766850422</v>
      </c>
      <c r="AO99" s="62">
        <f t="shared" si="90"/>
        <v>179.39213799913273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174.06692997973147</v>
      </c>
      <c r="AV99" s="23">
        <f>EXP(-LN(2)/25)*AV98+(1-EXP(-LN(2)/25))/(LN(2)/25)*Calculateur!AQ99*Calculateur!AS99*VLOOKUP('Données projet'!$B$10,Paramètres!$A$1:$I$89,3,0)*0.475*44/12</f>
        <v>29.420021430908442</v>
      </c>
      <c r="AW99" s="23">
        <f>EXP(-LN(2)/2)*AW98+(1-EXP(-LN(2)/2))/(LN(2)/2)*AQ99*AT99*VLOOKUP('Données projet'!$B$10,Paramètres!$A$1:$I$89,3,0)*0.475*44/12</f>
        <v>3.8237267719533659</v>
      </c>
      <c r="AX99" s="23">
        <f t="shared" si="60"/>
        <v>207.31067818259328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-5.6843418860808015E-13</v>
      </c>
      <c r="BE99" s="14">
        <f>BD99*VLOOKUP('Données projet'!$B$11,Paramètres!$A$1:$I$89,3,0)*VLOOKUP('Données projet'!$B$11,Paramètres!$A$1:$I$89,5,0)</f>
        <v>-3.39923644787632E-13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361.81625684745416</v>
      </c>
      <c r="BJ99" s="62">
        <f t="shared" si="92"/>
        <v>302.25424592654684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187.59588528882307</v>
      </c>
      <c r="BQ99" s="23">
        <f>EXP(-LN(2)/25)*BQ98+(1-EXP(-LN(2)/25))/(LN(2)/25)*Calculateur!BL99*Calculateur!BN99*VLOOKUP('Données projet'!$B$11,Paramètres!$A$1:$I$89,3,0)*0.475*44/12</f>
        <v>15.204330386067124</v>
      </c>
      <c r="BR99" s="23">
        <f>EXP(-LN(2)/2)*BR98+(1-EXP(-LN(2)/2))/(LN(2)/2)*BL99*BO99*VLOOKUP('Données projet'!$B$11,Paramètres!$A$1:$I$89,3,0)*0.475*44/12</f>
        <v>1.7835994984200684E-2</v>
      </c>
      <c r="BS99" s="24">
        <f t="shared" si="63"/>
        <v>202.81805166987439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-1.1368683772161603E-12</v>
      </c>
      <c r="O100" s="14">
        <f>N100*VLOOKUP('Données projet'!$B$9,Paramètres!$A$1:$I$89,3,0)*VLOOKUP('Données projet'!$B$9,Paramètres!$A$1:$I$89,5,0)</f>
        <v>-6.3550942286383359E-13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500.52921520843432</v>
      </c>
      <c r="T100" s="62">
        <f t="shared" si="88"/>
        <v>430.43167430170087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308.91404609466935</v>
      </c>
      <c r="AA100" s="23">
        <f>EXP(-LN(2)/25)*AA99+(1-EXP(-LN(2)/25))/(LN(2)/25)*Calculateur!V100*Calculateur!X100*VLOOKUP('Données projet'!$B$9,Paramètres!$A$1:$I$89,3,0)*0.475*44/12</f>
        <v>27.099386459841437</v>
      </c>
      <c r="AB100" s="23">
        <f>EXP(-LN(2)/2)*AB99+(1-EXP(-LN(2)/2))/(LN(2)/2)*V100*Y100*VLOOKUP('Données projet'!$B$9,Paramètres!$A$1:$I$89,3,0)*0.475*44/12</f>
        <v>6.256397206492835E-2</v>
      </c>
      <c r="AC100" s="24">
        <f t="shared" si="57"/>
        <v>336.07599652657569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265.57412766850422</v>
      </c>
      <c r="AO100" s="62">
        <f t="shared" si="90"/>
        <v>179.39213799913273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170.65358365317277</v>
      </c>
      <c r="AV100" s="23">
        <f>EXP(-LN(2)/25)*AV99+(1-EXP(-LN(2)/25))/(LN(2)/25)*Calculateur!AQ100*Calculateur!AS100*VLOOKUP('Données projet'!$B$10,Paramètres!$A$1:$I$89,3,0)*0.475*44/12</f>
        <v>28.615529397748563</v>
      </c>
      <c r="AW100" s="23">
        <f>EXP(-LN(2)/2)*AW99+(1-EXP(-LN(2)/2))/(LN(2)/2)*AQ100*AT100*VLOOKUP('Données projet'!$B$10,Paramètres!$A$1:$I$89,3,0)*0.475*44/12</f>
        <v>2.7037831298527726</v>
      </c>
      <c r="AX100" s="23">
        <f t="shared" si="60"/>
        <v>201.97289618077411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-5.6843418860808015E-13</v>
      </c>
      <c r="BE100" s="14">
        <f>BD100*VLOOKUP('Données projet'!$B$11,Paramètres!$A$1:$I$89,3,0)*VLOOKUP('Données projet'!$B$11,Paramètres!$A$1:$I$89,5,0)</f>
        <v>-3.39923644787632E-13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361.81625684745416</v>
      </c>
      <c r="BJ100" s="62">
        <f t="shared" si="92"/>
        <v>302.25424592654684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183.91724440050103</v>
      </c>
      <c r="BQ100" s="23">
        <f>EXP(-LN(2)/25)*BQ99+(1-EXP(-LN(2)/25))/(LN(2)/25)*Calculateur!BL100*Calculateur!BN100*VLOOKUP('Données projet'!$B$11,Paramètres!$A$1:$I$89,3,0)*0.475*44/12</f>
        <v>14.788567172099134</v>
      </c>
      <c r="BR100" s="23">
        <f>EXP(-LN(2)/2)*BR99+(1-EXP(-LN(2)/2))/(LN(2)/2)*BL100*BO100*VLOOKUP('Données projet'!$B$11,Paramètres!$A$1:$I$89,3,0)*0.475*44/12</f>
        <v>1.2611953002537552E-2</v>
      </c>
      <c r="BS100" s="24">
        <f t="shared" si="63"/>
        <v>198.7184235256027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-1.1368683772161603E-12</v>
      </c>
      <c r="O101" s="14">
        <f>N101*VLOOKUP('Données projet'!$B$9,Paramètres!$A$1:$I$89,3,0)*VLOOKUP('Données projet'!$B$9,Paramètres!$A$1:$I$89,5,0)</f>
        <v>-6.3550942286383359E-13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500.52921520843432</v>
      </c>
      <c r="T101" s="62">
        <f t="shared" si="88"/>
        <v>430.43167430170087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302.85643006971617</v>
      </c>
      <c r="AA101" s="23">
        <f>EXP(-LN(2)/25)*AA100+(1-EXP(-LN(2)/25))/(LN(2)/25)*Calculateur!V101*Calculateur!X101*VLOOKUP('Données projet'!$B$9,Paramètres!$A$1:$I$89,3,0)*0.475*44/12</f>
        <v>26.358352312002275</v>
      </c>
      <c r="AB101" s="23">
        <f>EXP(-LN(2)/2)*AB100+(1-EXP(-LN(2)/2))/(LN(2)/2)*V101*Y101*VLOOKUP('Données projet'!$B$9,Paramètres!$A$1:$I$89,3,0)*0.475*44/12</f>
        <v>4.4239408905076563E-2</v>
      </c>
      <c r="AC101" s="24">
        <f t="shared" si="57"/>
        <v>329.25902179062354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265.57412766850422</v>
      </c>
      <c r="AO101" s="62">
        <f t="shared" si="90"/>
        <v>179.39213799913273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167.30717096614219</v>
      </c>
      <c r="AV101" s="23">
        <f>EXP(-LN(2)/25)*AV100+(1-EXP(-LN(2)/25))/(LN(2)/25)*Calculateur!AQ101*Calculateur!AS101*VLOOKUP('Données projet'!$B$10,Paramètres!$A$1:$I$89,3,0)*0.475*44/12</f>
        <v>27.833036241541841</v>
      </c>
      <c r="AW101" s="23">
        <f>EXP(-LN(2)/2)*AW100+(1-EXP(-LN(2)/2))/(LN(2)/2)*AQ101*AT101*VLOOKUP('Données projet'!$B$10,Paramètres!$A$1:$I$89,3,0)*0.475*44/12</f>
        <v>1.9118633859766831</v>
      </c>
      <c r="AX101" s="23">
        <f t="shared" si="60"/>
        <v>197.05207059366072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-5.6843418860808015E-13</v>
      </c>
      <c r="BE101" s="14">
        <f>BD101*VLOOKUP('Données projet'!$B$11,Paramètres!$A$1:$I$89,3,0)*VLOOKUP('Données projet'!$B$11,Paramètres!$A$1:$I$89,5,0)</f>
        <v>-3.39923644787632E-13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361.81625684745416</v>
      </c>
      <c r="BJ101" s="62">
        <f t="shared" si="92"/>
        <v>302.25424592654684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180.31073941624959</v>
      </c>
      <c r="BQ101" s="23">
        <f>EXP(-LN(2)/25)*BQ100+(1-EXP(-LN(2)/25))/(LN(2)/25)*Calculateur!BL101*Calculateur!BN101*VLOOKUP('Données projet'!$B$11,Paramètres!$A$1:$I$89,3,0)*0.475*44/12</f>
        <v>14.384173025081134</v>
      </c>
      <c r="BR101" s="23">
        <f>EXP(-LN(2)/2)*BR100+(1-EXP(-LN(2)/2))/(LN(2)/2)*BL101*BO101*VLOOKUP('Données projet'!$B$11,Paramètres!$A$1:$I$89,3,0)*0.475*44/12</f>
        <v>8.9179974921003418E-3</v>
      </c>
      <c r="BS101" s="24">
        <f t="shared" si="63"/>
        <v>194.70383043882282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-1.1368683772161603E-12</v>
      </c>
      <c r="O102" s="14">
        <f>N102*VLOOKUP('Données projet'!$B$9,Paramètres!$A$1:$I$89,3,0)*VLOOKUP('Données projet'!$B$9,Paramètres!$A$1:$I$89,5,0)</f>
        <v>-6.3550942286383359E-13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500.52921520843432</v>
      </c>
      <c r="T102" s="62">
        <f t="shared" si="88"/>
        <v>430.43167430170087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296.91760020023139</v>
      </c>
      <c r="AA102" s="23">
        <f>EXP(-LN(2)/25)*AA101+(1-EXP(-LN(2)/25))/(LN(2)/25)*Calculateur!V102*Calculateur!X102*VLOOKUP('Données projet'!$B$9,Paramètres!$A$1:$I$89,3,0)*0.475*44/12</f>
        <v>25.637581781905066</v>
      </c>
      <c r="AB102" s="23">
        <f>EXP(-LN(2)/2)*AB101+(1-EXP(-LN(2)/2))/(LN(2)/2)*V102*Y102*VLOOKUP('Données projet'!$B$9,Paramètres!$A$1:$I$89,3,0)*0.475*44/12</f>
        <v>3.1281986032464175E-2</v>
      </c>
      <c r="AC102" s="24">
        <f t="shared" si="57"/>
        <v>322.58646396816891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265.57412766850422</v>
      </c>
      <c r="AO102" s="62">
        <f t="shared" si="90"/>
        <v>179.39213799913273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164.02637939079409</v>
      </c>
      <c r="AV102" s="23">
        <f>EXP(-LN(2)/25)*AV101+(1-EXP(-LN(2)/25))/(LN(2)/25)*Calculateur!AQ102*Calculateur!AS102*VLOOKUP('Données projet'!$B$10,Paramètres!$A$1:$I$89,3,0)*0.475*44/12</f>
        <v>27.071940401841115</v>
      </c>
      <c r="AW102" s="23">
        <f>EXP(-LN(2)/2)*AW101+(1-EXP(-LN(2)/2))/(LN(2)/2)*AQ102*AT102*VLOOKUP('Données projet'!$B$10,Paramètres!$A$1:$I$89,3,0)*0.475*44/12</f>
        <v>1.3518915649263865</v>
      </c>
      <c r="AX102" s="23">
        <f t="shared" si="60"/>
        <v>192.45021135756159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-5.6843418860808015E-13</v>
      </c>
      <c r="BE102" s="14">
        <f>BD102*VLOOKUP('Données projet'!$B$11,Paramètres!$A$1:$I$89,3,0)*VLOOKUP('Données projet'!$B$11,Paramètres!$A$1:$I$89,5,0)</f>
        <v>-3.39923644787632E-13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361.81625684745416</v>
      </c>
      <c r="BJ102" s="62">
        <f t="shared" si="92"/>
        <v>302.25424592654684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176.77495579498847</v>
      </c>
      <c r="BQ102" s="23">
        <f>EXP(-LN(2)/25)*BQ101+(1-EXP(-LN(2)/25))/(LN(2)/25)*Calculateur!BL102*Calculateur!BN102*VLOOKUP('Données projet'!$B$11,Paramètres!$A$1:$I$89,3,0)*0.475*44/12</f>
        <v>13.990837057279506</v>
      </c>
      <c r="BR102" s="23">
        <f>EXP(-LN(2)/2)*BR101+(1-EXP(-LN(2)/2))/(LN(2)/2)*BL102*BO102*VLOOKUP('Données projet'!$B$11,Paramètres!$A$1:$I$89,3,0)*0.475*44/12</f>
        <v>6.3059765012687761E-3</v>
      </c>
      <c r="BS102" s="24">
        <f t="shared" si="63"/>
        <v>190.77209882876923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-1.1368683772161603E-12</v>
      </c>
      <c r="O103" s="14">
        <f>N103*VLOOKUP('Données projet'!$B$9,Paramètres!$A$1:$I$89,3,0)*VLOOKUP('Données projet'!$B$9,Paramètres!$A$1:$I$89,5,0)</f>
        <v>-6.3550942286383359E-13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500.52921520843432</v>
      </c>
      <c r="T103" s="62">
        <f t="shared" si="88"/>
        <v>430.43167430170087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291.09522716215866</v>
      </c>
      <c r="AA103" s="23">
        <f>EXP(-LN(2)/25)*AA102+(1-EXP(-LN(2)/25))/(LN(2)/25)*Calculateur!V103*Calculateur!X103*VLOOKUP('Données projet'!$B$9,Paramètres!$A$1:$I$89,3,0)*0.475*44/12</f>
        <v>24.936520759857043</v>
      </c>
      <c r="AB103" s="23">
        <f>EXP(-LN(2)/2)*AB102+(1-EXP(-LN(2)/2))/(LN(2)/2)*V103*Y103*VLOOKUP('Données projet'!$B$9,Paramètres!$A$1:$I$89,3,0)*0.475*44/12</f>
        <v>2.2119704452538282E-2</v>
      </c>
      <c r="AC103" s="24">
        <f t="shared" si="57"/>
        <v>316.05386762646827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265.57412766850422</v>
      </c>
      <c r="AO103" s="62">
        <f t="shared" si="90"/>
        <v>179.39213799913273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160.80992213715331</v>
      </c>
      <c r="AV103" s="23">
        <f>EXP(-LN(2)/25)*AV102+(1-EXP(-LN(2)/25))/(LN(2)/25)*Calculateur!AQ103*Calculateur!AS103*VLOOKUP('Données projet'!$B$10,Paramètres!$A$1:$I$89,3,0)*0.475*44/12</f>
        <v>26.331656767901297</v>
      </c>
      <c r="AW103" s="23">
        <f>EXP(-LN(2)/2)*AW102+(1-EXP(-LN(2)/2))/(LN(2)/2)*AQ103*AT103*VLOOKUP('Données projet'!$B$10,Paramètres!$A$1:$I$89,3,0)*0.475*44/12</f>
        <v>0.9559316929883418</v>
      </c>
      <c r="AX103" s="23">
        <f t="shared" si="60"/>
        <v>188.09751059804296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-5.6843418860808015E-13</v>
      </c>
      <c r="BE103" s="14">
        <f>BD103*VLOOKUP('Données projet'!$B$11,Paramètres!$A$1:$I$89,3,0)*VLOOKUP('Données projet'!$B$11,Paramètres!$A$1:$I$89,5,0)</f>
        <v>-3.39923644787632E-13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361.81625684745416</v>
      </c>
      <c r="BJ103" s="62">
        <f t="shared" si="92"/>
        <v>302.25424592654684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173.30850673392524</v>
      </c>
      <c r="BQ103" s="23">
        <f>EXP(-LN(2)/25)*BQ102+(1-EXP(-LN(2)/25))/(LN(2)/25)*Calculateur!BL103*Calculateur!BN103*VLOOKUP('Données projet'!$B$11,Paramètres!$A$1:$I$89,3,0)*0.475*44/12</f>
        <v>13.608256882202054</v>
      </c>
      <c r="BR103" s="23">
        <f>EXP(-LN(2)/2)*BR102+(1-EXP(-LN(2)/2))/(LN(2)/2)*BL103*BO103*VLOOKUP('Données projet'!$B$11,Paramètres!$A$1:$I$89,3,0)*0.475*44/12</f>
        <v>4.4589987460501709E-3</v>
      </c>
      <c r="BS103" s="24">
        <f t="shared" si="63"/>
        <v>186.92122261487336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-1.1368683772161603E-12</v>
      </c>
      <c r="O104" s="14">
        <f>N104*VLOOKUP('Données projet'!$B$9,Paramètres!$A$1:$I$89,3,0)*VLOOKUP('Données projet'!$B$9,Paramètres!$A$1:$I$89,5,0)</f>
        <v>-6.3550942286383359E-13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500.52921520843432</v>
      </c>
      <c r="T104" s="62">
        <f t="shared" si="88"/>
        <v>430.43167430170087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285.38702730806563</v>
      </c>
      <c r="AA104" s="23">
        <f>EXP(-LN(2)/25)*AA103+(1-EXP(-LN(2)/25))/(LN(2)/25)*Calculateur!V104*Calculateur!X104*VLOOKUP('Données projet'!$B$9,Paramètres!$A$1:$I$89,3,0)*0.475*44/12</f>
        <v>24.254630288324119</v>
      </c>
      <c r="AB104" s="23">
        <f>EXP(-LN(2)/2)*AB103+(1-EXP(-LN(2)/2))/(LN(2)/2)*V104*Y104*VLOOKUP('Données projet'!$B$9,Paramètres!$A$1:$I$89,3,0)*0.475*44/12</f>
        <v>1.5640993016232087E-2</v>
      </c>
      <c r="AC104" s="24">
        <f t="shared" si="57"/>
        <v>309.65729858940597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265.57412766850422</v>
      </c>
      <c r="AO104" s="62">
        <f t="shared" si="90"/>
        <v>179.39213799913273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157.65653764841122</v>
      </c>
      <c r="AV104" s="23">
        <f>EXP(-LN(2)/25)*AV103+(1-EXP(-LN(2)/25))/(LN(2)/25)*Calculateur!AQ104*Calculateur!AS104*VLOOKUP('Données projet'!$B$10,Paramètres!$A$1:$I$89,3,0)*0.475*44/12</f>
        <v>25.61161622886139</v>
      </c>
      <c r="AW104" s="23">
        <f>EXP(-LN(2)/2)*AW103+(1-EXP(-LN(2)/2))/(LN(2)/2)*AQ104*AT104*VLOOKUP('Données projet'!$B$10,Paramètres!$A$1:$I$89,3,0)*0.475*44/12</f>
        <v>0.67594578246319337</v>
      </c>
      <c r="AX104" s="23">
        <f t="shared" si="60"/>
        <v>183.9440996597358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-5.6843418860808015E-13</v>
      </c>
      <c r="BE104" s="14">
        <f>BD104*VLOOKUP('Données projet'!$B$11,Paramètres!$A$1:$I$89,3,0)*VLOOKUP('Données projet'!$B$11,Paramètres!$A$1:$I$89,5,0)</f>
        <v>-3.39923644787632E-13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361.81625684745416</v>
      </c>
      <c r="BJ104" s="62">
        <f t="shared" si="92"/>
        <v>302.25424592654684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169.91003262462431</v>
      </c>
      <c r="BQ104" s="23">
        <f>EXP(-LN(2)/25)*BQ103+(1-EXP(-LN(2)/25))/(LN(2)/25)*Calculateur!BL104*Calculateur!BN104*VLOOKUP('Données projet'!$B$11,Paramètres!$A$1:$I$89,3,0)*0.475*44/12</f>
        <v>13.236138382131111</v>
      </c>
      <c r="BR104" s="23">
        <f>EXP(-LN(2)/2)*BR103+(1-EXP(-LN(2)/2))/(LN(2)/2)*BL104*BO104*VLOOKUP('Données projet'!$B$11,Paramètres!$A$1:$I$89,3,0)*0.475*44/12</f>
        <v>3.152988250634388E-3</v>
      </c>
      <c r="BS104" s="24">
        <f t="shared" si="63"/>
        <v>183.14932399500606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-1.1368683772161603E-12</v>
      </c>
      <c r="O105" s="14">
        <f>N105*VLOOKUP('Données projet'!$B$9,Paramètres!$A$1:$I$89,3,0)*VLOOKUP('Données projet'!$B$9,Paramètres!$A$1:$I$89,5,0)</f>
        <v>-6.3550942286383359E-13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500.52921520843432</v>
      </c>
      <c r="T105" s="62">
        <f t="shared" si="88"/>
        <v>430.43167430170087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279.79076177145322</v>
      </c>
      <c r="AA105" s="23">
        <f>EXP(-LN(2)/25)*AA104+(1-EXP(-LN(2)/25))/(LN(2)/25)*Calculateur!V105*Calculateur!X105*VLOOKUP('Données projet'!$B$9,Paramètres!$A$1:$I$89,3,0)*0.475*44/12</f>
        <v>23.591386147594324</v>
      </c>
      <c r="AB105" s="23">
        <f>EXP(-LN(2)/2)*AB104+(1-EXP(-LN(2)/2))/(LN(2)/2)*V105*Y105*VLOOKUP('Données projet'!$B$9,Paramètres!$A$1:$I$89,3,0)*0.475*44/12</f>
        <v>1.1059852226269141E-2</v>
      </c>
      <c r="AC105" s="24">
        <f t="shared" si="57"/>
        <v>303.39320777127381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265.57412766850422</v>
      </c>
      <c r="AO105" s="62">
        <f t="shared" si="90"/>
        <v>179.39213799913273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154.56498910611873</v>
      </c>
      <c r="AV105" s="23">
        <f>EXP(-LN(2)/25)*AV104+(1-EXP(-LN(2)/25))/(LN(2)/25)*Calculateur!AQ105*Calculateur!AS105*VLOOKUP('Données projet'!$B$10,Paramètres!$A$1:$I$89,3,0)*0.475*44/12</f>
        <v>24.911265236226814</v>
      </c>
      <c r="AW105" s="23">
        <f>EXP(-LN(2)/2)*AW104+(1-EXP(-LN(2)/2))/(LN(2)/2)*AQ105*AT105*VLOOKUP('Données projet'!$B$10,Paramètres!$A$1:$I$89,3,0)*0.475*44/12</f>
        <v>0.47796584649417095</v>
      </c>
      <c r="AX105" s="23">
        <f t="shared" si="60"/>
        <v>179.95422018883971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-5.6843418860808015E-13</v>
      </c>
      <c r="BE105" s="14">
        <f>BD105*VLOOKUP('Données projet'!$B$11,Paramètres!$A$1:$I$89,3,0)*VLOOKUP('Données projet'!$B$11,Paramètres!$A$1:$I$89,5,0)</f>
        <v>-3.39923644787632E-13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361.81625684745416</v>
      </c>
      <c r="BJ105" s="62">
        <f t="shared" si="92"/>
        <v>302.25424592654684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166.57820051974224</v>
      </c>
      <c r="BQ105" s="23">
        <f>EXP(-LN(2)/25)*BQ104+(1-EXP(-LN(2)/25))/(LN(2)/25)*Calculateur!BL105*Calculateur!BN105*VLOOKUP('Données projet'!$B$11,Paramètres!$A$1:$I$89,3,0)*0.475*44/12</f>
        <v>12.874195482013469</v>
      </c>
      <c r="BR105" s="23">
        <f>EXP(-LN(2)/2)*BR104+(1-EXP(-LN(2)/2))/(LN(2)/2)*BL105*BO105*VLOOKUP('Données projet'!$B$11,Paramètres!$A$1:$I$89,3,0)*0.475*44/12</f>
        <v>2.2294993730250855E-3</v>
      </c>
      <c r="BS105" s="24">
        <f t="shared" si="63"/>
        <v>179.45462550112873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-1.1368683772161603E-12</v>
      </c>
      <c r="O106" s="14">
        <f>N106*VLOOKUP('Données projet'!$B$9,Paramètres!$A$1:$I$89,3,0)*VLOOKUP('Données projet'!$B$9,Paramètres!$A$1:$I$89,5,0)</f>
        <v>-6.3550942286383359E-13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500.52921520843432</v>
      </c>
      <c r="T106" s="62">
        <f t="shared" si="88"/>
        <v>430.43167430170087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274.30423558862884</v>
      </c>
      <c r="AA106" s="23">
        <f>EXP(-LN(2)/25)*AA105+(1-EXP(-LN(2)/25))/(LN(2)/25)*Calculateur!V106*Calculateur!X106*VLOOKUP('Données projet'!$B$9,Paramètres!$A$1:$I$89,3,0)*0.475*44/12</f>
        <v>22.946278452771278</v>
      </c>
      <c r="AB106" s="23">
        <f>EXP(-LN(2)/2)*AB105+(1-EXP(-LN(2)/2))/(LN(2)/2)*V106*Y106*VLOOKUP('Données projet'!$B$9,Paramètres!$A$1:$I$89,3,0)*0.475*44/12</f>
        <v>7.8204965081160437E-3</v>
      </c>
      <c r="AC106" s="24">
        <f t="shared" si="57"/>
        <v>297.25833453790818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265.57412766850422</v>
      </c>
      <c r="AO106" s="62">
        <f t="shared" si="90"/>
        <v>179.39213799913273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151.53406394508218</v>
      </c>
      <c r="AV106" s="23">
        <f>EXP(-LN(2)/25)*AV105+(1-EXP(-LN(2)/25))/(LN(2)/25)*Calculateur!AQ106*Calculateur!AS106*VLOOKUP('Données projet'!$B$10,Paramètres!$A$1:$I$89,3,0)*0.475*44/12</f>
        <v>24.23006537831569</v>
      </c>
      <c r="AW106" s="23">
        <f>EXP(-LN(2)/2)*AW105+(1-EXP(-LN(2)/2))/(LN(2)/2)*AQ106*AT106*VLOOKUP('Données projet'!$B$10,Paramètres!$A$1:$I$89,3,0)*0.475*44/12</f>
        <v>0.33797289123159674</v>
      </c>
      <c r="AX106" s="23">
        <f t="shared" si="60"/>
        <v>176.10210221462947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-5.6843418860808015E-13</v>
      </c>
      <c r="BE106" s="14">
        <f>BD106*VLOOKUP('Données projet'!$B$11,Paramètres!$A$1:$I$89,3,0)*VLOOKUP('Données projet'!$B$11,Paramètres!$A$1:$I$89,5,0)</f>
        <v>-3.39923644787632E-13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361.81625684745416</v>
      </c>
      <c r="BJ106" s="62">
        <f t="shared" si="92"/>
        <v>302.25424592654684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163.31170361021998</v>
      </c>
      <c r="BQ106" s="23">
        <f>EXP(-LN(2)/25)*BQ105+(1-EXP(-LN(2)/25))/(LN(2)/25)*Calculateur!BL106*Calculateur!BN106*VLOOKUP('Données projet'!$B$11,Paramètres!$A$1:$I$89,3,0)*0.475*44/12</f>
        <v>12.522149929533295</v>
      </c>
      <c r="BR106" s="23">
        <f>EXP(-LN(2)/2)*BR105+(1-EXP(-LN(2)/2))/(LN(2)/2)*BL106*BO106*VLOOKUP('Données projet'!$B$11,Paramètres!$A$1:$I$89,3,0)*0.475*44/12</f>
        <v>1.576494125317194E-3</v>
      </c>
      <c r="BS106" s="24">
        <f t="shared" si="63"/>
        <v>175.83543003387859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-1.1368683772161603E-12</v>
      </c>
      <c r="O107" s="14">
        <f>N107*VLOOKUP('Données projet'!$B$9,Paramètres!$A$1:$I$89,3,0)*VLOOKUP('Données projet'!$B$9,Paramètres!$A$1:$I$89,5,0)</f>
        <v>-6.3550942286383359E-13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500.52921520843432</v>
      </c>
      <c r="T107" s="62">
        <f t="shared" si="88"/>
        <v>430.43167430170087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268.92529683779912</v>
      </c>
      <c r="AA107" s="23">
        <f>EXP(-LN(2)/25)*AA106+(1-EXP(-LN(2)/25))/(LN(2)/25)*Calculateur!V107*Calculateur!X107*VLOOKUP('Données projet'!$B$9,Paramètres!$A$1:$I$89,3,0)*0.475*44/12</f>
        <v>22.318811261787907</v>
      </c>
      <c r="AB107" s="23">
        <f>EXP(-LN(2)/2)*AB106+(1-EXP(-LN(2)/2))/(LN(2)/2)*V107*Y107*VLOOKUP('Données projet'!$B$9,Paramètres!$A$1:$I$89,3,0)*0.475*44/12</f>
        <v>5.5299261131345704E-3</v>
      </c>
      <c r="AC107" s="24">
        <f t="shared" si="57"/>
        <v>291.24963802570016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265.57412766850422</v>
      </c>
      <c r="AO107" s="62">
        <f t="shared" si="90"/>
        <v>179.39213799913273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148.56257337777174</v>
      </c>
      <c r="AV107" s="23">
        <f>EXP(-LN(2)/25)*AV106+(1-EXP(-LN(2)/25))/(LN(2)/25)*Calculateur!AQ107*Calculateur!AS107*VLOOKUP('Données projet'!$B$10,Paramètres!$A$1:$I$89,3,0)*0.475*44/12</f>
        <v>23.567492966341888</v>
      </c>
      <c r="AW107" s="23">
        <f>EXP(-LN(2)/2)*AW106+(1-EXP(-LN(2)/2))/(LN(2)/2)*AQ107*AT107*VLOOKUP('Données projet'!$B$10,Paramètres!$A$1:$I$89,3,0)*0.475*44/12</f>
        <v>0.2389829232470855</v>
      </c>
      <c r="AX107" s="23">
        <f t="shared" si="60"/>
        <v>172.36904926736071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-5.6843418860808015E-13</v>
      </c>
      <c r="BE107" s="14">
        <f>BD107*VLOOKUP('Données projet'!$B$11,Paramètres!$A$1:$I$89,3,0)*VLOOKUP('Données projet'!$B$11,Paramètres!$A$1:$I$89,5,0)</f>
        <v>-3.39923644787632E-13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361.81625684745416</v>
      </c>
      <c r="BJ107" s="62">
        <f t="shared" si="92"/>
        <v>302.25424592654684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160.10926071272706</v>
      </c>
      <c r="BQ107" s="23">
        <f>EXP(-LN(2)/25)*BQ106+(1-EXP(-LN(2)/25))/(LN(2)/25)*Calculateur!BL107*Calculateur!BN107*VLOOKUP('Données projet'!$B$11,Paramètres!$A$1:$I$89,3,0)*0.475*44/12</f>
        <v>12.179731081198963</v>
      </c>
      <c r="BR107" s="23">
        <f>EXP(-LN(2)/2)*BR106+(1-EXP(-LN(2)/2))/(LN(2)/2)*BL107*BO107*VLOOKUP('Données projet'!$B$11,Paramètres!$A$1:$I$89,3,0)*0.475*44/12</f>
        <v>1.1147496865125427E-3</v>
      </c>
      <c r="BS107" s="24">
        <f t="shared" si="63"/>
        <v>172.29010654361252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-1.1368683772161603E-12</v>
      </c>
      <c r="O108" s="14">
        <f>N108*VLOOKUP('Données projet'!$B$9,Paramètres!$A$1:$I$89,3,0)*VLOOKUP('Données projet'!$B$9,Paramètres!$A$1:$I$89,5,0)</f>
        <v>-6.3550942286383359E-13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500.52921520843432</v>
      </c>
      <c r="T108" s="62">
        <f t="shared" si="88"/>
        <v>430.43167430170087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263.65183579504452</v>
      </c>
      <c r="AA108" s="23">
        <f>EXP(-LN(2)/25)*AA107+(1-EXP(-LN(2)/25))/(LN(2)/25)*Calculateur!V108*Calculateur!X108*VLOOKUP('Données projet'!$B$9,Paramètres!$A$1:$I$89,3,0)*0.475*44/12</f>
        <v>21.708502194139044</v>
      </c>
      <c r="AB108" s="23">
        <f>EXP(-LN(2)/2)*AB107+(1-EXP(-LN(2)/2))/(LN(2)/2)*V108*Y108*VLOOKUP('Données projet'!$B$9,Paramètres!$A$1:$I$89,3,0)*0.475*44/12</f>
        <v>3.9102482540580219E-3</v>
      </c>
      <c r="AC108" s="24">
        <f t="shared" si="57"/>
        <v>285.36424823743761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265.57412766850422</v>
      </c>
      <c r="AO108" s="62">
        <f t="shared" si="90"/>
        <v>179.39213799913273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145.64935192805598</v>
      </c>
      <c r="AV108" s="23">
        <f>EXP(-LN(2)/25)*AV107+(1-EXP(-LN(2)/25))/(LN(2)/25)*Calculateur!AQ108*Calculateur!AS108*VLOOKUP('Données projet'!$B$10,Paramètres!$A$1:$I$89,3,0)*0.475*44/12</f>
        <v>22.923038631816677</v>
      </c>
      <c r="AW108" s="23">
        <f>EXP(-LN(2)/2)*AW107+(1-EXP(-LN(2)/2))/(LN(2)/2)*AQ108*AT108*VLOOKUP('Données projet'!$B$10,Paramètres!$A$1:$I$89,3,0)*0.475*44/12</f>
        <v>0.16898644561579837</v>
      </c>
      <c r="AX108" s="23">
        <f t="shared" si="60"/>
        <v>168.74137700548843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-5.6843418860808015E-13</v>
      </c>
      <c r="BE108" s="14">
        <f>BD108*VLOOKUP('Données projet'!$B$11,Paramètres!$A$1:$I$89,3,0)*VLOOKUP('Données projet'!$B$11,Paramètres!$A$1:$I$89,5,0)</f>
        <v>-3.39923644787632E-13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361.81625684745416</v>
      </c>
      <c r="BJ108" s="62">
        <f t="shared" si="92"/>
        <v>302.25424592654684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156.96961576715668</v>
      </c>
      <c r="BQ108" s="23">
        <f>EXP(-LN(2)/25)*BQ107+(1-EXP(-LN(2)/25))/(LN(2)/25)*Calculateur!BL108*Calculateur!BN108*VLOOKUP('Données projet'!$B$11,Paramètres!$A$1:$I$89,3,0)*0.475*44/12</f>
        <v>11.846675694279357</v>
      </c>
      <c r="BR108" s="23">
        <f>EXP(-LN(2)/2)*BR107+(1-EXP(-LN(2)/2))/(LN(2)/2)*BL108*BO108*VLOOKUP('Données projet'!$B$11,Paramètres!$A$1:$I$89,3,0)*0.475*44/12</f>
        <v>7.8824706265859701E-4</v>
      </c>
      <c r="BS108" s="24">
        <f t="shared" si="63"/>
        <v>168.81707970849871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-1.1368683772161603E-12</v>
      </c>
      <c r="O109" s="14">
        <f>N109*VLOOKUP('Données projet'!$B$9,Paramètres!$A$1:$I$89,3,0)*VLOOKUP('Données projet'!$B$9,Paramètres!$A$1:$I$89,5,0)</f>
        <v>-6.3550942286383359E-13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500.52921520843432</v>
      </c>
      <c r="T109" s="62">
        <f t="shared" si="88"/>
        <v>430.43167430170087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258.48178410684471</v>
      </c>
      <c r="AA109" s="23">
        <f>EXP(-LN(2)/25)*AA108+(1-EXP(-LN(2)/25))/(LN(2)/25)*Calculateur!V109*Calculateur!X109*VLOOKUP('Données projet'!$B$9,Paramètres!$A$1:$I$89,3,0)*0.475*44/12</f>
        <v>21.114882060039797</v>
      </c>
      <c r="AB109" s="23">
        <f>EXP(-LN(2)/2)*AB108+(1-EXP(-LN(2)/2))/(LN(2)/2)*V109*Y109*VLOOKUP('Données projet'!$B$9,Paramètres!$A$1:$I$89,3,0)*0.475*44/12</f>
        <v>2.7649630565672852E-3</v>
      </c>
      <c r="AC109" s="24">
        <f t="shared" si="57"/>
        <v>279.59943112994108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265.57412766850422</v>
      </c>
      <c r="AO109" s="62">
        <f t="shared" si="90"/>
        <v>179.39213799913273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142.79325697407953</v>
      </c>
      <c r="AV109" s="23">
        <f>EXP(-LN(2)/25)*AV108+(1-EXP(-LN(2)/25))/(LN(2)/25)*Calculateur!AQ109*Calculateur!AS109*VLOOKUP('Données projet'!$B$10,Paramètres!$A$1:$I$89,3,0)*0.475*44/12</f>
        <v>22.296206934959439</v>
      </c>
      <c r="AW109" s="23">
        <f>EXP(-LN(2)/2)*AW108+(1-EXP(-LN(2)/2))/(LN(2)/2)*AQ109*AT109*VLOOKUP('Données projet'!$B$10,Paramètres!$A$1:$I$89,3,0)*0.475*44/12</f>
        <v>0.11949146162354275</v>
      </c>
      <c r="AX109" s="23">
        <f t="shared" si="60"/>
        <v>165.20895537066249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-5.6843418860808015E-13</v>
      </c>
      <c r="BE109" s="14">
        <f>BD109*VLOOKUP('Données projet'!$B$11,Paramètres!$A$1:$I$89,3,0)*VLOOKUP('Données projet'!$B$11,Paramètres!$A$1:$I$89,5,0)</f>
        <v>-3.39923644787632E-13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361.81625684745416</v>
      </c>
      <c r="BJ109" s="62">
        <f t="shared" si="92"/>
        <v>302.25424592654684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153.89153734397462</v>
      </c>
      <c r="BQ109" s="23">
        <f>EXP(-LN(2)/25)*BQ108+(1-EXP(-LN(2)/25))/(LN(2)/25)*Calculateur!BL109*Calculateur!BN109*VLOOKUP('Données projet'!$B$11,Paramètres!$A$1:$I$89,3,0)*0.475*44/12</f>
        <v>11.522727724429689</v>
      </c>
      <c r="BR109" s="23">
        <f>EXP(-LN(2)/2)*BR108+(1-EXP(-LN(2)/2))/(LN(2)/2)*BL109*BO109*VLOOKUP('Données projet'!$B$11,Paramètres!$A$1:$I$89,3,0)*0.475*44/12</f>
        <v>5.5737484325627136E-4</v>
      </c>
      <c r="BS109" s="24">
        <f t="shared" si="63"/>
        <v>165.41482244324757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-1.1368683772161603E-12</v>
      </c>
      <c r="O110" s="14">
        <f>N110*VLOOKUP('Données projet'!$B$9,Paramètres!$A$1:$I$89,3,0)*VLOOKUP('Données projet'!$B$9,Paramètres!$A$1:$I$89,5,0)</f>
        <v>-6.3550942286383359E-13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500.52921520843432</v>
      </c>
      <c r="T110" s="62">
        <f t="shared" si="88"/>
        <v>430.43167430170087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253.41311397883032</v>
      </c>
      <c r="AA110" s="23">
        <f>EXP(-LN(2)/25)*AA109+(1-EXP(-LN(2)/25))/(LN(2)/25)*Calculateur!V110*Calculateur!X110*VLOOKUP('Données projet'!$B$9,Paramètres!$A$1:$I$89,3,0)*0.475*44/12</f>
        <v>20.53749449972462</v>
      </c>
      <c r="AB110" s="23">
        <f>EXP(-LN(2)/2)*AB109+(1-EXP(-LN(2)/2))/(LN(2)/2)*V110*Y110*VLOOKUP('Données projet'!$B$9,Paramètres!$A$1:$I$89,3,0)*0.475*44/12</f>
        <v>1.9551241270290109E-3</v>
      </c>
      <c r="AC110" s="24">
        <f t="shared" si="57"/>
        <v>273.95256360268201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265.57412766850422</v>
      </c>
      <c r="AO110" s="62">
        <f t="shared" si="90"/>
        <v>179.39213799913273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139.99316830010463</v>
      </c>
      <c r="AV110" s="23">
        <f>EXP(-LN(2)/25)*AV109+(1-EXP(-LN(2)/25))/(LN(2)/25)*Calculateur!AQ110*Calculateur!AS110*VLOOKUP('Données projet'!$B$10,Paramètres!$A$1:$I$89,3,0)*0.475*44/12</f>
        <v>21.68651598381641</v>
      </c>
      <c r="AW110" s="23">
        <f>EXP(-LN(2)/2)*AW109+(1-EXP(-LN(2)/2))/(LN(2)/2)*AQ110*AT110*VLOOKUP('Données projet'!$B$10,Paramètres!$A$1:$I$89,3,0)*0.475*44/12</f>
        <v>8.4493222807899185E-2</v>
      </c>
      <c r="AX110" s="23">
        <f t="shared" si="60"/>
        <v>161.76417750672894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-5.6843418860808015E-13</v>
      </c>
      <c r="BE110" s="14">
        <f>BD110*VLOOKUP('Données projet'!$B$11,Paramètres!$A$1:$I$89,3,0)*VLOOKUP('Données projet'!$B$11,Paramètres!$A$1:$I$89,5,0)</f>
        <v>-3.39923644787632E-13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361.81625684745416</v>
      </c>
      <c r="BJ110" s="62">
        <f t="shared" si="92"/>
        <v>302.25424592654684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150.87381816122871</v>
      </c>
      <c r="BQ110" s="23">
        <f>EXP(-LN(2)/25)*BQ109+(1-EXP(-LN(2)/25))/(LN(2)/25)*Calculateur!BL110*Calculateur!BN110*VLOOKUP('Données projet'!$B$11,Paramètres!$A$1:$I$89,3,0)*0.475*44/12</f>
        <v>11.207638128851244</v>
      </c>
      <c r="BR110" s="23">
        <f>EXP(-LN(2)/2)*BR109+(1-EXP(-LN(2)/2))/(LN(2)/2)*BL110*BO110*VLOOKUP('Données projet'!$B$11,Paramètres!$A$1:$I$89,3,0)*0.475*44/12</f>
        <v>3.9412353132929851E-4</v>
      </c>
      <c r="BS110" s="24">
        <f t="shared" si="63"/>
        <v>162.08185041361128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-1.1368683772161603E-12</v>
      </c>
      <c r="O111" s="14">
        <f>N111*VLOOKUP('Données projet'!$B$9,Paramètres!$A$1:$I$89,3,0)*VLOOKUP('Données projet'!$B$9,Paramètres!$A$1:$I$89,5,0)</f>
        <v>-6.3550942286383359E-13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500.52921520843432</v>
      </c>
      <c r="T111" s="62">
        <f t="shared" si="88"/>
        <v>430.43167430170087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248.4438373804428</v>
      </c>
      <c r="AA111" s="23">
        <f>EXP(-LN(2)/25)*AA110+(1-EXP(-LN(2)/25))/(LN(2)/25)*Calculateur!V111*Calculateur!X111*VLOOKUP('Données projet'!$B$9,Paramètres!$A$1:$I$89,3,0)*0.475*44/12</f>
        <v>19.975895632609753</v>
      </c>
      <c r="AB111" s="23">
        <f>EXP(-LN(2)/2)*AB110+(1-EXP(-LN(2)/2))/(LN(2)/2)*V111*Y111*VLOOKUP('Données projet'!$B$9,Paramètres!$A$1:$I$89,3,0)*0.475*44/12</f>
        <v>1.3824815282836426E-3</v>
      </c>
      <c r="AC111" s="24">
        <f t="shared" si="57"/>
        <v>268.42111549458087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265.57412766850422</v>
      </c>
      <c r="AO111" s="62">
        <f t="shared" si="90"/>
        <v>179.39213799913273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137.24798765714092</v>
      </c>
      <c r="AV111" s="23">
        <f>EXP(-LN(2)/25)*AV110+(1-EXP(-LN(2)/25))/(LN(2)/25)*Calculateur!AQ111*Calculateur!AS111*VLOOKUP('Données projet'!$B$10,Paramètres!$A$1:$I$89,3,0)*0.475*44/12</f>
        <v>21.09349706379464</v>
      </c>
      <c r="AW111" s="23">
        <f>EXP(-LN(2)/2)*AW110+(1-EXP(-LN(2)/2))/(LN(2)/2)*AQ111*AT111*VLOOKUP('Données projet'!$B$10,Paramètres!$A$1:$I$89,3,0)*0.475*44/12</f>
        <v>5.9745730811771376E-2</v>
      </c>
      <c r="AX111" s="23">
        <f t="shared" si="60"/>
        <v>158.40123045174735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-5.6843418860808015E-13</v>
      </c>
      <c r="BE111" s="14">
        <f>BD111*VLOOKUP('Données projet'!$B$11,Paramètres!$A$1:$I$89,3,0)*VLOOKUP('Données projet'!$B$11,Paramètres!$A$1:$I$89,5,0)</f>
        <v>-3.39923644787632E-13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361.81625684745416</v>
      </c>
      <c r="BJ111" s="62">
        <f t="shared" si="92"/>
        <v>302.25424592654684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147.91527461102947</v>
      </c>
      <c r="BQ111" s="23">
        <f>EXP(-LN(2)/25)*BQ110+(1-EXP(-LN(2)/25))/(LN(2)/25)*Calculateur!BL111*Calculateur!BN111*VLOOKUP('Données projet'!$B$11,Paramètres!$A$1:$I$89,3,0)*0.475*44/12</f>
        <v>10.901164674833733</v>
      </c>
      <c r="BR111" s="23">
        <f>EXP(-LN(2)/2)*BR110+(1-EXP(-LN(2)/2))/(LN(2)/2)*BL111*BO111*VLOOKUP('Données projet'!$B$11,Paramètres!$A$1:$I$89,3,0)*0.475*44/12</f>
        <v>2.7868742162813568E-4</v>
      </c>
      <c r="BS111" s="24">
        <f t="shared" si="63"/>
        <v>158.81671797328482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-1.1368683772161603E-12</v>
      </c>
      <c r="O112" s="14">
        <f>N112*VLOOKUP('Données projet'!$B$9,Paramètres!$A$1:$I$89,3,0)*VLOOKUP('Données projet'!$B$9,Paramètres!$A$1:$I$89,5,0)</f>
        <v>-6.3550942286383359E-13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500.52921520843432</v>
      </c>
      <c r="T112" s="62">
        <f t="shared" si="88"/>
        <v>430.43167430170087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243.5720052651902</v>
      </c>
      <c r="AA112" s="23">
        <f>EXP(-LN(2)/25)*AA111+(1-EXP(-LN(2)/25))/(LN(2)/25)*Calculateur!V112*Calculateur!X112*VLOOKUP('Données projet'!$B$9,Paramètres!$A$1:$I$89,3,0)*0.475*44/12</f>
        <v>19.429653716049344</v>
      </c>
      <c r="AB112" s="23">
        <f>EXP(-LN(2)/2)*AB111+(1-EXP(-LN(2)/2))/(LN(2)/2)*V112*Y112*VLOOKUP('Données projet'!$B$9,Paramètres!$A$1:$I$89,3,0)*0.475*44/12</f>
        <v>9.7756206351450547E-4</v>
      </c>
      <c r="AC112" s="24">
        <f t="shared" si="57"/>
        <v>263.00263654330303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265.57412766850422</v>
      </c>
      <c r="AO112" s="62">
        <f t="shared" si="90"/>
        <v>179.39213799913273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134.55663833219089</v>
      </c>
      <c r="AV112" s="23">
        <f>EXP(-LN(2)/25)*AV111+(1-EXP(-LN(2)/25))/(LN(2)/25)*Calculateur!AQ112*Calculateur!AS112*VLOOKUP('Données projet'!$B$10,Paramètres!$A$1:$I$89,3,0)*0.475*44/12</f>
        <v>20.516694277326376</v>
      </c>
      <c r="AW112" s="23">
        <f>EXP(-LN(2)/2)*AW111+(1-EXP(-LN(2)/2))/(LN(2)/2)*AQ112*AT112*VLOOKUP('Données projet'!$B$10,Paramètres!$A$1:$I$89,3,0)*0.475*44/12</f>
        <v>4.2246611403949592E-2</v>
      </c>
      <c r="AX112" s="23">
        <f t="shared" si="60"/>
        <v>155.11557922092121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-5.6843418860808015E-13</v>
      </c>
      <c r="BE112" s="14">
        <f>BD112*VLOOKUP('Données projet'!$B$11,Paramètres!$A$1:$I$89,3,0)*VLOOKUP('Données projet'!$B$11,Paramètres!$A$1:$I$89,5,0)</f>
        <v>-3.39923644787632E-13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361.81625684745416</v>
      </c>
      <c r="BJ112" s="62">
        <f t="shared" si="92"/>
        <v>302.25424592654684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145.01474629531629</v>
      </c>
      <c r="BQ112" s="23">
        <f>EXP(-LN(2)/25)*BQ111+(1-EXP(-LN(2)/25))/(LN(2)/25)*Calculateur!BL112*Calculateur!BN112*VLOOKUP('Données projet'!$B$11,Paramètres!$A$1:$I$89,3,0)*0.475*44/12</f>
        <v>10.603071753533071</v>
      </c>
      <c r="BR112" s="23">
        <f>EXP(-LN(2)/2)*BR111+(1-EXP(-LN(2)/2))/(LN(2)/2)*BL112*BO112*VLOOKUP('Données projet'!$B$11,Paramètres!$A$1:$I$89,3,0)*0.475*44/12</f>
        <v>1.9706176566464925E-4</v>
      </c>
      <c r="BS112" s="24">
        <f t="shared" si="63"/>
        <v>155.61801511061503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-1.1368683772161603E-12</v>
      </c>
      <c r="O113" s="14">
        <f>N113*VLOOKUP('Données projet'!$B$9,Paramètres!$A$1:$I$89,3,0)*VLOOKUP('Données projet'!$B$9,Paramètres!$A$1:$I$89,5,0)</f>
        <v>-6.3550942286383359E-13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500.52921520843432</v>
      </c>
      <c r="T113" s="62">
        <f t="shared" si="88"/>
        <v>430.43167430170087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238.79570680619352</v>
      </c>
      <c r="AA113" s="23">
        <f>EXP(-LN(2)/25)*AA112+(1-EXP(-LN(2)/25))/(LN(2)/25)*Calculateur!V113*Calculateur!X113*VLOOKUP('Données projet'!$B$9,Paramètres!$A$1:$I$89,3,0)*0.475*44/12</f>
        <v>18.898348813422892</v>
      </c>
      <c r="AB113" s="23">
        <f>EXP(-LN(2)/2)*AB112+(1-EXP(-LN(2)/2))/(LN(2)/2)*V113*Y113*VLOOKUP('Données projet'!$B$9,Paramètres!$A$1:$I$89,3,0)*0.475*44/12</f>
        <v>6.912407641418213E-4</v>
      </c>
      <c r="AC113" s="24">
        <f t="shared" si="57"/>
        <v>257.69474686038052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265.57412766850422</v>
      </c>
      <c r="AO113" s="62">
        <f t="shared" si="90"/>
        <v>179.39213799913273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131.91806472594212</v>
      </c>
      <c r="AV113" s="23">
        <f>EXP(-LN(2)/25)*AV112+(1-EXP(-LN(2)/25))/(LN(2)/25)*Calculateur!AQ113*Calculateur!AS113*VLOOKUP('Données projet'!$B$10,Paramètres!$A$1:$I$89,3,0)*0.475*44/12</f>
        <v>19.955664193386827</v>
      </c>
      <c r="AW113" s="23">
        <f>EXP(-LN(2)/2)*AW112+(1-EXP(-LN(2)/2))/(LN(2)/2)*AQ113*AT113*VLOOKUP('Données projet'!$B$10,Paramètres!$A$1:$I$89,3,0)*0.475*44/12</f>
        <v>2.9872865405885688E-2</v>
      </c>
      <c r="AX113" s="23">
        <f t="shared" si="60"/>
        <v>151.90360178473483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-5.6843418860808015E-13</v>
      </c>
      <c r="BE113" s="14">
        <f>BD113*VLOOKUP('Données projet'!$B$11,Paramètres!$A$1:$I$89,3,0)*VLOOKUP('Données projet'!$B$11,Paramètres!$A$1:$I$89,5,0)</f>
        <v>-3.39923644787632E-13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361.81625684745416</v>
      </c>
      <c r="BJ113" s="62">
        <f t="shared" si="92"/>
        <v>302.25424592654684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142.17109557072664</v>
      </c>
      <c r="BQ113" s="23">
        <f>EXP(-LN(2)/25)*BQ112+(1-EXP(-LN(2)/25))/(LN(2)/25)*Calculateur!BL113*Calculateur!BN113*VLOOKUP('Données projet'!$B$11,Paramètres!$A$1:$I$89,3,0)*0.475*44/12</f>
        <v>10.313130198841399</v>
      </c>
      <c r="BR113" s="23">
        <f>EXP(-LN(2)/2)*BR112+(1-EXP(-LN(2)/2))/(LN(2)/2)*BL113*BO113*VLOOKUP('Données projet'!$B$11,Paramètres!$A$1:$I$89,3,0)*0.475*44/12</f>
        <v>1.3934371081406784E-4</v>
      </c>
      <c r="BS113" s="24">
        <f t="shared" si="63"/>
        <v>152.48436511327887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-1.1368683772161603E-12</v>
      </c>
      <c r="O114" s="14">
        <f>N114*VLOOKUP('Données projet'!$B$9,Paramètres!$A$1:$I$89,3,0)*VLOOKUP('Données projet'!$B$9,Paramètres!$A$1:$I$89,5,0)</f>
        <v>-6.3550942286383359E-13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500.52921520843432</v>
      </c>
      <c r="T114" s="62">
        <f t="shared" si="88"/>
        <v>430.43167430170087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234.11306864672338</v>
      </c>
      <c r="AA114" s="23">
        <f>EXP(-LN(2)/25)*AA113+(1-EXP(-LN(2)/25))/(LN(2)/25)*Calculateur!V114*Calculateur!X114*VLOOKUP('Données projet'!$B$9,Paramètres!$A$1:$I$89,3,0)*0.475*44/12</f>
        <v>18.38157247129887</v>
      </c>
      <c r="AB114" s="23">
        <f>EXP(-LN(2)/2)*AB113+(1-EXP(-LN(2)/2))/(LN(2)/2)*V114*Y114*VLOOKUP('Données projet'!$B$9,Paramètres!$A$1:$I$89,3,0)*0.475*44/12</f>
        <v>4.8878103175725273E-4</v>
      </c>
      <c r="AC114" s="24">
        <f t="shared" si="57"/>
        <v>252.49512989905401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265.57412766850422</v>
      </c>
      <c r="AO114" s="62">
        <f t="shared" si="90"/>
        <v>179.39213799913273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129.3312319387409</v>
      </c>
      <c r="AV114" s="23">
        <f>EXP(-LN(2)/25)*AV113+(1-EXP(-LN(2)/25))/(LN(2)/25)*Calculateur!AQ114*Calculateur!AS114*VLOOKUP('Données projet'!$B$10,Paramètres!$A$1:$I$89,3,0)*0.475*44/12</f>
        <v>19.409975506595895</v>
      </c>
      <c r="AW114" s="23">
        <f>EXP(-LN(2)/2)*AW113+(1-EXP(-LN(2)/2))/(LN(2)/2)*AQ114*AT114*VLOOKUP('Données projet'!$B$10,Paramètres!$A$1:$I$89,3,0)*0.475*44/12</f>
        <v>2.1123305701974796E-2</v>
      </c>
      <c r="AX114" s="23">
        <f t="shared" si="60"/>
        <v>148.76233075103875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-5.6843418860808015E-13</v>
      </c>
      <c r="BE114" s="14">
        <f>BD114*VLOOKUP('Données projet'!$B$11,Paramètres!$A$1:$I$89,3,0)*VLOOKUP('Données projet'!$B$11,Paramètres!$A$1:$I$89,5,0)</f>
        <v>-3.39923644787632E-13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361.81625684745416</v>
      </c>
      <c r="BJ114" s="62">
        <f t="shared" si="92"/>
        <v>302.25424592654684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139.38320710239051</v>
      </c>
      <c r="BQ114" s="23">
        <f>EXP(-LN(2)/25)*BQ113+(1-EXP(-LN(2)/25))/(LN(2)/25)*Calculateur!BL114*Calculateur!BN114*VLOOKUP('Données projet'!$B$11,Paramètres!$A$1:$I$89,3,0)*0.475*44/12</f>
        <v>10.031117111210134</v>
      </c>
      <c r="BR114" s="23">
        <f>EXP(-LN(2)/2)*BR113+(1-EXP(-LN(2)/2))/(LN(2)/2)*BL114*BO114*VLOOKUP('Données projet'!$B$11,Paramètres!$A$1:$I$89,3,0)*0.475*44/12</f>
        <v>9.8530882832324626E-5</v>
      </c>
      <c r="BS114" s="24">
        <f t="shared" si="63"/>
        <v>149.41442274448349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-1.1368683772161603E-12</v>
      </c>
      <c r="O115" s="14">
        <f>N115*VLOOKUP('Données projet'!$B$9,Paramètres!$A$1:$I$89,3,0)*VLOOKUP('Données projet'!$B$9,Paramètres!$A$1:$I$89,5,0)</f>
        <v>-6.3550942286383359E-13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500.52921520843432</v>
      </c>
      <c r="T115" s="62">
        <f t="shared" si="88"/>
        <v>430.43167430170087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229.5222541654332</v>
      </c>
      <c r="AA115" s="23">
        <f>EXP(-LN(2)/25)*AA114+(1-EXP(-LN(2)/25))/(LN(2)/25)*Calculateur!V115*Calculateur!X115*VLOOKUP('Données projet'!$B$9,Paramètres!$A$1:$I$89,3,0)*0.475*44/12</f>
        <v>17.878927405426317</v>
      </c>
      <c r="AB115" s="23">
        <f>EXP(-LN(2)/2)*AB114+(1-EXP(-LN(2)/2))/(LN(2)/2)*V115*Y115*VLOOKUP('Données projet'!$B$9,Paramètres!$A$1:$I$89,3,0)*0.475*44/12</f>
        <v>3.4562038207091065E-4</v>
      </c>
      <c r="AC115" s="24">
        <f t="shared" si="57"/>
        <v>247.40152719124157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265.57412766850422</v>
      </c>
      <c r="AO115" s="62">
        <f t="shared" si="90"/>
        <v>179.39213799913273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126.79512536468449</v>
      </c>
      <c r="AV115" s="23">
        <f>EXP(-LN(2)/25)*AV114+(1-EXP(-LN(2)/25))/(LN(2)/25)*Calculateur!AQ115*Calculateur!AS115*VLOOKUP('Données projet'!$B$10,Paramètres!$A$1:$I$89,3,0)*0.475*44/12</f>
        <v>18.87920870564178</v>
      </c>
      <c r="AW115" s="23">
        <f>EXP(-LN(2)/2)*AW114+(1-EXP(-LN(2)/2))/(LN(2)/2)*AQ115*AT115*VLOOKUP('Données projet'!$B$10,Paramètres!$A$1:$I$89,3,0)*0.475*44/12</f>
        <v>1.4936432702942844E-2</v>
      </c>
      <c r="AX115" s="23">
        <f t="shared" si="60"/>
        <v>145.68927050302921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-5.6843418860808015E-13</v>
      </c>
      <c r="BE115" s="14">
        <f>BD115*VLOOKUP('Données projet'!$B$11,Paramètres!$A$1:$I$89,3,0)*VLOOKUP('Données projet'!$B$11,Paramètres!$A$1:$I$89,5,0)</f>
        <v>-3.39923644787632E-13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361.81625684745416</v>
      </c>
      <c r="BJ115" s="62">
        <f t="shared" si="92"/>
        <v>302.25424592654684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136.64998742647441</v>
      </c>
      <c r="BQ115" s="23">
        <f>EXP(-LN(2)/25)*BQ114+(1-EXP(-LN(2)/25))/(LN(2)/25)*Calculateur!BL115*Calculateur!BN115*VLOOKUP('Données projet'!$B$11,Paramètres!$A$1:$I$89,3,0)*0.475*44/12</f>
        <v>9.7568156862905706</v>
      </c>
      <c r="BR115" s="23">
        <f>EXP(-LN(2)/2)*BR114+(1-EXP(-LN(2)/2))/(LN(2)/2)*BL115*BO115*VLOOKUP('Données projet'!$B$11,Paramètres!$A$1:$I$89,3,0)*0.475*44/12</f>
        <v>6.967185540703392E-5</v>
      </c>
      <c r="BS115" s="24">
        <f t="shared" si="63"/>
        <v>146.40687278462039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-1.1368683772161603E-12</v>
      </c>
      <c r="O116" s="14">
        <f>N116*VLOOKUP('Données projet'!$B$9,Paramètres!$A$1:$I$89,3,0)*VLOOKUP('Données projet'!$B$9,Paramètres!$A$1:$I$89,5,0)</f>
        <v>-6.3550942286383359E-13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500.52921520843432</v>
      </c>
      <c r="T116" s="62">
        <f t="shared" si="88"/>
        <v>430.43167430170087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225.02146275600077</v>
      </c>
      <c r="AA116" s="23">
        <f>EXP(-LN(2)/25)*AA115+(1-EXP(-LN(2)/25))/(LN(2)/25)*Calculateur!V116*Calculateur!X116*VLOOKUP('Données projet'!$B$9,Paramètres!$A$1:$I$89,3,0)*0.475*44/12</f>
        <v>17.390027195313007</v>
      </c>
      <c r="AB116" s="23">
        <f>EXP(-LN(2)/2)*AB115+(1-EXP(-LN(2)/2))/(LN(2)/2)*V116*Y116*VLOOKUP('Données projet'!$B$9,Paramètres!$A$1:$I$89,3,0)*0.475*44/12</f>
        <v>2.4439051587862637E-4</v>
      </c>
      <c r="AC116" s="24">
        <f t="shared" si="57"/>
        <v>242.41173434182966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265.57412766850422</v>
      </c>
      <c r="AO116" s="62">
        <f t="shared" si="90"/>
        <v>179.39213799913273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124.30875029367307</v>
      </c>
      <c r="AV116" s="23">
        <f>EXP(-LN(2)/25)*AV115+(1-EXP(-LN(2)/25))/(LN(2)/25)*Calculateur!AQ116*Calculateur!AS116*VLOOKUP('Données projet'!$B$10,Paramètres!$A$1:$I$89,3,0)*0.475*44/12</f>
        <v>18.362955750771569</v>
      </c>
      <c r="AW116" s="23">
        <f>EXP(-LN(2)/2)*AW115+(1-EXP(-LN(2)/2))/(LN(2)/2)*AQ116*AT116*VLOOKUP('Données projet'!$B$10,Paramètres!$A$1:$I$89,3,0)*0.475*44/12</f>
        <v>1.0561652850987398E-2</v>
      </c>
      <c r="AX116" s="23">
        <f t="shared" si="60"/>
        <v>142.68226769729563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-5.6843418860808015E-13</v>
      </c>
      <c r="BE116" s="14">
        <f>BD116*VLOOKUP('Données projet'!$B$11,Paramètres!$A$1:$I$89,3,0)*VLOOKUP('Données projet'!$B$11,Paramètres!$A$1:$I$89,5,0)</f>
        <v>-3.39923644787632E-13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361.81625684745416</v>
      </c>
      <c r="BJ116" s="62">
        <f t="shared" si="92"/>
        <v>302.25424592654684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133.97036452130362</v>
      </c>
      <c r="BQ116" s="23">
        <f>EXP(-LN(2)/25)*BQ115+(1-EXP(-LN(2)/25))/(LN(2)/25)*Calculateur!BL116*Calculateur!BN116*VLOOKUP('Données projet'!$B$11,Paramètres!$A$1:$I$89,3,0)*0.475*44/12</f>
        <v>9.4900150482603181</v>
      </c>
      <c r="BR116" s="23">
        <f>EXP(-LN(2)/2)*BR115+(1-EXP(-LN(2)/2))/(LN(2)/2)*BL116*BO116*VLOOKUP('Données projet'!$B$11,Paramètres!$A$1:$I$89,3,0)*0.475*44/12</f>
        <v>4.9265441416162313E-5</v>
      </c>
      <c r="BS116" s="24">
        <f t="shared" si="63"/>
        <v>143.46042883500536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-1.1368683772161603E-12</v>
      </c>
      <c r="O117" s="14">
        <f>N117*VLOOKUP('Données projet'!$B$9,Paramètres!$A$1:$I$89,3,0)*VLOOKUP('Données projet'!$B$9,Paramètres!$A$1:$I$89,5,0)</f>
        <v>-6.3550942286383359E-13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500.52921520843432</v>
      </c>
      <c r="T117" s="62">
        <f t="shared" si="88"/>
        <v>430.43167430170087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220.60892912089562</v>
      </c>
      <c r="AA117" s="23">
        <f>EXP(-LN(2)/25)*AA116+(1-EXP(-LN(2)/25))/(LN(2)/25)*Calculateur!V117*Calculateur!X117*VLOOKUP('Données projet'!$B$9,Paramètres!$A$1:$I$89,3,0)*0.475*44/12</f>
        <v>16.914495987155387</v>
      </c>
      <c r="AB117" s="23">
        <f>EXP(-LN(2)/2)*AB116+(1-EXP(-LN(2)/2))/(LN(2)/2)*V117*Y117*VLOOKUP('Données projet'!$B$9,Paramètres!$A$1:$I$89,3,0)*0.475*44/12</f>
        <v>1.7281019103545533E-4</v>
      </c>
      <c r="AC117" s="24">
        <f t="shared" si="57"/>
        <v>237.52359791824205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265.57412766850422</v>
      </c>
      <c r="AO117" s="62">
        <f t="shared" si="90"/>
        <v>179.39213799913273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121.87113152126514</v>
      </c>
      <c r="AV117" s="23">
        <f>EXP(-LN(2)/25)*AV116+(1-EXP(-LN(2)/25))/(LN(2)/25)*Calculateur!AQ117*Calculateur!AS117*VLOOKUP('Données projet'!$B$10,Paramètres!$A$1:$I$89,3,0)*0.475*44/12</f>
        <v>17.860819760100846</v>
      </c>
      <c r="AW117" s="23">
        <f>EXP(-LN(2)/2)*AW116+(1-EXP(-LN(2)/2))/(LN(2)/2)*AQ117*AT117*VLOOKUP('Données projet'!$B$10,Paramètres!$A$1:$I$89,3,0)*0.475*44/12</f>
        <v>7.468216351471422E-3</v>
      </c>
      <c r="AX117" s="23">
        <f t="shared" si="60"/>
        <v>139.73941949771745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-5.6843418860808015E-13</v>
      </c>
      <c r="BE117" s="14">
        <f>BD117*VLOOKUP('Données projet'!$B$11,Paramètres!$A$1:$I$89,3,0)*VLOOKUP('Données projet'!$B$11,Paramètres!$A$1:$I$89,5,0)</f>
        <v>-3.39923644787632E-13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361.81625684745416</v>
      </c>
      <c r="BJ117" s="62">
        <f t="shared" si="92"/>
        <v>302.25424592654684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131.34328738689464</v>
      </c>
      <c r="BQ117" s="23">
        <f>EXP(-LN(2)/25)*BQ116+(1-EXP(-LN(2)/25))/(LN(2)/25)*Calculateur!BL117*Calculateur!BN117*VLOOKUP('Données projet'!$B$11,Paramètres!$A$1:$I$89,3,0)*0.475*44/12</f>
        <v>9.2305100877074384</v>
      </c>
      <c r="BR117" s="23">
        <f>EXP(-LN(2)/2)*BR116+(1-EXP(-LN(2)/2))/(LN(2)/2)*BL117*BO117*VLOOKUP('Données projet'!$B$11,Paramètres!$A$1:$I$89,3,0)*0.475*44/12</f>
        <v>3.483592770351696E-5</v>
      </c>
      <c r="BS117" s="24">
        <f t="shared" si="63"/>
        <v>140.57383231052978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-1.1368683772161603E-12</v>
      </c>
      <c r="O118" s="14">
        <f>N118*VLOOKUP('Données projet'!$B$9,Paramètres!$A$1:$I$89,3,0)*VLOOKUP('Données projet'!$B$9,Paramètres!$A$1:$I$89,5,0)</f>
        <v>-6.3550942286383359E-13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500.52921520843432</v>
      </c>
      <c r="T118" s="62">
        <f t="shared" si="88"/>
        <v>430.43167430170087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216.28292257899511</v>
      </c>
      <c r="AA118" s="23">
        <f>EXP(-LN(2)/25)*AA117+(1-EXP(-LN(2)/25))/(LN(2)/25)*Calculateur!V118*Calculateur!X118*VLOOKUP('Données projet'!$B$9,Paramètres!$A$1:$I$89,3,0)*0.475*44/12</f>
        <v>16.451968204891937</v>
      </c>
      <c r="AB118" s="23">
        <f>EXP(-LN(2)/2)*AB117+(1-EXP(-LN(2)/2))/(LN(2)/2)*V118*Y118*VLOOKUP('Données projet'!$B$9,Paramètres!$A$1:$I$89,3,0)*0.475*44/12</f>
        <v>1.2219525793931318E-4</v>
      </c>
      <c r="AC118" s="24">
        <f t="shared" si="57"/>
        <v>232.73501297914498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265.57412766850422</v>
      </c>
      <c r="AO118" s="62">
        <f t="shared" si="90"/>
        <v>179.39213799913273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119.48131296618348</v>
      </c>
      <c r="AV118" s="23">
        <f>EXP(-LN(2)/25)*AV117+(1-EXP(-LN(2)/25))/(LN(2)/25)*Calculateur!AQ118*Calculateur!AS118*VLOOKUP('Données projet'!$B$10,Paramètres!$A$1:$I$89,3,0)*0.475*44/12</f>
        <v>17.3724147045012</v>
      </c>
      <c r="AW118" s="23">
        <f>EXP(-LN(2)/2)*AW117+(1-EXP(-LN(2)/2))/(LN(2)/2)*AQ118*AT118*VLOOKUP('Données projet'!$B$10,Paramètres!$A$1:$I$89,3,0)*0.475*44/12</f>
        <v>5.2808264254936991E-3</v>
      </c>
      <c r="AX118" s="23">
        <f t="shared" si="60"/>
        <v>136.85900849711018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-5.6843418860808015E-13</v>
      </c>
      <c r="BE118" s="14">
        <f>BD118*VLOOKUP('Données projet'!$B$11,Paramètres!$A$1:$I$89,3,0)*VLOOKUP('Données projet'!$B$11,Paramètres!$A$1:$I$89,5,0)</f>
        <v>-3.39923644787632E-13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361.81625684745416</v>
      </c>
      <c r="BJ118" s="62">
        <f t="shared" si="92"/>
        <v>302.25424592654684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128.76772563273261</v>
      </c>
      <c r="BQ118" s="23">
        <f>EXP(-LN(2)/25)*BQ117+(1-EXP(-LN(2)/25))/(LN(2)/25)*Calculateur!BL118*Calculateur!BN118*VLOOKUP('Données projet'!$B$11,Paramètres!$A$1:$I$89,3,0)*0.475*44/12</f>
        <v>8.9781013039476498</v>
      </c>
      <c r="BR118" s="23">
        <f>EXP(-LN(2)/2)*BR117+(1-EXP(-LN(2)/2))/(LN(2)/2)*BL118*BO118*VLOOKUP('Données projet'!$B$11,Paramètres!$A$1:$I$89,3,0)*0.475*44/12</f>
        <v>2.4632720708081157E-5</v>
      </c>
      <c r="BS118" s="24">
        <f t="shared" si="63"/>
        <v>137.74585156940097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-1.1368683772161603E-12</v>
      </c>
      <c r="O119" s="14">
        <f>N119*VLOOKUP('Données projet'!$B$9,Paramètres!$A$1:$I$89,3,0)*VLOOKUP('Données projet'!$B$9,Paramètres!$A$1:$I$89,5,0)</f>
        <v>-6.3550942286383359E-13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500.52921520843432</v>
      </c>
      <c r="T119" s="62">
        <f t="shared" si="88"/>
        <v>430.43167430170087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212.04174638677782</v>
      </c>
      <c r="AA119" s="23">
        <f>EXP(-LN(2)/25)*AA118+(1-EXP(-LN(2)/25))/(LN(2)/25)*Calculateur!V119*Calculateur!X119*VLOOKUP('Données projet'!$B$9,Paramètres!$A$1:$I$89,3,0)*0.475*44/12</f>
        <v>16.00208826915776</v>
      </c>
      <c r="AB119" s="23">
        <f>EXP(-LN(2)/2)*AB118+(1-EXP(-LN(2)/2))/(LN(2)/2)*V119*Y119*VLOOKUP('Données projet'!$B$9,Paramètres!$A$1:$I$89,3,0)*0.475*44/12</f>
        <v>8.6405095517727663E-5</v>
      </c>
      <c r="AC119" s="24">
        <f t="shared" si="57"/>
        <v>228.04392106103109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265.57412766850422</v>
      </c>
      <c r="AO119" s="62">
        <f t="shared" si="90"/>
        <v>179.39213799913273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117.13835729532158</v>
      </c>
      <c r="AV119" s="23">
        <f>EXP(-LN(2)/25)*AV118+(1-EXP(-LN(2)/25))/(LN(2)/25)*Calculateur!AQ119*Calculateur!AS119*VLOOKUP('Données projet'!$B$10,Paramètres!$A$1:$I$89,3,0)*0.475*44/12</f>
        <v>16.897365110831029</v>
      </c>
      <c r="AW119" s="23">
        <f>EXP(-LN(2)/2)*AW118+(1-EXP(-LN(2)/2))/(LN(2)/2)*AQ119*AT119*VLOOKUP('Données projet'!$B$10,Paramètres!$A$1:$I$89,3,0)*0.475*44/12</f>
        <v>3.734108175735711E-3</v>
      </c>
      <c r="AX119" s="23">
        <f t="shared" si="60"/>
        <v>134.03945651432835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-5.6843418860808015E-13</v>
      </c>
      <c r="BE119" s="14">
        <f>BD119*VLOOKUP('Données projet'!$B$11,Paramètres!$A$1:$I$89,3,0)*VLOOKUP('Données projet'!$B$11,Paramètres!$A$1:$I$89,5,0)</f>
        <v>-3.39923644787632E-13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361.81625684745416</v>
      </c>
      <c r="BJ119" s="62">
        <f t="shared" si="92"/>
        <v>302.25424592654684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126.24266907363211</v>
      </c>
      <c r="BQ119" s="23">
        <f>EXP(-LN(2)/25)*BQ118+(1-EXP(-LN(2)/25))/(LN(2)/25)*Calculateur!BL119*Calculateur!BN119*VLOOKUP('Données projet'!$B$11,Paramètres!$A$1:$I$89,3,0)*0.475*44/12</f>
        <v>8.7325946516533737</v>
      </c>
      <c r="BR119" s="23">
        <f>EXP(-LN(2)/2)*BR118+(1-EXP(-LN(2)/2))/(LN(2)/2)*BL119*BO119*VLOOKUP('Données projet'!$B$11,Paramètres!$A$1:$I$89,3,0)*0.475*44/12</f>
        <v>1.741796385175848E-5</v>
      </c>
      <c r="BS119" s="24">
        <f t="shared" si="63"/>
        <v>134.97528114324933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-1.1368683772161603E-12</v>
      </c>
      <c r="O120" s="14">
        <f>N120*VLOOKUP('Données projet'!$B$9,Paramètres!$A$1:$I$89,3,0)*VLOOKUP('Données projet'!$B$9,Paramètres!$A$1:$I$89,5,0)</f>
        <v>-6.3550942286383359E-13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500.52921520843432</v>
      </c>
      <c r="T120" s="62">
        <f t="shared" si="88"/>
        <v>430.43167430170087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207.88373707282787</v>
      </c>
      <c r="AA120" s="23">
        <f>EXP(-LN(2)/25)*AA119+(1-EXP(-LN(2)/25))/(LN(2)/25)*Calculateur!V120*Calculateur!X120*VLOOKUP('Données projet'!$B$9,Paramètres!$A$1:$I$89,3,0)*0.475*44/12</f>
        <v>15.564510323924392</v>
      </c>
      <c r="AB120" s="23">
        <f>EXP(-LN(2)/2)*AB119+(1-EXP(-LN(2)/2))/(LN(2)/2)*V120*Y120*VLOOKUP('Données projet'!$B$9,Paramètres!$A$1:$I$89,3,0)*0.475*44/12</f>
        <v>6.1097628969656592E-5</v>
      </c>
      <c r="AC120" s="24">
        <f t="shared" si="57"/>
        <v>223.44830849438122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265.57412766850422</v>
      </c>
      <c r="AO120" s="62">
        <f t="shared" si="90"/>
        <v>179.39213799913273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114.84134555610343</v>
      </c>
      <c r="AV120" s="23">
        <f>EXP(-LN(2)/25)*AV119+(1-EXP(-LN(2)/25))/(LN(2)/25)*Calculateur!AQ120*Calculateur!AS120*VLOOKUP('Données projet'!$B$10,Paramètres!$A$1:$I$89,3,0)*0.475*44/12</f>
        <v>16.435305773281542</v>
      </c>
      <c r="AW120" s="23">
        <f>EXP(-LN(2)/2)*AW119+(1-EXP(-LN(2)/2))/(LN(2)/2)*AQ120*AT120*VLOOKUP('Données projet'!$B$10,Paramètres!$A$1:$I$89,3,0)*0.475*44/12</f>
        <v>2.6404132127468495E-3</v>
      </c>
      <c r="AX120" s="23">
        <f t="shared" si="60"/>
        <v>131.27929174259774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-5.6843418860808015E-13</v>
      </c>
      <c r="BE120" s="14">
        <f>BD120*VLOOKUP('Données projet'!$B$11,Paramètres!$A$1:$I$89,3,0)*VLOOKUP('Données projet'!$B$11,Paramètres!$A$1:$I$89,5,0)</f>
        <v>-3.39923644787632E-13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361.81625684745416</v>
      </c>
      <c r="BJ120" s="62">
        <f t="shared" si="92"/>
        <v>302.25424592654684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123.76712733352316</v>
      </c>
      <c r="BQ120" s="23">
        <f>EXP(-LN(2)/25)*BQ119+(1-EXP(-LN(2)/25))/(LN(2)/25)*Calculateur!BL120*Calculateur!BN120*VLOOKUP('Données projet'!$B$11,Paramètres!$A$1:$I$89,3,0)*0.475*44/12</f>
        <v>8.4938013916767172</v>
      </c>
      <c r="BR120" s="23">
        <f>EXP(-LN(2)/2)*BR119+(1-EXP(-LN(2)/2))/(LN(2)/2)*BL120*BO120*VLOOKUP('Données projet'!$B$11,Paramètres!$A$1:$I$89,3,0)*0.475*44/12</f>
        <v>1.2316360354040578E-5</v>
      </c>
      <c r="BS120" s="24">
        <f t="shared" si="63"/>
        <v>132.26094104156022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-1.1368683772161603E-12</v>
      </c>
      <c r="O121" s="14">
        <f>N121*VLOOKUP('Données projet'!$B$9,Paramètres!$A$1:$I$89,3,0)*VLOOKUP('Données projet'!$B$9,Paramètres!$A$1:$I$89,5,0)</f>
        <v>-6.3550942286383359E-13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500.52921520843432</v>
      </c>
      <c r="T121" s="62">
        <f t="shared" si="88"/>
        <v>430.43167430170087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203.80726378538921</v>
      </c>
      <c r="AA121" s="23">
        <f>EXP(-LN(2)/25)*AA120+(1-EXP(-LN(2)/25))/(LN(2)/25)*Calculateur!V121*Calculateur!X121*VLOOKUP('Données projet'!$B$9,Paramètres!$A$1:$I$89,3,0)*0.475*44/12</f>
        <v>15.138897970614654</v>
      </c>
      <c r="AB121" s="23">
        <f>EXP(-LN(2)/2)*AB120+(1-EXP(-LN(2)/2))/(LN(2)/2)*V121*Y121*VLOOKUP('Données projet'!$B$9,Paramètres!$A$1:$I$89,3,0)*0.475*44/12</f>
        <v>4.3202547758863831E-5</v>
      </c>
      <c r="AC121" s="24">
        <f t="shared" si="57"/>
        <v>218.94620495855165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265.57412766850422</v>
      </c>
      <c r="AO121" s="62">
        <f t="shared" si="90"/>
        <v>179.39213799913273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112.58937681605254</v>
      </c>
      <c r="AV121" s="23">
        <f>EXP(-LN(2)/25)*AV120+(1-EXP(-LN(2)/25))/(LN(2)/25)*Calculateur!AQ121*Calculateur!AS121*VLOOKUP('Données projet'!$B$10,Paramètres!$A$1:$I$89,3,0)*0.475*44/12</f>
        <v>15.98588147261599</v>
      </c>
      <c r="AW121" s="23">
        <f>EXP(-LN(2)/2)*AW120+(1-EXP(-LN(2)/2))/(LN(2)/2)*AQ121*AT121*VLOOKUP('Données projet'!$B$10,Paramètres!$A$1:$I$89,3,0)*0.475*44/12</f>
        <v>1.8670540878678555E-3</v>
      </c>
      <c r="AX121" s="23">
        <f t="shared" si="60"/>
        <v>128.5771253427564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-5.6843418860808015E-13</v>
      </c>
      <c r="BE121" s="14">
        <f>BD121*VLOOKUP('Données projet'!$B$11,Paramètres!$A$1:$I$89,3,0)*VLOOKUP('Données projet'!$B$11,Paramètres!$A$1:$I$89,5,0)</f>
        <v>-3.39923644787632E-13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361.81625684745416</v>
      </c>
      <c r="BJ121" s="62">
        <f t="shared" si="92"/>
        <v>302.25424592654684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121.34012945700638</v>
      </c>
      <c r="BQ121" s="23">
        <f>EXP(-LN(2)/25)*BQ120+(1-EXP(-LN(2)/25))/(LN(2)/25)*Calculateur!BL121*Calculateur!BN121*VLOOKUP('Données projet'!$B$11,Paramètres!$A$1:$I$89,3,0)*0.475*44/12</f>
        <v>8.2615379459517158</v>
      </c>
      <c r="BR121" s="23">
        <f>EXP(-LN(2)/2)*BR120+(1-EXP(-LN(2)/2))/(LN(2)/2)*BL121*BO121*VLOOKUP('Données projet'!$B$11,Paramètres!$A$1:$I$89,3,0)*0.475*44/12</f>
        <v>8.70898192587924E-6</v>
      </c>
      <c r="BS121" s="24">
        <f t="shared" si="63"/>
        <v>129.60167611194004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-1.1368683772161603E-12</v>
      </c>
      <c r="O122" s="14">
        <f>N122*VLOOKUP('Données projet'!$B$9,Paramètres!$A$1:$I$89,3,0)*VLOOKUP('Données projet'!$B$9,Paramètres!$A$1:$I$89,5,0)</f>
        <v>-6.3550942286383359E-13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500.52921520843432</v>
      </c>
      <c r="T122" s="62">
        <f t="shared" si="88"/>
        <v>430.43167430170087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199.81072765271404</v>
      </c>
      <c r="AA122" s="23">
        <f>EXP(-LN(2)/25)*AA121+(1-EXP(-LN(2)/25))/(LN(2)/25)*Calculateur!V122*Calculateur!X122*VLOOKUP('Données projet'!$B$9,Paramètres!$A$1:$I$89,3,0)*0.475*44/12</f>
        <v>14.724924009488152</v>
      </c>
      <c r="AB122" s="23">
        <f>EXP(-LN(2)/2)*AB121+(1-EXP(-LN(2)/2))/(LN(2)/2)*V122*Y122*VLOOKUP('Données projet'!$B$9,Paramètres!$A$1:$I$89,3,0)*0.475*44/12</f>
        <v>3.0548814484828296E-5</v>
      </c>
      <c r="AC122" s="24">
        <f t="shared" si="57"/>
        <v>214.53568221101668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265.57412766850422</v>
      </c>
      <c r="AO122" s="62">
        <f t="shared" si="90"/>
        <v>179.39213799913273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110.38156780942873</v>
      </c>
      <c r="AV122" s="23">
        <f>EXP(-LN(2)/25)*AV121+(1-EXP(-LN(2)/25))/(LN(2)/25)*Calculateur!AQ122*Calculateur!AS122*VLOOKUP('Données projet'!$B$10,Paramètres!$A$1:$I$89,3,0)*0.475*44/12</f>
        <v>15.548746703086335</v>
      </c>
      <c r="AW122" s="23">
        <f>EXP(-LN(2)/2)*AW121+(1-EXP(-LN(2)/2))/(LN(2)/2)*AQ122*AT122*VLOOKUP('Données projet'!$B$10,Paramètres!$A$1:$I$89,3,0)*0.475*44/12</f>
        <v>1.3202066063734248E-3</v>
      </c>
      <c r="AX122" s="23">
        <f t="shared" si="60"/>
        <v>125.93163471912145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-5.6843418860808015E-13</v>
      </c>
      <c r="BE122" s="14">
        <f>BD122*VLOOKUP('Données projet'!$B$11,Paramètres!$A$1:$I$89,3,0)*VLOOKUP('Données projet'!$B$11,Paramètres!$A$1:$I$89,5,0)</f>
        <v>-3.39923644787632E-13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361.81625684745416</v>
      </c>
      <c r="BJ122" s="62">
        <f t="shared" si="92"/>
        <v>302.25424592654684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118.96072352852556</v>
      </c>
      <c r="BQ122" s="23">
        <f>EXP(-LN(2)/25)*BQ121+(1-EXP(-LN(2)/25))/(LN(2)/25)*Calculateur!BL122*Calculateur!BN122*VLOOKUP('Données projet'!$B$11,Paramètres!$A$1:$I$89,3,0)*0.475*44/12</f>
        <v>8.0356257563642668</v>
      </c>
      <c r="BR122" s="23">
        <f>EXP(-LN(2)/2)*BR121+(1-EXP(-LN(2)/2))/(LN(2)/2)*BL122*BO122*VLOOKUP('Données projet'!$B$11,Paramètres!$A$1:$I$89,3,0)*0.475*44/12</f>
        <v>6.1581801770202891E-6</v>
      </c>
      <c r="BS122" s="24">
        <f t="shared" si="63"/>
        <v>126.99635544307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-1.1368683772161603E-12</v>
      </c>
      <c r="O123" s="14">
        <f>N123*VLOOKUP('Données projet'!$B$9,Paramètres!$A$1:$I$89,3,0)*VLOOKUP('Données projet'!$B$9,Paramètres!$A$1:$I$89,5,0)</f>
        <v>-6.3550942286383359E-13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500.52921520843432</v>
      </c>
      <c r="T123" s="62">
        <f t="shared" si="88"/>
        <v>430.43167430170087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195.89256115595427</v>
      </c>
      <c r="AA123" s="23">
        <f>EXP(-LN(2)/25)*AA122+(1-EXP(-LN(2)/25))/(LN(2)/25)*Calculateur!V123*Calculateur!X123*VLOOKUP('Données projet'!$B$9,Paramètres!$A$1:$I$89,3,0)*0.475*44/12</f>
        <v>14.322270188098599</v>
      </c>
      <c r="AB123" s="23">
        <f>EXP(-LN(2)/2)*AB122+(1-EXP(-LN(2)/2))/(LN(2)/2)*V123*Y123*VLOOKUP('Données projet'!$B$9,Paramètres!$A$1:$I$89,3,0)*0.475*44/12</f>
        <v>2.1601273879431916E-5</v>
      </c>
      <c r="AC123" s="24">
        <f t="shared" si="57"/>
        <v>210.21485294532675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265.57412766850422</v>
      </c>
      <c r="AO123" s="62">
        <f t="shared" si="90"/>
        <v>179.39213799913273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108.2170525907943</v>
      </c>
      <c r="AV123" s="23">
        <f>EXP(-LN(2)/25)*AV122+(1-EXP(-LN(2)/25))/(LN(2)/25)*Calculateur!AQ123*Calculateur!AS123*VLOOKUP('Données projet'!$B$10,Paramètres!$A$1:$I$89,3,0)*0.475*44/12</f>
        <v>15.123565406817388</v>
      </c>
      <c r="AW123" s="23">
        <f>EXP(-LN(2)/2)*AW122+(1-EXP(-LN(2)/2))/(LN(2)/2)*AQ123*AT123*VLOOKUP('Données projet'!$B$10,Paramètres!$A$1:$I$89,3,0)*0.475*44/12</f>
        <v>9.3352704393392775E-4</v>
      </c>
      <c r="AX123" s="23">
        <f t="shared" si="60"/>
        <v>123.34155152465563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-5.6843418860808015E-13</v>
      </c>
      <c r="BE123" s="14">
        <f>BD123*VLOOKUP('Données projet'!$B$11,Paramètres!$A$1:$I$89,3,0)*VLOOKUP('Données projet'!$B$11,Paramètres!$A$1:$I$89,5,0)</f>
        <v>-3.39923644787632E-13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361.81625684745416</v>
      </c>
      <c r="BJ123" s="62">
        <f t="shared" si="92"/>
        <v>302.25424592654684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116.62797629900794</v>
      </c>
      <c r="BQ123" s="23">
        <f>EXP(-LN(2)/25)*BQ122+(1-EXP(-LN(2)/25))/(LN(2)/25)*Calculateur!BL123*Calculateur!BN123*VLOOKUP('Données projet'!$B$11,Paramètres!$A$1:$I$89,3,0)*0.475*44/12</f>
        <v>7.8158911474812927</v>
      </c>
      <c r="BR123" s="23">
        <f>EXP(-LN(2)/2)*BR122+(1-EXP(-LN(2)/2))/(LN(2)/2)*BL123*BO123*VLOOKUP('Données projet'!$B$11,Paramètres!$A$1:$I$89,3,0)*0.475*44/12</f>
        <v>4.35449096293962E-6</v>
      </c>
      <c r="BS123" s="24">
        <f t="shared" si="63"/>
        <v>124.4438718009802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-1.1368683772161603E-12</v>
      </c>
      <c r="O124" s="14">
        <f>N124*VLOOKUP('Données projet'!$B$9,Paramètres!$A$1:$I$89,3,0)*VLOOKUP('Données projet'!$B$9,Paramètres!$A$1:$I$89,5,0)</f>
        <v>-6.3550942286383359E-13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500.52921520843432</v>
      </c>
      <c r="T124" s="62">
        <f t="shared" si="88"/>
        <v>430.43167430170087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192.05122751435039</v>
      </c>
      <c r="AA124" s="23">
        <f>EXP(-LN(2)/25)*AA123+(1-EXP(-LN(2)/25))/(LN(2)/25)*Calculateur!V124*Calculateur!X124*VLOOKUP('Données projet'!$B$9,Paramètres!$A$1:$I$89,3,0)*0.475*44/12</f>
        <v>13.930626956629588</v>
      </c>
      <c r="AB124" s="23">
        <f>EXP(-LN(2)/2)*AB123+(1-EXP(-LN(2)/2))/(LN(2)/2)*V124*Y124*VLOOKUP('Données projet'!$B$9,Paramètres!$A$1:$I$89,3,0)*0.475*44/12</f>
        <v>1.5274407242414148E-5</v>
      </c>
      <c r="AC124" s="24">
        <f t="shared" si="57"/>
        <v>205.98186974538723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265.57412766850422</v>
      </c>
      <c r="AO124" s="62">
        <f t="shared" si="90"/>
        <v>179.39213799913273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106.09498219537336</v>
      </c>
      <c r="AV124" s="23">
        <f>EXP(-LN(2)/25)*AV123+(1-EXP(-LN(2)/25))/(LN(2)/25)*Calculateur!AQ124*Calculateur!AS124*VLOOKUP('Données projet'!$B$10,Paramètres!$A$1:$I$89,3,0)*0.475*44/12</f>
        <v>14.710010715454228</v>
      </c>
      <c r="AW124" s="23">
        <f>EXP(-LN(2)/2)*AW123+(1-EXP(-LN(2)/2))/(LN(2)/2)*AQ124*AT124*VLOOKUP('Données projet'!$B$10,Paramètres!$A$1:$I$89,3,0)*0.475*44/12</f>
        <v>6.6010330318671238E-4</v>
      </c>
      <c r="AX124" s="23">
        <f t="shared" si="60"/>
        <v>120.80565301413078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-5.6843418860808015E-13</v>
      </c>
      <c r="BE124" s="14">
        <f>BD124*VLOOKUP('Données projet'!$B$11,Paramètres!$A$1:$I$89,3,0)*VLOOKUP('Données projet'!$B$11,Paramètres!$A$1:$I$89,5,0)</f>
        <v>-3.39923644787632E-13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361.81625684745416</v>
      </c>
      <c r="BJ124" s="62">
        <f t="shared" si="92"/>
        <v>302.25424592654684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114.34097281982584</v>
      </c>
      <c r="BQ124" s="23">
        <f>EXP(-LN(2)/25)*BQ123+(1-EXP(-LN(2)/25))/(LN(2)/25)*Calculateur!BL124*Calculateur!BN124*VLOOKUP('Données projet'!$B$11,Paramètres!$A$1:$I$89,3,0)*0.475*44/12</f>
        <v>7.6021651930335645</v>
      </c>
      <c r="BR124" s="23">
        <f>EXP(-LN(2)/2)*BR123+(1-EXP(-LN(2)/2))/(LN(2)/2)*BL124*BO124*VLOOKUP('Données projet'!$B$11,Paramètres!$A$1:$I$89,3,0)*0.475*44/12</f>
        <v>3.0790900885101446E-6</v>
      </c>
      <c r="BS124" s="24">
        <f t="shared" si="63"/>
        <v>121.9431410919495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-1.1368683772161603E-12</v>
      </c>
      <c r="O125" s="14">
        <f>N125*VLOOKUP('Données projet'!$B$9,Paramètres!$A$1:$I$89,3,0)*VLOOKUP('Données projet'!$B$9,Paramètres!$A$1:$I$89,5,0)</f>
        <v>-6.3550942286383359E-13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500.52921520843432</v>
      </c>
      <c r="T125" s="62">
        <f t="shared" si="88"/>
        <v>430.43167430170087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188.28522008247617</v>
      </c>
      <c r="AA125" s="23">
        <f>EXP(-LN(2)/25)*AA124+(1-EXP(-LN(2)/25))/(LN(2)/25)*Calculateur!V125*Calculateur!X125*VLOOKUP('Données projet'!$B$9,Paramètres!$A$1:$I$89,3,0)*0.475*44/12</f>
        <v>13.549693229920718</v>
      </c>
      <c r="AB125" s="23">
        <f>EXP(-LN(2)/2)*AB124+(1-EXP(-LN(2)/2))/(LN(2)/2)*V125*Y125*VLOOKUP('Données projet'!$B$9,Paramètres!$A$1:$I$89,3,0)*0.475*44/12</f>
        <v>1.0800636939715958E-5</v>
      </c>
      <c r="AC125" s="24">
        <f t="shared" si="57"/>
        <v>201.83492411303382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265.57412766850422</v>
      </c>
      <c r="AO125" s="62">
        <f t="shared" si="90"/>
        <v>179.39213799913273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104.01452430607149</v>
      </c>
      <c r="AV125" s="23">
        <f>EXP(-LN(2)/25)*AV124+(1-EXP(-LN(2)/25))/(LN(2)/25)*Calculateur!AQ125*Calculateur!AS125*VLOOKUP('Données projet'!$B$10,Paramètres!$A$1:$I$89,3,0)*0.475*44/12</f>
        <v>14.307764698874289</v>
      </c>
      <c r="AW125" s="23">
        <f>EXP(-LN(2)/2)*AW124+(1-EXP(-LN(2)/2))/(LN(2)/2)*AQ125*AT125*VLOOKUP('Données projet'!$B$10,Paramètres!$A$1:$I$89,3,0)*0.475*44/12</f>
        <v>4.6676352196696388E-4</v>
      </c>
      <c r="AX125" s="23">
        <f t="shared" si="60"/>
        <v>118.32275576846776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-5.6843418860808015E-13</v>
      </c>
      <c r="BE125" s="14">
        <f>BD125*VLOOKUP('Données projet'!$B$11,Paramètres!$A$1:$I$89,3,0)*VLOOKUP('Données projet'!$B$11,Paramètres!$A$1:$I$89,5,0)</f>
        <v>-3.39923644787632E-13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361.81625684745416</v>
      </c>
      <c r="BJ125" s="62">
        <f t="shared" si="92"/>
        <v>302.25424592654684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112.09881608393611</v>
      </c>
      <c r="BQ125" s="23">
        <f>EXP(-LN(2)/25)*BQ124+(1-EXP(-LN(2)/25))/(LN(2)/25)*Calculateur!BL125*Calculateur!BN125*VLOOKUP('Données projet'!$B$11,Paramètres!$A$1:$I$89,3,0)*0.475*44/12</f>
        <v>7.3942835860495695</v>
      </c>
      <c r="BR125" s="23">
        <f>EXP(-LN(2)/2)*BR124+(1-EXP(-LN(2)/2))/(LN(2)/2)*BL125*BO125*VLOOKUP('Données projet'!$B$11,Paramètres!$A$1:$I$89,3,0)*0.475*44/12</f>
        <v>2.17724548146981E-6</v>
      </c>
      <c r="BS125" s="24">
        <f t="shared" si="63"/>
        <v>119.49310184723116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-1.1368683772161603E-12</v>
      </c>
      <c r="O126" s="14">
        <f>N126*VLOOKUP('Données projet'!$B$9,Paramètres!$A$1:$I$89,3,0)*VLOOKUP('Données projet'!$B$9,Paramètres!$A$1:$I$89,5,0)</f>
        <v>-6.3550942286383359E-13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500.52921520843432</v>
      </c>
      <c r="T126" s="62">
        <f t="shared" si="88"/>
        <v>430.43167430170087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184.59306175930328</v>
      </c>
      <c r="AA126" s="23">
        <f>EXP(-LN(2)/25)*AA125+(1-EXP(-LN(2)/25))/(LN(2)/25)*Calculateur!V126*Calculateur!X126*VLOOKUP('Données projet'!$B$9,Paramètres!$A$1:$I$89,3,0)*0.475*44/12</f>
        <v>13.179176156001137</v>
      </c>
      <c r="AB126" s="23">
        <f>EXP(-LN(2)/2)*AB125+(1-EXP(-LN(2)/2))/(LN(2)/2)*V126*Y126*VLOOKUP('Données projet'!$B$9,Paramètres!$A$1:$I$89,3,0)*0.475*44/12</f>
        <v>7.637203621207074E-6</v>
      </c>
      <c r="AC126" s="24">
        <f t="shared" si="57"/>
        <v>197.77224555250805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265.57412766850422</v>
      </c>
      <c r="AO126" s="62">
        <f t="shared" si="90"/>
        <v>179.39213799913273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101.97486292702482</v>
      </c>
      <c r="AV126" s="23">
        <f>EXP(-LN(2)/25)*AV125+(1-EXP(-LN(2)/25))/(LN(2)/25)*Calculateur!AQ126*Calculateur!AS126*VLOOKUP('Données projet'!$B$10,Paramètres!$A$1:$I$89,3,0)*0.475*44/12</f>
        <v>13.916518120770927</v>
      </c>
      <c r="AW126" s="23">
        <f>EXP(-LN(2)/2)*AW125+(1-EXP(-LN(2)/2))/(LN(2)/2)*AQ126*AT126*VLOOKUP('Données projet'!$B$10,Paramètres!$A$1:$I$89,3,0)*0.475*44/12</f>
        <v>3.3005165159335619E-4</v>
      </c>
      <c r="AX126" s="23">
        <f t="shared" si="60"/>
        <v>115.89171109944733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-5.6843418860808015E-13</v>
      </c>
      <c r="BE126" s="14">
        <f>BD126*VLOOKUP('Données projet'!$B$11,Paramètres!$A$1:$I$89,3,0)*VLOOKUP('Données projet'!$B$11,Paramètres!$A$1:$I$89,5,0)</f>
        <v>-3.39923644787632E-13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361.81625684745416</v>
      </c>
      <c r="BJ126" s="62">
        <f t="shared" si="92"/>
        <v>302.25424592654684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109.90062667405661</v>
      </c>
      <c r="BQ126" s="23">
        <f>EXP(-LN(2)/25)*BQ125+(1-EXP(-LN(2)/25))/(LN(2)/25)*Calculateur!BL126*Calculateur!BN126*VLOOKUP('Données projet'!$B$11,Paramètres!$A$1:$I$89,3,0)*0.475*44/12</f>
        <v>7.1920865125405697</v>
      </c>
      <c r="BR126" s="23">
        <f>EXP(-LN(2)/2)*BR125+(1-EXP(-LN(2)/2))/(LN(2)/2)*BL126*BO126*VLOOKUP('Données projet'!$B$11,Paramètres!$A$1:$I$89,3,0)*0.475*44/12</f>
        <v>1.5395450442550723E-6</v>
      </c>
      <c r="BS126" s="24">
        <f t="shared" si="63"/>
        <v>117.09271472614222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-1.1368683772161603E-12</v>
      </c>
      <c r="O127" s="14">
        <f>N127*VLOOKUP('Données projet'!$B$9,Paramètres!$A$1:$I$89,3,0)*VLOOKUP('Données projet'!$B$9,Paramètres!$A$1:$I$89,5,0)</f>
        <v>-6.3550942286383359E-13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500.52921520843432</v>
      </c>
      <c r="T127" s="62">
        <f t="shared" si="88"/>
        <v>430.43167430170087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180.97330440885361</v>
      </c>
      <c r="AA127" s="23">
        <f>EXP(-LN(2)/25)*AA126+(1-EXP(-LN(2)/25))/(LN(2)/25)*Calculateur!V127*Calculateur!X127*VLOOKUP('Données projet'!$B$9,Paramètres!$A$1:$I$89,3,0)*0.475*44/12</f>
        <v>12.818790890952533</v>
      </c>
      <c r="AB127" s="23">
        <f>EXP(-LN(2)/2)*AB126+(1-EXP(-LN(2)/2))/(LN(2)/2)*V127*Y127*VLOOKUP('Données projet'!$B$9,Paramètres!$A$1:$I$89,3,0)*0.475*44/12</f>
        <v>5.4003184698579789E-6</v>
      </c>
      <c r="AC127" s="24">
        <f t="shared" si="57"/>
        <v>193.79210070012459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265.57412766850422</v>
      </c>
      <c r="AO127" s="62">
        <f t="shared" si="90"/>
        <v>179.39213799913273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99.97519806355065</v>
      </c>
      <c r="AV127" s="23">
        <f>EXP(-LN(2)/25)*AV126+(1-EXP(-LN(2)/25))/(LN(2)/25)*Calculateur!AQ127*Calculateur!AS127*VLOOKUP('Données projet'!$B$10,Paramètres!$A$1:$I$89,3,0)*0.475*44/12</f>
        <v>13.535970200920564</v>
      </c>
      <c r="AW127" s="23">
        <f>EXP(-LN(2)/2)*AW126+(1-EXP(-LN(2)/2))/(LN(2)/2)*AQ127*AT127*VLOOKUP('Données projet'!$B$10,Paramètres!$A$1:$I$89,3,0)*0.475*44/12</f>
        <v>2.3338176098348194E-4</v>
      </c>
      <c r="AX127" s="23">
        <f t="shared" si="60"/>
        <v>113.51140164623219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-5.6843418860808015E-13</v>
      </c>
      <c r="BE127" s="14">
        <f>BD127*VLOOKUP('Données projet'!$B$11,Paramètres!$A$1:$I$89,3,0)*VLOOKUP('Données projet'!$B$11,Paramètres!$A$1:$I$89,5,0)</f>
        <v>-3.39923644787632E-13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361.81625684745416</v>
      </c>
      <c r="BJ127" s="62">
        <f t="shared" si="92"/>
        <v>302.25424592654684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107.7455424177417</v>
      </c>
      <c r="BQ127" s="23">
        <f>EXP(-LN(2)/25)*BQ126+(1-EXP(-LN(2)/25))/(LN(2)/25)*Calculateur!BL127*Calculateur!BN127*VLOOKUP('Données projet'!$B$11,Paramètres!$A$1:$I$89,3,0)*0.475*44/12</f>
        <v>6.9954185286397559</v>
      </c>
      <c r="BR127" s="23">
        <f>EXP(-LN(2)/2)*BR126+(1-EXP(-LN(2)/2))/(LN(2)/2)*BL127*BO127*VLOOKUP('Données projet'!$B$11,Paramètres!$A$1:$I$89,3,0)*0.475*44/12</f>
        <v>1.088622740734905E-6</v>
      </c>
      <c r="BS127" s="24">
        <f t="shared" si="63"/>
        <v>114.7409620350042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-1.1368683772161603E-12</v>
      </c>
      <c r="O128" s="14">
        <f>N128*VLOOKUP('Données projet'!$B$9,Paramètres!$A$1:$I$89,3,0)*VLOOKUP('Données projet'!$B$9,Paramètres!$A$1:$I$89,5,0)</f>
        <v>-6.3550942286383359E-13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500.52921520843432</v>
      </c>
      <c r="T128" s="62">
        <f t="shared" si="88"/>
        <v>430.43167430170087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177.42452829221227</v>
      </c>
      <c r="AA128" s="23">
        <f>EXP(-LN(2)/25)*AA127+(1-EXP(-LN(2)/25))/(LN(2)/25)*Calculateur!V128*Calculateur!X128*VLOOKUP('Données projet'!$B$9,Paramètres!$A$1:$I$89,3,0)*0.475*44/12</f>
        <v>12.468260379928521</v>
      </c>
      <c r="AB128" s="23">
        <f>EXP(-LN(2)/2)*AB127+(1-EXP(-LN(2)/2))/(LN(2)/2)*V128*Y128*VLOOKUP('Données projet'!$B$9,Paramètres!$A$1:$I$89,3,0)*0.475*44/12</f>
        <v>3.818601810603537E-6</v>
      </c>
      <c r="AC128" s="24">
        <f t="shared" si="57"/>
        <v>189.89279249074261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265.57412766850422</v>
      </c>
      <c r="AO128" s="62">
        <f t="shared" si="90"/>
        <v>179.39213799913273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98.014745408374083</v>
      </c>
      <c r="AV128" s="23">
        <f>EXP(-LN(2)/25)*AV127+(1-EXP(-LN(2)/25))/(LN(2)/25)*Calculateur!AQ128*Calculateur!AS128*VLOOKUP('Données projet'!$B$10,Paramètres!$A$1:$I$89,3,0)*0.475*44/12</f>
        <v>13.165828383950656</v>
      </c>
      <c r="AW128" s="23">
        <f>EXP(-LN(2)/2)*AW127+(1-EXP(-LN(2)/2))/(LN(2)/2)*AQ128*AT128*VLOOKUP('Données projet'!$B$10,Paramètres!$A$1:$I$89,3,0)*0.475*44/12</f>
        <v>1.650258257966781E-4</v>
      </c>
      <c r="AX128" s="23">
        <f t="shared" si="60"/>
        <v>111.18073881815053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-5.6843418860808015E-13</v>
      </c>
      <c r="BE128" s="14">
        <f>BD128*VLOOKUP('Données projet'!$B$11,Paramètres!$A$1:$I$89,3,0)*VLOOKUP('Données projet'!$B$11,Paramètres!$A$1:$I$89,5,0)</f>
        <v>-3.39923644787632E-13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361.81625684745416</v>
      </c>
      <c r="BJ128" s="62">
        <f t="shared" si="92"/>
        <v>302.25424592654684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105.63271804922152</v>
      </c>
      <c r="BQ128" s="23">
        <f>EXP(-LN(2)/25)*BQ127+(1-EXP(-LN(2)/25))/(LN(2)/25)*Calculateur!BL128*Calculateur!BN128*VLOOKUP('Données projet'!$B$11,Paramètres!$A$1:$I$89,3,0)*0.475*44/12</f>
        <v>6.8041284411010299</v>
      </c>
      <c r="BR128" s="23">
        <f>EXP(-LN(2)/2)*BR127+(1-EXP(-LN(2)/2))/(LN(2)/2)*BL128*BO128*VLOOKUP('Données projet'!$B$11,Paramètres!$A$1:$I$89,3,0)*0.475*44/12</f>
        <v>7.6977252212753614E-7</v>
      </c>
      <c r="BS128" s="24">
        <f t="shared" si="63"/>
        <v>112.43684726009508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-1.1368683772161603E-12</v>
      </c>
      <c r="O129" s="14">
        <f>N129*VLOOKUP('Données projet'!$B$9,Paramètres!$A$1:$I$89,3,0)*VLOOKUP('Données projet'!$B$9,Paramètres!$A$1:$I$89,5,0)</f>
        <v>-6.3550942286383359E-13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500.52921520843432</v>
      </c>
      <c r="T129" s="62">
        <f t="shared" si="88"/>
        <v>430.43167430170087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173.94534151067859</v>
      </c>
      <c r="AA129" s="23">
        <f>EXP(-LN(2)/25)*AA128+(1-EXP(-LN(2)/25))/(LN(2)/25)*Calculateur!V129*Calculateur!X129*VLOOKUP('Données projet'!$B$9,Paramètres!$A$1:$I$89,3,0)*0.475*44/12</f>
        <v>12.127315144162059</v>
      </c>
      <c r="AB129" s="23">
        <f>EXP(-LN(2)/2)*AB128+(1-EXP(-LN(2)/2))/(LN(2)/2)*V129*Y129*VLOOKUP('Données projet'!$B$9,Paramètres!$A$1:$I$89,3,0)*0.475*44/12</f>
        <v>2.7001592349289895E-6</v>
      </c>
      <c r="AC129" s="24">
        <f t="shared" si="57"/>
        <v>186.07265935499987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265.57412766850422</v>
      </c>
      <c r="AO129" s="62">
        <f t="shared" si="90"/>
        <v>179.39213799913273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96.092736034007473</v>
      </c>
      <c r="AV129" s="23">
        <f>EXP(-LN(2)/25)*AV128+(1-EXP(-LN(2)/25))/(LN(2)/25)*Calculateur!AQ129*Calculateur!AS129*VLOOKUP('Données projet'!$B$10,Paramètres!$A$1:$I$89,3,0)*0.475*44/12</f>
        <v>12.8058081144307</v>
      </c>
      <c r="AW129" s="23">
        <f>EXP(-LN(2)/2)*AW128+(1-EXP(-LN(2)/2))/(LN(2)/2)*AQ129*AT129*VLOOKUP('Données projet'!$B$10,Paramètres!$A$1:$I$89,3,0)*0.475*44/12</f>
        <v>1.1669088049174097E-4</v>
      </c>
      <c r="AX129" s="23">
        <f t="shared" si="60"/>
        <v>108.89866083931867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-5.6843418860808015E-13</v>
      </c>
      <c r="BE129" s="14">
        <f>BD129*VLOOKUP('Données projet'!$B$11,Paramètres!$A$1:$I$89,3,0)*VLOOKUP('Données projet'!$B$11,Paramètres!$A$1:$I$89,5,0)</f>
        <v>-3.39923644787632E-13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361.81625684745416</v>
      </c>
      <c r="BJ129" s="62">
        <f t="shared" si="92"/>
        <v>302.25424592654684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103.56132487787241</v>
      </c>
      <c r="BQ129" s="23">
        <f>EXP(-LN(2)/25)*BQ128+(1-EXP(-LN(2)/25))/(LN(2)/25)*Calculateur!BL129*Calculateur!BN129*VLOOKUP('Données projet'!$B$11,Paramètres!$A$1:$I$89,3,0)*0.475*44/12</f>
        <v>6.6180691910655582</v>
      </c>
      <c r="BR129" s="23">
        <f>EXP(-LN(2)/2)*BR128+(1-EXP(-LN(2)/2))/(LN(2)/2)*BL129*BO129*VLOOKUP('Données projet'!$B$11,Paramètres!$A$1:$I$89,3,0)*0.475*44/12</f>
        <v>5.443113703674525E-7</v>
      </c>
      <c r="BS129" s="24">
        <f t="shared" si="63"/>
        <v>110.17939461324934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-1.1368683772161603E-12</v>
      </c>
      <c r="O130" s="14">
        <f>N130*VLOOKUP('Données projet'!$B$9,Paramètres!$A$1:$I$89,3,0)*VLOOKUP('Données projet'!$B$9,Paramètres!$A$1:$I$89,5,0)</f>
        <v>-6.3550942286383359E-13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500.52921520843432</v>
      </c>
      <c r="T130" s="62">
        <f t="shared" si="88"/>
        <v>430.43167430170087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170.53437945983637</v>
      </c>
      <c r="AA130" s="23">
        <f>EXP(-LN(2)/25)*AA129+(1-EXP(-LN(2)/25))/(LN(2)/25)*Calculateur!V130*Calculateur!X130*VLOOKUP('Données projet'!$B$9,Paramètres!$A$1:$I$89,3,0)*0.475*44/12</f>
        <v>11.795693073797162</v>
      </c>
      <c r="AB130" s="23">
        <f>EXP(-LN(2)/2)*AB129+(1-EXP(-LN(2)/2))/(LN(2)/2)*V130*Y130*VLOOKUP('Données projet'!$B$9,Paramètres!$A$1:$I$89,3,0)*0.475*44/12</f>
        <v>1.9093009053017685E-6</v>
      </c>
      <c r="AC130" s="24">
        <f t="shared" si="57"/>
        <v>182.33007444293443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265.57412766850422</v>
      </c>
      <c r="AO130" s="62">
        <f t="shared" si="90"/>
        <v>179.39213799913273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94.208416091162235</v>
      </c>
      <c r="AV130" s="23">
        <f>EXP(-LN(2)/25)*AV129+(1-EXP(-LN(2)/25))/(LN(2)/25)*Calculateur!AQ130*Calculateur!AS130*VLOOKUP('Données projet'!$B$10,Paramètres!$A$1:$I$89,3,0)*0.475*44/12</f>
        <v>12.455632618113412</v>
      </c>
      <c r="AW130" s="23">
        <f>EXP(-LN(2)/2)*AW129+(1-EXP(-LN(2)/2))/(LN(2)/2)*AQ130*AT130*VLOOKUP('Données projet'!$B$10,Paramètres!$A$1:$I$89,3,0)*0.475*44/12</f>
        <v>8.2512912898339048E-5</v>
      </c>
      <c r="AX130" s="23">
        <f t="shared" si="60"/>
        <v>106.66413122218854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-5.6843418860808015E-13</v>
      </c>
      <c r="BE130" s="14">
        <f>BD130*VLOOKUP('Données projet'!$B$11,Paramètres!$A$1:$I$89,3,0)*VLOOKUP('Données projet'!$B$11,Paramètres!$A$1:$I$89,5,0)</f>
        <v>-3.39923644787632E-13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361.81625684745416</v>
      </c>
      <c r="BJ130" s="62">
        <f t="shared" si="92"/>
        <v>302.25424592654684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101.53055046318836</v>
      </c>
      <c r="BQ130" s="23">
        <f>EXP(-LN(2)/25)*BQ129+(1-EXP(-LN(2)/25))/(LN(2)/25)*Calculateur!BL130*Calculateur!BN130*VLOOKUP('Données projet'!$B$11,Paramètres!$A$1:$I$89,3,0)*0.475*44/12</f>
        <v>6.4370977410067374</v>
      </c>
      <c r="BR130" s="23">
        <f>EXP(-LN(2)/2)*BR129+(1-EXP(-LN(2)/2))/(LN(2)/2)*BL130*BO130*VLOOKUP('Données projet'!$B$11,Paramètres!$A$1:$I$89,3,0)*0.475*44/12</f>
        <v>3.8488626106376807E-7</v>
      </c>
      <c r="BS130" s="24">
        <f t="shared" si="63"/>
        <v>107.96764858908136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-1.1368683772161603E-12</v>
      </c>
      <c r="O131" s="14">
        <f>N131*VLOOKUP('Données projet'!$B$9,Paramètres!$A$1:$I$89,3,0)*VLOOKUP('Données projet'!$B$9,Paramètres!$A$1:$I$89,5,0)</f>
        <v>-6.3550942286383359E-13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500.52921520843432</v>
      </c>
      <c r="T131" s="62">
        <f t="shared" si="88"/>
        <v>430.43167430170087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167.19030429432976</v>
      </c>
      <c r="AA131" s="23">
        <f>EXP(-LN(2)/25)*AA130+(1-EXP(-LN(2)/25))/(LN(2)/25)*Calculateur!V131*Calculateur!X131*VLOOKUP('Données projet'!$B$9,Paramètres!$A$1:$I$89,3,0)*0.475*44/12</f>
        <v>11.473139226385639</v>
      </c>
      <c r="AB131" s="23">
        <f>EXP(-LN(2)/2)*AB130+(1-EXP(-LN(2)/2))/(LN(2)/2)*V131*Y131*VLOOKUP('Données projet'!$B$9,Paramètres!$A$1:$I$89,3,0)*0.475*44/12</f>
        <v>1.3500796174644947E-6</v>
      </c>
      <c r="AC131" s="24">
        <f t="shared" si="57"/>
        <v>178.66344487079502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265.57412766850422</v>
      </c>
      <c r="AO131" s="62">
        <f t="shared" si="90"/>
        <v>179.39213799913273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92.361046513074513</v>
      </c>
      <c r="AV131" s="23">
        <f>EXP(-LN(2)/25)*AV130+(1-EXP(-LN(2)/25))/(LN(2)/25)*Calculateur!AQ131*Calculateur!AS131*VLOOKUP('Données projet'!$B$10,Paramètres!$A$1:$I$89,3,0)*0.475*44/12</f>
        <v>12.11503268915785</v>
      </c>
      <c r="AW131" s="23">
        <f>EXP(-LN(2)/2)*AW130+(1-EXP(-LN(2)/2))/(LN(2)/2)*AQ131*AT131*VLOOKUP('Données projet'!$B$10,Paramètres!$A$1:$I$89,3,0)*0.475*44/12</f>
        <v>5.8345440245870485E-5</v>
      </c>
      <c r="AX131" s="23">
        <f t="shared" si="60"/>
        <v>104.47613754767262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-5.6843418860808015E-13</v>
      </c>
      <c r="BE131" s="14">
        <f>BD131*VLOOKUP('Données projet'!$B$11,Paramètres!$A$1:$I$89,3,0)*VLOOKUP('Données projet'!$B$11,Paramètres!$A$1:$I$89,5,0)</f>
        <v>-3.39923644787632E-13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361.81625684745416</v>
      </c>
      <c r="BJ131" s="62">
        <f t="shared" si="92"/>
        <v>302.25424592654684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99.539598296126186</v>
      </c>
      <c r="BQ131" s="23">
        <f>EXP(-LN(2)/25)*BQ130+(1-EXP(-LN(2)/25))/(LN(2)/25)*Calculateur!BL131*Calculateur!BN131*VLOOKUP('Données projet'!$B$11,Paramètres!$A$1:$I$89,3,0)*0.475*44/12</f>
        <v>6.2610749647666504</v>
      </c>
      <c r="BR131" s="23">
        <f>EXP(-LN(2)/2)*BR130+(1-EXP(-LN(2)/2))/(LN(2)/2)*BL131*BO131*VLOOKUP('Données projet'!$B$11,Paramètres!$A$1:$I$89,3,0)*0.475*44/12</f>
        <v>2.7215568518372625E-7</v>
      </c>
      <c r="BS131" s="24">
        <f t="shared" si="63"/>
        <v>105.80067353304852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-1.1368683772161603E-12</v>
      </c>
      <c r="O132" s="14">
        <f>N132*VLOOKUP('Données projet'!$B$9,Paramètres!$A$1:$I$89,3,0)*VLOOKUP('Données projet'!$B$9,Paramètres!$A$1:$I$89,5,0)</f>
        <v>-6.3550942286383359E-13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500.52921520843432</v>
      </c>
      <c r="T132" s="62">
        <f t="shared" si="88"/>
        <v>430.43167430170087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163.91180440313428</v>
      </c>
      <c r="AA132" s="23">
        <f>EXP(-LN(2)/25)*AA131+(1-EXP(-LN(2)/25))/(LN(2)/25)*Calculateur!V132*Calculateur!X132*VLOOKUP('Données projet'!$B$9,Paramètres!$A$1:$I$89,3,0)*0.475*44/12</f>
        <v>11.159405630893954</v>
      </c>
      <c r="AB132" s="23">
        <f>EXP(-LN(2)/2)*AB131+(1-EXP(-LN(2)/2))/(LN(2)/2)*V132*Y132*VLOOKUP('Données projet'!$B$9,Paramètres!$A$1:$I$89,3,0)*0.475*44/12</f>
        <v>9.5465045265088424E-7</v>
      </c>
      <c r="AC132" s="24">
        <f t="shared" ref="AC132:AC153" si="111">SUM(Z132:AB132)</f>
        <v>175.0712109886787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265.57412766850422</v>
      </c>
      <c r="AO132" s="62">
        <f t="shared" si="90"/>
        <v>179.39213799913273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90.549902725628911</v>
      </c>
      <c r="AV132" s="23">
        <f>EXP(-LN(2)/25)*AV131+(1-EXP(-LN(2)/25))/(LN(2)/25)*Calculateur!AQ132*Calculateur!AS132*VLOOKUP('Données projet'!$B$10,Paramètres!$A$1:$I$89,3,0)*0.475*44/12</f>
        <v>11.783746483170949</v>
      </c>
      <c r="AW132" s="23">
        <f>EXP(-LN(2)/2)*AW131+(1-EXP(-LN(2)/2))/(LN(2)/2)*AQ132*AT132*VLOOKUP('Données projet'!$B$10,Paramètres!$A$1:$I$89,3,0)*0.475*44/12</f>
        <v>4.1256456449169524E-5</v>
      </c>
      <c r="AX132" s="23">
        <f t="shared" ref="AX132:AX153" si="114">SUM(AU132:AW132)</f>
        <v>102.33369046525631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-5.6843418860808015E-13</v>
      </c>
      <c r="BE132" s="14">
        <f>BD132*VLOOKUP('Données projet'!$B$11,Paramètres!$A$1:$I$89,3,0)*VLOOKUP('Données projet'!$B$11,Paramètres!$A$1:$I$89,5,0)</f>
        <v>-3.39923644787632E-13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361.81625684745416</v>
      </c>
      <c r="BJ132" s="62">
        <f t="shared" si="92"/>
        <v>302.25424592654684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97.587687486699181</v>
      </c>
      <c r="BQ132" s="23">
        <f>EXP(-LN(2)/25)*BQ131+(1-EXP(-LN(2)/25))/(LN(2)/25)*Calculateur!BL132*Calculateur!BN132*VLOOKUP('Données projet'!$B$11,Paramètres!$A$1:$I$89,3,0)*0.475*44/12</f>
        <v>6.0898655405994839</v>
      </c>
      <c r="BR132" s="23">
        <f>EXP(-LN(2)/2)*BR131+(1-EXP(-LN(2)/2))/(LN(2)/2)*BL132*BO132*VLOOKUP('Données projet'!$B$11,Paramètres!$A$1:$I$89,3,0)*0.475*44/12</f>
        <v>1.9244313053188404E-7</v>
      </c>
      <c r="BS132" s="24">
        <f t="shared" ref="BS132:BS153" si="117">SUM(BP132:BR132)</f>
        <v>103.6775532197418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-1.1368683772161603E-12</v>
      </c>
      <c r="O133" s="14">
        <f>N133*VLOOKUP('Données projet'!$B$9,Paramètres!$A$1:$I$89,3,0)*VLOOKUP('Données projet'!$B$9,Paramètres!$A$1:$I$89,5,0)</f>
        <v>-6.3550942286383359E-13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500.52921520843432</v>
      </c>
      <c r="T133" s="62">
        <f t="shared" ref="T133:T196" si="142">$T$3</f>
        <v>430.43167430170087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160.69759389511768</v>
      </c>
      <c r="AA133" s="23">
        <f>EXP(-LN(2)/25)*AA132+(1-EXP(-LN(2)/25))/(LN(2)/25)*Calculateur!V133*Calculateur!X133*VLOOKUP('Données projet'!$B$9,Paramètres!$A$1:$I$89,3,0)*0.475*44/12</f>
        <v>10.854251097069522</v>
      </c>
      <c r="AB133" s="23">
        <f>EXP(-LN(2)/2)*AB132+(1-EXP(-LN(2)/2))/(LN(2)/2)*V133*Y133*VLOOKUP('Données projet'!$B$9,Paramètres!$A$1:$I$89,3,0)*0.475*44/12</f>
        <v>6.7503980873224736E-7</v>
      </c>
      <c r="AC133" s="24">
        <f t="shared" si="111"/>
        <v>171.55184566722701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265.57412766850422</v>
      </c>
      <c r="AO133" s="62">
        <f t="shared" ref="AO133:AO196" si="144">$AO$3</f>
        <v>179.39213799913273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88.774274363166484</v>
      </c>
      <c r="AV133" s="23">
        <f>EXP(-LN(2)/25)*AV132+(1-EXP(-LN(2)/25))/(LN(2)/25)*Calculateur!AQ133*Calculateur!AS133*VLOOKUP('Données projet'!$B$10,Paramètres!$A$1:$I$89,3,0)*0.475*44/12</f>
        <v>11.461519315908344</v>
      </c>
      <c r="AW133" s="23">
        <f>EXP(-LN(2)/2)*AW132+(1-EXP(-LN(2)/2))/(LN(2)/2)*AQ133*AT133*VLOOKUP('Données projet'!$B$10,Paramètres!$A$1:$I$89,3,0)*0.475*44/12</f>
        <v>2.9172720122935242E-5</v>
      </c>
      <c r="AX133" s="23">
        <f t="shared" si="114"/>
        <v>100.23582285179495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-5.6843418860808015E-13</v>
      </c>
      <c r="BE133" s="14">
        <f>BD133*VLOOKUP('Données projet'!$B$11,Paramètres!$A$1:$I$89,3,0)*VLOOKUP('Données projet'!$B$11,Paramètres!$A$1:$I$89,5,0)</f>
        <v>-3.39923644787632E-13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361.81625684745416</v>
      </c>
      <c r="BJ133" s="62">
        <f t="shared" ref="BJ133:BJ196" si="146">$BJ$3</f>
        <v>302.25424592654684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95.674052457697002</v>
      </c>
      <c r="BQ133" s="23">
        <f>EXP(-LN(2)/25)*BQ132+(1-EXP(-LN(2)/25))/(LN(2)/25)*Calculateur!BL133*Calculateur!BN133*VLOOKUP('Données projet'!$B$11,Paramètres!$A$1:$I$89,3,0)*0.475*44/12</f>
        <v>5.9233378471396811</v>
      </c>
      <c r="BR133" s="23">
        <f>EXP(-LN(2)/2)*BR132+(1-EXP(-LN(2)/2))/(LN(2)/2)*BL133*BO133*VLOOKUP('Données projet'!$B$11,Paramètres!$A$1:$I$89,3,0)*0.475*44/12</f>
        <v>1.3607784259186313E-7</v>
      </c>
      <c r="BS133" s="24">
        <f t="shared" si="117"/>
        <v>101.59739044091452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-1.1368683772161603E-12</v>
      </c>
      <c r="O134" s="14">
        <f>N134*VLOOKUP('Données projet'!$B$9,Paramètres!$A$1:$I$89,3,0)*VLOOKUP('Données projet'!$B$9,Paramètres!$A$1:$I$89,5,0)</f>
        <v>-6.3550942286383359E-13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500.52921520843432</v>
      </c>
      <c r="T134" s="62">
        <f t="shared" si="142"/>
        <v>430.43167430170087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157.54641209468843</v>
      </c>
      <c r="AA134" s="23">
        <f>EXP(-LN(2)/25)*AA133+(1-EXP(-LN(2)/25))/(LN(2)/25)*Calculateur!V134*Calculateur!X134*VLOOKUP('Données projet'!$B$9,Paramètres!$A$1:$I$89,3,0)*0.475*44/12</f>
        <v>10.557441030019898</v>
      </c>
      <c r="AB134" s="23">
        <f>EXP(-LN(2)/2)*AB133+(1-EXP(-LN(2)/2))/(LN(2)/2)*V134*Y134*VLOOKUP('Données projet'!$B$9,Paramètres!$A$1:$I$89,3,0)*0.475*44/12</f>
        <v>4.7732522632544212E-7</v>
      </c>
      <c r="AC134" s="24">
        <f t="shared" si="111"/>
        <v>168.10385360203355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265.57412766850422</v>
      </c>
      <c r="AO134" s="62">
        <f t="shared" si="144"/>
        <v>179.39213799913273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87.033464989865578</v>
      </c>
      <c r="AV134" s="23">
        <f>EXP(-LN(2)/25)*AV133+(1-EXP(-LN(2)/25))/(LN(2)/25)*Calculateur!AQ134*Calculateur!AS134*VLOOKUP('Données projet'!$B$10,Paramètres!$A$1:$I$89,3,0)*0.475*44/12</f>
        <v>11.148103467479725</v>
      </c>
      <c r="AW134" s="23">
        <f>EXP(-LN(2)/2)*AW133+(1-EXP(-LN(2)/2))/(LN(2)/2)*AQ134*AT134*VLOOKUP('Données projet'!$B$10,Paramètres!$A$1:$I$89,3,0)*0.475*44/12</f>
        <v>2.0628228224584762E-5</v>
      </c>
      <c r="AX134" s="23">
        <f t="shared" si="114"/>
        <v>98.181589085573535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-5.6843418860808015E-13</v>
      </c>
      <c r="BE134" s="14">
        <f>BD134*VLOOKUP('Données projet'!$B$11,Paramètres!$A$1:$I$89,3,0)*VLOOKUP('Données projet'!$B$11,Paramètres!$A$1:$I$89,5,0)</f>
        <v>-3.39923644787632E-13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361.81625684745416</v>
      </c>
      <c r="BJ134" s="62">
        <f t="shared" si="146"/>
        <v>302.25424592654684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93.797942644411449</v>
      </c>
      <c r="BQ134" s="23">
        <f>EXP(-LN(2)/25)*BQ133+(1-EXP(-LN(2)/25))/(LN(2)/25)*Calculateur!BL134*Calculateur!BN134*VLOOKUP('Données projet'!$B$11,Paramètres!$A$1:$I$89,3,0)*0.475*44/12</f>
        <v>5.7613638622148473</v>
      </c>
      <c r="BR134" s="23">
        <f>EXP(-LN(2)/2)*BR133+(1-EXP(-LN(2)/2))/(LN(2)/2)*BL134*BO134*VLOOKUP('Données projet'!$B$11,Paramètres!$A$1:$I$89,3,0)*0.475*44/12</f>
        <v>9.6221565265942018E-8</v>
      </c>
      <c r="BS134" s="24">
        <f t="shared" si="117"/>
        <v>99.559306602847869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-1.1368683772161603E-12</v>
      </c>
      <c r="O135" s="14">
        <f>N135*VLOOKUP('Données projet'!$B$9,Paramètres!$A$1:$I$89,3,0)*VLOOKUP('Données projet'!$B$9,Paramètres!$A$1:$I$89,5,0)</f>
        <v>-6.3550942286383359E-13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500.52921520843432</v>
      </c>
      <c r="T135" s="62">
        <f t="shared" si="142"/>
        <v>430.43167430170087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154.4570230473345</v>
      </c>
      <c r="AA135" s="23">
        <f>EXP(-LN(2)/25)*AA134+(1-EXP(-LN(2)/25))/(LN(2)/25)*Calculateur!V135*Calculateur!X135*VLOOKUP('Données projet'!$B$9,Paramètres!$A$1:$I$89,3,0)*0.475*44/12</f>
        <v>10.26874724986231</v>
      </c>
      <c r="AB135" s="23">
        <f>EXP(-LN(2)/2)*AB134+(1-EXP(-LN(2)/2))/(LN(2)/2)*V135*Y135*VLOOKUP('Données projet'!$B$9,Paramètres!$A$1:$I$89,3,0)*0.475*44/12</f>
        <v>3.3751990436612368E-7</v>
      </c>
      <c r="AC135" s="24">
        <f t="shared" si="111"/>
        <v>164.72577063471672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265.57412766850422</v>
      </c>
      <c r="AO135" s="62">
        <f t="shared" si="144"/>
        <v>179.39213799913273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85.326791826586231</v>
      </c>
      <c r="AV135" s="23">
        <f>EXP(-LN(2)/25)*AV134+(1-EXP(-LN(2)/25))/(LN(2)/25)*Calculateur!AQ135*Calculateur!AS135*VLOOKUP('Données projet'!$B$10,Paramètres!$A$1:$I$89,3,0)*0.475*44/12</f>
        <v>10.84325799190821</v>
      </c>
      <c r="AW135" s="23">
        <f>EXP(-LN(2)/2)*AW134+(1-EXP(-LN(2)/2))/(LN(2)/2)*AQ135*AT135*VLOOKUP('Données projet'!$B$10,Paramètres!$A$1:$I$89,3,0)*0.475*44/12</f>
        <v>1.4586360061467621E-5</v>
      </c>
      <c r="AX135" s="23">
        <f t="shared" si="114"/>
        <v>96.170064404854514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-5.6843418860808015E-13</v>
      </c>
      <c r="BE135" s="14">
        <f>BD135*VLOOKUP('Données projet'!$B$11,Paramètres!$A$1:$I$89,3,0)*VLOOKUP('Données projet'!$B$11,Paramètres!$A$1:$I$89,5,0)</f>
        <v>-3.39923644787632E-13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361.81625684745416</v>
      </c>
      <c r="BJ135" s="62">
        <f t="shared" si="146"/>
        <v>302.25424592654684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91.958622200250431</v>
      </c>
      <c r="BQ135" s="23">
        <f>EXP(-LN(2)/25)*BQ134+(1-EXP(-LN(2)/25))/(LN(2)/25)*Calculateur!BL135*Calculateur!BN135*VLOOKUP('Données projet'!$B$11,Paramètres!$A$1:$I$89,3,0)*0.475*44/12</f>
        <v>5.6038190644256245</v>
      </c>
      <c r="BR135" s="23">
        <f>EXP(-LN(2)/2)*BR134+(1-EXP(-LN(2)/2))/(LN(2)/2)*BL135*BO135*VLOOKUP('Données projet'!$B$11,Paramètres!$A$1:$I$89,3,0)*0.475*44/12</f>
        <v>6.8038921295931563E-8</v>
      </c>
      <c r="BS135" s="24">
        <f t="shared" si="117"/>
        <v>97.562441332714968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-1.1368683772161603E-12</v>
      </c>
      <c r="O136" s="14">
        <f>N136*VLOOKUP('Données projet'!$B$9,Paramètres!$A$1:$I$89,3,0)*VLOOKUP('Données projet'!$B$9,Paramètres!$A$1:$I$89,5,0)</f>
        <v>-6.3550942286383359E-13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500.52921520843432</v>
      </c>
      <c r="T136" s="62">
        <f t="shared" si="142"/>
        <v>430.43167430170087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151.42821503485791</v>
      </c>
      <c r="AA136" s="23">
        <f>EXP(-LN(2)/25)*AA135+(1-EXP(-LN(2)/25))/(LN(2)/25)*Calculateur!V136*Calculateur!X136*VLOOKUP('Données projet'!$B$9,Paramètres!$A$1:$I$89,3,0)*0.475*44/12</f>
        <v>9.9879478163048763</v>
      </c>
      <c r="AB136" s="23">
        <f>EXP(-LN(2)/2)*AB135+(1-EXP(-LN(2)/2))/(LN(2)/2)*V136*Y136*VLOOKUP('Données projet'!$B$9,Paramètres!$A$1:$I$89,3,0)*0.475*44/12</f>
        <v>2.3866261316272106E-7</v>
      </c>
      <c r="AC136" s="24">
        <f t="shared" si="111"/>
        <v>161.4161630898254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265.57412766850422</v>
      </c>
      <c r="AO136" s="62">
        <f t="shared" si="144"/>
        <v>179.39213799913273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83.653585483070955</v>
      </c>
      <c r="AV136" s="23">
        <f>EXP(-LN(2)/25)*AV135+(1-EXP(-LN(2)/25))/(LN(2)/25)*Calculateur!AQ136*Calculateur!AS136*VLOOKUP('Données projet'!$B$10,Paramètres!$A$1:$I$89,3,0)*0.475*44/12</f>
        <v>10.546748531897325</v>
      </c>
      <c r="AW136" s="23">
        <f>EXP(-LN(2)/2)*AW135+(1-EXP(-LN(2)/2))/(LN(2)/2)*AQ136*AT136*VLOOKUP('Données projet'!$B$10,Paramètres!$A$1:$I$89,3,0)*0.475*44/12</f>
        <v>1.0314114112292381E-5</v>
      </c>
      <c r="AX136" s="23">
        <f t="shared" si="114"/>
        <v>94.200344329082384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-5.6843418860808015E-13</v>
      </c>
      <c r="BE136" s="14">
        <f>BD136*VLOOKUP('Données projet'!$B$11,Paramètres!$A$1:$I$89,3,0)*VLOOKUP('Données projet'!$B$11,Paramètres!$A$1:$I$89,5,0)</f>
        <v>-3.39923644787632E-13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361.81625684745416</v>
      </c>
      <c r="BJ136" s="62">
        <f t="shared" si="146"/>
        <v>302.25424592654684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90.155369708124709</v>
      </c>
      <c r="BQ136" s="23">
        <f>EXP(-LN(2)/25)*BQ135+(1-EXP(-LN(2)/25))/(LN(2)/25)*Calculateur!BL136*Calculateur!BN136*VLOOKUP('Données projet'!$B$11,Paramètres!$A$1:$I$89,3,0)*0.475*44/12</f>
        <v>5.4505823374168685</v>
      </c>
      <c r="BR136" s="23">
        <f>EXP(-LN(2)/2)*BR135+(1-EXP(-LN(2)/2))/(LN(2)/2)*BL136*BO136*VLOOKUP('Données projet'!$B$11,Paramètres!$A$1:$I$89,3,0)*0.475*44/12</f>
        <v>4.8110782632971009E-8</v>
      </c>
      <c r="BS136" s="24">
        <f t="shared" si="117"/>
        <v>95.605952093652363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-1.1368683772161603E-12</v>
      </c>
      <c r="O137" s="14">
        <f>N137*VLOOKUP('Données projet'!$B$9,Paramètres!$A$1:$I$89,3,0)*VLOOKUP('Données projet'!$B$9,Paramètres!$A$1:$I$89,5,0)</f>
        <v>-6.3550942286383359E-13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500.52921520843432</v>
      </c>
      <c r="T137" s="62">
        <f t="shared" si="142"/>
        <v>430.43167430170087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148.45880010011552</v>
      </c>
      <c r="AA137" s="23">
        <f>EXP(-LN(2)/25)*AA136+(1-EXP(-LN(2)/25))/(LN(2)/25)*Calculateur!V137*Calculateur!X137*VLOOKUP('Données projet'!$B$9,Paramètres!$A$1:$I$89,3,0)*0.475*44/12</f>
        <v>9.7148268580246722</v>
      </c>
      <c r="AB137" s="23">
        <f>EXP(-LN(2)/2)*AB136+(1-EXP(-LN(2)/2))/(LN(2)/2)*V137*Y137*VLOOKUP('Données projet'!$B$9,Paramètres!$A$1:$I$89,3,0)*0.475*44/12</f>
        <v>1.6875995218306184E-7</v>
      </c>
      <c r="AC137" s="24">
        <f t="shared" si="111"/>
        <v>158.17362712690016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265.57412766850422</v>
      </c>
      <c r="AO137" s="62">
        <f t="shared" si="144"/>
        <v>179.39213799913273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82.013189695396918</v>
      </c>
      <c r="AV137" s="23">
        <f>EXP(-LN(2)/25)*AV136+(1-EXP(-LN(2)/25))/(LN(2)/25)*Calculateur!AQ137*Calculateur!AS137*VLOOKUP('Données projet'!$B$10,Paramètres!$A$1:$I$89,3,0)*0.475*44/12</f>
        <v>10.258347138663192</v>
      </c>
      <c r="AW137" s="23">
        <f>EXP(-LN(2)/2)*AW136+(1-EXP(-LN(2)/2))/(LN(2)/2)*AQ137*AT137*VLOOKUP('Données projet'!$B$10,Paramètres!$A$1:$I$89,3,0)*0.475*44/12</f>
        <v>7.2931800307338106E-6</v>
      </c>
      <c r="AX137" s="23">
        <f t="shared" si="114"/>
        <v>92.271544127240148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-5.6843418860808015E-13</v>
      </c>
      <c r="BE137" s="14">
        <f>BD137*VLOOKUP('Données projet'!$B$11,Paramètres!$A$1:$I$89,3,0)*VLOOKUP('Données projet'!$B$11,Paramètres!$A$1:$I$89,5,0)</f>
        <v>-3.39923644787632E-13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361.81625684745416</v>
      </c>
      <c r="BJ137" s="62">
        <f t="shared" si="146"/>
        <v>302.25424592654684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88.387477897494165</v>
      </c>
      <c r="BQ137" s="23">
        <f>EXP(-LN(2)/25)*BQ136+(1-EXP(-LN(2)/25))/(LN(2)/25)*Calculateur!BL137*Calculateur!BN137*VLOOKUP('Données projet'!$B$11,Paramètres!$A$1:$I$89,3,0)*0.475*44/12</f>
        <v>5.3015358767665361</v>
      </c>
      <c r="BR137" s="23">
        <f>EXP(-LN(2)/2)*BR136+(1-EXP(-LN(2)/2))/(LN(2)/2)*BL137*BO137*VLOOKUP('Données projet'!$B$11,Paramètres!$A$1:$I$89,3,0)*0.475*44/12</f>
        <v>3.4019460647965781E-8</v>
      </c>
      <c r="BS137" s="24">
        <f t="shared" si="117"/>
        <v>93.689013808280166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-1.1368683772161603E-12</v>
      </c>
      <c r="O138" s="14">
        <f>N138*VLOOKUP('Données projet'!$B$9,Paramètres!$A$1:$I$89,3,0)*VLOOKUP('Données projet'!$B$9,Paramètres!$A$1:$I$89,5,0)</f>
        <v>-6.3550942286383359E-13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500.52921520843432</v>
      </c>
      <c r="T138" s="62">
        <f t="shared" si="142"/>
        <v>430.43167430170087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145.54761358107916</v>
      </c>
      <c r="AA138" s="23">
        <f>EXP(-LN(2)/25)*AA137+(1-EXP(-LN(2)/25))/(LN(2)/25)*Calculateur!V138*Calculateur!X138*VLOOKUP('Données projet'!$B$9,Paramètres!$A$1:$I$89,3,0)*0.475*44/12</f>
        <v>9.449174406711446</v>
      </c>
      <c r="AB138" s="23">
        <f>EXP(-LN(2)/2)*AB137+(1-EXP(-LN(2)/2))/(LN(2)/2)*V138*Y138*VLOOKUP('Données projet'!$B$9,Paramètres!$A$1:$I$89,3,0)*0.475*44/12</f>
        <v>1.1933130658136053E-7</v>
      </c>
      <c r="AC138" s="24">
        <f t="shared" si="111"/>
        <v>154.99678810712192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265.57412766850422</v>
      </c>
      <c r="AO138" s="62">
        <f t="shared" si="144"/>
        <v>179.39213799913273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80.404961068576526</v>
      </c>
      <c r="AV138" s="23">
        <f>EXP(-LN(2)/25)*AV137+(1-EXP(-LN(2)/25))/(LN(2)/25)*Calculateur!AQ138*Calculateur!AS138*VLOOKUP('Données projet'!$B$10,Paramètres!$A$1:$I$89,3,0)*0.475*44/12</f>
        <v>9.9778320966934171</v>
      </c>
      <c r="AW138" s="23">
        <f>EXP(-LN(2)/2)*AW137+(1-EXP(-LN(2)/2))/(LN(2)/2)*AQ138*AT138*VLOOKUP('Données projet'!$B$10,Paramètres!$A$1:$I$89,3,0)*0.475*44/12</f>
        <v>5.1570570561461905E-6</v>
      </c>
      <c r="AX138" s="23">
        <f t="shared" si="114"/>
        <v>90.382798322327005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-5.6843418860808015E-13</v>
      </c>
      <c r="BE138" s="14">
        <f>BD138*VLOOKUP('Données projet'!$B$11,Paramètres!$A$1:$I$89,3,0)*VLOOKUP('Données projet'!$B$11,Paramètres!$A$1:$I$89,5,0)</f>
        <v>-3.39923644787632E-13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361.81625684745416</v>
      </c>
      <c r="BJ138" s="62">
        <f t="shared" si="146"/>
        <v>302.25424592654684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86.65425336696255</v>
      </c>
      <c r="BQ138" s="23">
        <f>EXP(-LN(2)/25)*BQ137+(1-EXP(-LN(2)/25))/(LN(2)/25)*Calculateur!BL138*Calculateur!BN138*VLOOKUP('Données projet'!$B$11,Paramètres!$A$1:$I$89,3,0)*0.475*44/12</f>
        <v>5.1565650994207006</v>
      </c>
      <c r="BR138" s="23">
        <f>EXP(-LN(2)/2)*BR137+(1-EXP(-LN(2)/2))/(LN(2)/2)*BL138*BO138*VLOOKUP('Données projet'!$B$11,Paramètres!$A$1:$I$89,3,0)*0.475*44/12</f>
        <v>2.4055391316485504E-8</v>
      </c>
      <c r="BS138" s="24">
        <f t="shared" si="117"/>
        <v>91.810818490438649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-1.1368683772161603E-12</v>
      </c>
      <c r="O139" s="14">
        <f>N139*VLOOKUP('Données projet'!$B$9,Paramètres!$A$1:$I$89,3,0)*VLOOKUP('Données projet'!$B$9,Paramètres!$A$1:$I$89,5,0)</f>
        <v>-6.3550942286383359E-13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500.52921520843432</v>
      </c>
      <c r="T139" s="62">
        <f t="shared" si="142"/>
        <v>430.43167430170087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142.69351365403264</v>
      </c>
      <c r="AA139" s="23">
        <f>EXP(-LN(2)/25)*AA138+(1-EXP(-LN(2)/25))/(LN(2)/25)*Calculateur!V139*Calculateur!X139*VLOOKUP('Données projet'!$B$9,Paramètres!$A$1:$I$89,3,0)*0.475*44/12</f>
        <v>9.1907862356494352</v>
      </c>
      <c r="AB139" s="23">
        <f>EXP(-LN(2)/2)*AB138+(1-EXP(-LN(2)/2))/(LN(2)/2)*V139*Y139*VLOOKUP('Données projet'!$B$9,Paramètres!$A$1:$I$89,3,0)*0.475*44/12</f>
        <v>8.437997609153092E-8</v>
      </c>
      <c r="AC139" s="24">
        <f t="shared" si="111"/>
        <v>151.88429997406203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265.57412766850422</v>
      </c>
      <c r="AO139" s="62">
        <f t="shared" si="144"/>
        <v>179.39213799913273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78.82826882420548</v>
      </c>
      <c r="AV139" s="23">
        <f>EXP(-LN(2)/25)*AV138+(1-EXP(-LN(2)/25))/(LN(2)/25)*Calculateur!AQ139*Calculateur!AS139*VLOOKUP('Données projet'!$B$10,Paramètres!$A$1:$I$89,3,0)*0.475*44/12</f>
        <v>9.7049877532979512</v>
      </c>
      <c r="AW139" s="23">
        <f>EXP(-LN(2)/2)*AW138+(1-EXP(-LN(2)/2))/(LN(2)/2)*AQ139*AT139*VLOOKUP('Données projet'!$B$10,Paramètres!$A$1:$I$89,3,0)*0.475*44/12</f>
        <v>3.6465900153669053E-6</v>
      </c>
      <c r="AX139" s="23">
        <f t="shared" si="114"/>
        <v>88.533260224093453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-5.6843418860808015E-13</v>
      </c>
      <c r="BE139" s="14">
        <f>BD139*VLOOKUP('Données projet'!$B$11,Paramètres!$A$1:$I$89,3,0)*VLOOKUP('Données projet'!$B$11,Paramètres!$A$1:$I$89,5,0)</f>
        <v>-3.39923644787632E-13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361.81625684745416</v>
      </c>
      <c r="BJ139" s="62">
        <f t="shared" si="146"/>
        <v>302.25424592654684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84.955016312312083</v>
      </c>
      <c r="BQ139" s="23">
        <f>EXP(-LN(2)/25)*BQ138+(1-EXP(-LN(2)/25))/(LN(2)/25)*Calculateur!BL139*Calculateur!BN139*VLOOKUP('Données projet'!$B$11,Paramètres!$A$1:$I$89,3,0)*0.475*44/12</f>
        <v>5.0155585556050681</v>
      </c>
      <c r="BR139" s="23">
        <f>EXP(-LN(2)/2)*BR138+(1-EXP(-LN(2)/2))/(LN(2)/2)*BL139*BO139*VLOOKUP('Données projet'!$B$11,Paramètres!$A$1:$I$89,3,0)*0.475*44/12</f>
        <v>1.7009730323982891E-8</v>
      </c>
      <c r="BS139" s="24">
        <f t="shared" si="117"/>
        <v>89.970574884926876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-1.1368683772161603E-12</v>
      </c>
      <c r="O140" s="14">
        <f>N140*VLOOKUP('Données projet'!$B$9,Paramètres!$A$1:$I$89,3,0)*VLOOKUP('Données projet'!$B$9,Paramètres!$A$1:$I$89,5,0)</f>
        <v>-6.3550942286383359E-13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500.52921520843432</v>
      </c>
      <c r="T140" s="62">
        <f t="shared" si="142"/>
        <v>430.43167430170087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139.89538088572644</v>
      </c>
      <c r="AA140" s="23">
        <f>EXP(-LN(2)/25)*AA139+(1-EXP(-LN(2)/25))/(LN(2)/25)*Calculateur!V140*Calculateur!X140*VLOOKUP('Données projet'!$B$9,Paramètres!$A$1:$I$89,3,0)*0.475*44/12</f>
        <v>8.9394637027131587</v>
      </c>
      <c r="AB140" s="23">
        <f>EXP(-LN(2)/2)*AB139+(1-EXP(-LN(2)/2))/(LN(2)/2)*V140*Y140*VLOOKUP('Données projet'!$B$9,Paramètres!$A$1:$I$89,3,0)*0.475*44/12</f>
        <v>5.9665653290680265E-8</v>
      </c>
      <c r="AC140" s="24">
        <f t="shared" si="111"/>
        <v>148.83484464810527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265.57412766850422</v>
      </c>
      <c r="AO140" s="62">
        <f t="shared" si="144"/>
        <v>179.39213799913273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77.282494553059237</v>
      </c>
      <c r="AV140" s="23">
        <f>EXP(-LN(2)/25)*AV139+(1-EXP(-LN(2)/25))/(LN(2)/25)*Calculateur!AQ140*Calculateur!AS140*VLOOKUP('Données projet'!$B$10,Paramètres!$A$1:$I$89,3,0)*0.475*44/12</f>
        <v>9.4396043528208935</v>
      </c>
      <c r="AW140" s="23">
        <f>EXP(-LN(2)/2)*AW139+(1-EXP(-LN(2)/2))/(LN(2)/2)*AQ140*AT140*VLOOKUP('Données projet'!$B$10,Paramètres!$A$1:$I$89,3,0)*0.475*44/12</f>
        <v>2.5785285280730952E-6</v>
      </c>
      <c r="AX140" s="23">
        <f t="shared" si="114"/>
        <v>86.722101484408654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-5.6843418860808015E-13</v>
      </c>
      <c r="BE140" s="14">
        <f>BD140*VLOOKUP('Données projet'!$B$11,Paramètres!$A$1:$I$89,3,0)*VLOOKUP('Données projet'!$B$11,Paramètres!$A$1:$I$89,5,0)</f>
        <v>-3.39923644787632E-13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361.81625684745416</v>
      </c>
      <c r="BJ140" s="62">
        <f t="shared" si="146"/>
        <v>302.25424592654684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83.289100259871049</v>
      </c>
      <c r="BQ140" s="23">
        <f>EXP(-LN(2)/25)*BQ139+(1-EXP(-LN(2)/25))/(LN(2)/25)*Calculateur!BL140*Calculateur!BN140*VLOOKUP('Données projet'!$B$11,Paramètres!$A$1:$I$89,3,0)*0.475*44/12</f>
        <v>4.8784078431452862</v>
      </c>
      <c r="BR140" s="23">
        <f>EXP(-LN(2)/2)*BR139+(1-EXP(-LN(2)/2))/(LN(2)/2)*BL140*BO140*VLOOKUP('Données projet'!$B$11,Paramètres!$A$1:$I$89,3,0)*0.475*44/12</f>
        <v>1.2027695658242752E-8</v>
      </c>
      <c r="BS140" s="24">
        <f t="shared" si="117"/>
        <v>88.167508115044029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-1.1368683772161603E-12</v>
      </c>
      <c r="O141" s="14">
        <f>N141*VLOOKUP('Données projet'!$B$9,Paramètres!$A$1:$I$89,3,0)*VLOOKUP('Données projet'!$B$9,Paramètres!$A$1:$I$89,5,0)</f>
        <v>-6.3550942286383359E-13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500.52921520843432</v>
      </c>
      <c r="T141" s="62">
        <f t="shared" si="142"/>
        <v>430.43167430170087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137.15211779431428</v>
      </c>
      <c r="AA141" s="23">
        <f>EXP(-LN(2)/25)*AA140+(1-EXP(-LN(2)/25))/(LN(2)/25)*Calculateur!V141*Calculateur!X141*VLOOKUP('Données projet'!$B$9,Paramètres!$A$1:$I$89,3,0)*0.475*44/12</f>
        <v>8.6950135976565033</v>
      </c>
      <c r="AB141" s="23">
        <f>EXP(-LN(2)/2)*AB140+(1-EXP(-LN(2)/2))/(LN(2)/2)*V141*Y141*VLOOKUP('Données projet'!$B$9,Paramètres!$A$1:$I$89,3,0)*0.475*44/12</f>
        <v>4.218998804576546E-8</v>
      </c>
      <c r="AC141" s="24">
        <f t="shared" si="111"/>
        <v>145.84713143416076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265.57412766850422</v>
      </c>
      <c r="AO141" s="62">
        <f t="shared" si="144"/>
        <v>179.39213799913273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75.767031972540963</v>
      </c>
      <c r="AV141" s="23">
        <f>EXP(-LN(2)/25)*AV140+(1-EXP(-LN(2)/25))/(LN(2)/25)*Calculateur!AQ141*Calculateur!AS141*VLOOKUP('Données projet'!$B$10,Paramètres!$A$1:$I$89,3,0)*0.475*44/12</f>
        <v>9.181477875385788</v>
      </c>
      <c r="AW141" s="23">
        <f>EXP(-LN(2)/2)*AW140+(1-EXP(-LN(2)/2))/(LN(2)/2)*AQ141*AT141*VLOOKUP('Données projet'!$B$10,Paramètres!$A$1:$I$89,3,0)*0.475*44/12</f>
        <v>1.8232950076834526E-6</v>
      </c>
      <c r="AX141" s="23">
        <f t="shared" si="114"/>
        <v>84.948511671221752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-5.6843418860808015E-13</v>
      </c>
      <c r="BE141" s="14">
        <f>BD141*VLOOKUP('Données projet'!$B$11,Paramètres!$A$1:$I$89,3,0)*VLOOKUP('Données projet'!$B$11,Paramètres!$A$1:$I$89,5,0)</f>
        <v>-3.39923644787632E-13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361.81625684745416</v>
      </c>
      <c r="BJ141" s="62">
        <f t="shared" si="146"/>
        <v>302.25424592654684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81.655851805109918</v>
      </c>
      <c r="BQ141" s="23">
        <f>EXP(-LN(2)/25)*BQ140+(1-EXP(-LN(2)/25))/(LN(2)/25)*Calculateur!BL141*Calculateur!BN141*VLOOKUP('Données projet'!$B$11,Paramètres!$A$1:$I$89,3,0)*0.475*44/12</f>
        <v>4.7450075241301599</v>
      </c>
      <c r="BR141" s="23">
        <f>EXP(-LN(2)/2)*BR140+(1-EXP(-LN(2)/2))/(LN(2)/2)*BL141*BO141*VLOOKUP('Données projet'!$B$11,Paramètres!$A$1:$I$89,3,0)*0.475*44/12</f>
        <v>8.5048651619914454E-9</v>
      </c>
      <c r="BS141" s="24">
        <f t="shared" si="117"/>
        <v>86.400859337744947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-1.1368683772161603E-12</v>
      </c>
      <c r="O142" s="14">
        <f>N142*VLOOKUP('Données projet'!$B$9,Paramètres!$A$1:$I$89,3,0)*VLOOKUP('Données projet'!$B$9,Paramètres!$A$1:$I$89,5,0)</f>
        <v>-6.3550942286383359E-13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500.52921520843432</v>
      </c>
      <c r="T142" s="62">
        <f t="shared" si="142"/>
        <v>430.43167430170087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134.46264841889942</v>
      </c>
      <c r="AA142" s="23">
        <f>EXP(-LN(2)/25)*AA141+(1-EXP(-LN(2)/25))/(LN(2)/25)*Calculateur!V142*Calculateur!X142*VLOOKUP('Données projet'!$B$9,Paramètres!$A$1:$I$89,3,0)*0.475*44/12</f>
        <v>8.4572479935776936</v>
      </c>
      <c r="AB142" s="23">
        <f>EXP(-LN(2)/2)*AB141+(1-EXP(-LN(2)/2))/(LN(2)/2)*V142*Y142*VLOOKUP('Données projet'!$B$9,Paramètres!$A$1:$I$89,3,0)*0.475*44/12</f>
        <v>2.9832826645340133E-8</v>
      </c>
      <c r="AC142" s="24">
        <f t="shared" si="111"/>
        <v>142.91989644230992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265.57412766850422</v>
      </c>
      <c r="AO142" s="62">
        <f t="shared" si="144"/>
        <v>179.39213799913273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74.281286688885757</v>
      </c>
      <c r="AV142" s="23">
        <f>EXP(-LN(2)/25)*AV141+(1-EXP(-LN(2)/25))/(LN(2)/25)*Calculateur!AQ142*Calculateur!AS142*VLOOKUP('Données projet'!$B$10,Paramètres!$A$1:$I$89,3,0)*0.475*44/12</f>
        <v>8.9304098800504264</v>
      </c>
      <c r="AW142" s="23">
        <f>EXP(-LN(2)/2)*AW141+(1-EXP(-LN(2)/2))/(LN(2)/2)*AQ142*AT142*VLOOKUP('Données projet'!$B$10,Paramètres!$A$1:$I$89,3,0)*0.475*44/12</f>
        <v>1.2892642640365476E-6</v>
      </c>
      <c r="AX142" s="23">
        <f t="shared" si="114"/>
        <v>83.211697858200452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-5.6843418860808015E-13</v>
      </c>
      <c r="BE142" s="14">
        <f>BD142*VLOOKUP('Données projet'!$B$11,Paramètres!$A$1:$I$89,3,0)*VLOOKUP('Données projet'!$B$11,Paramètres!$A$1:$I$89,5,0)</f>
        <v>-3.39923644787632E-13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361.81625684745416</v>
      </c>
      <c r="BJ142" s="62">
        <f t="shared" si="146"/>
        <v>302.25424592654684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80.054630356363461</v>
      </c>
      <c r="BQ142" s="23">
        <f>EXP(-LN(2)/25)*BQ141+(1-EXP(-LN(2)/25))/(LN(2)/25)*Calculateur!BL142*Calculateur!BN142*VLOOKUP('Données projet'!$B$11,Paramètres!$A$1:$I$89,3,0)*0.475*44/12</f>
        <v>4.6152550438537201</v>
      </c>
      <c r="BR142" s="23">
        <f>EXP(-LN(2)/2)*BR141+(1-EXP(-LN(2)/2))/(LN(2)/2)*BL142*BO142*VLOOKUP('Données projet'!$B$11,Paramètres!$A$1:$I$89,3,0)*0.475*44/12</f>
        <v>6.0138478291213761E-9</v>
      </c>
      <c r="BS142" s="24">
        <f t="shared" si="117"/>
        <v>84.669885406231032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-1.1368683772161603E-12</v>
      </c>
      <c r="O143" s="14">
        <f>N143*VLOOKUP('Données projet'!$B$9,Paramètres!$A$1:$I$89,3,0)*VLOOKUP('Données projet'!$B$9,Paramètres!$A$1:$I$89,5,0)</f>
        <v>-6.3550942286383359E-13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500.52921520843432</v>
      </c>
      <c r="T143" s="62">
        <f t="shared" si="142"/>
        <v>430.43167430170087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131.82591789752212</v>
      </c>
      <c r="AA143" s="23">
        <f>EXP(-LN(2)/25)*AA142+(1-EXP(-LN(2)/25))/(LN(2)/25)*Calculateur!V143*Calculateur!X143*VLOOKUP('Données projet'!$B$9,Paramètres!$A$1:$I$89,3,0)*0.475*44/12</f>
        <v>8.2259841024459686</v>
      </c>
      <c r="AB143" s="23">
        <f>EXP(-LN(2)/2)*AB142+(1-EXP(-LN(2)/2))/(LN(2)/2)*V143*Y143*VLOOKUP('Données projet'!$B$9,Paramètres!$A$1:$I$89,3,0)*0.475*44/12</f>
        <v>2.109499402288273E-8</v>
      </c>
      <c r="AC143" s="24">
        <f t="shared" si="111"/>
        <v>140.05190202106309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265.57412766850422</v>
      </c>
      <c r="AO143" s="62">
        <f t="shared" si="144"/>
        <v>179.39213799913273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72.824675964027875</v>
      </c>
      <c r="AV143" s="23">
        <f>EXP(-LN(2)/25)*AV142+(1-EXP(-LN(2)/25))/(LN(2)/25)*Calculateur!AQ143*Calculateur!AS143*VLOOKUP('Données projet'!$B$10,Paramètres!$A$1:$I$89,3,0)*0.475*44/12</f>
        <v>8.6862073522506034</v>
      </c>
      <c r="AW143" s="23">
        <f>EXP(-LN(2)/2)*AW142+(1-EXP(-LN(2)/2))/(LN(2)/2)*AQ143*AT143*VLOOKUP('Données projet'!$B$10,Paramètres!$A$1:$I$89,3,0)*0.475*44/12</f>
        <v>9.1164750384172632E-7</v>
      </c>
      <c r="AX143" s="23">
        <f t="shared" si="114"/>
        <v>81.510884227925985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-5.6843418860808015E-13</v>
      </c>
      <c r="BE143" s="14">
        <f>BD143*VLOOKUP('Données projet'!$B$11,Paramètres!$A$1:$I$89,3,0)*VLOOKUP('Données projet'!$B$11,Paramètres!$A$1:$I$89,5,0)</f>
        <v>-3.39923644787632E-13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361.81625684745416</v>
      </c>
      <c r="BJ143" s="62">
        <f t="shared" si="146"/>
        <v>302.25424592654684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78.48480788357827</v>
      </c>
      <c r="BQ143" s="23">
        <f>EXP(-LN(2)/25)*BQ142+(1-EXP(-LN(2)/25))/(LN(2)/25)*Calculateur!BL143*Calculateur!BN143*VLOOKUP('Données projet'!$B$11,Paramètres!$A$1:$I$89,3,0)*0.475*44/12</f>
        <v>4.4890506519738258</v>
      </c>
      <c r="BR143" s="23">
        <f>EXP(-LN(2)/2)*BR142+(1-EXP(-LN(2)/2))/(LN(2)/2)*BL143*BO143*VLOOKUP('Données projet'!$B$11,Paramètres!$A$1:$I$89,3,0)*0.475*44/12</f>
        <v>4.2524325809957227E-9</v>
      </c>
      <c r="BS143" s="24">
        <f t="shared" si="117"/>
        <v>82.973858539804525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-1.1368683772161603E-12</v>
      </c>
      <c r="O144" s="14">
        <f>N144*VLOOKUP('Données projet'!$B$9,Paramètres!$A$1:$I$89,3,0)*VLOOKUP('Données projet'!$B$9,Paramètres!$A$1:$I$89,5,0)</f>
        <v>-6.3550942286383359E-13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500.52921520843432</v>
      </c>
      <c r="T144" s="62">
        <f t="shared" si="142"/>
        <v>430.43167430170087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129.24089205342221</v>
      </c>
      <c r="AA144" s="23">
        <f>EXP(-LN(2)/25)*AA143+(1-EXP(-LN(2)/25))/(LN(2)/25)*Calculateur!V144*Calculateur!X144*VLOOKUP('Données projet'!$B$9,Paramètres!$A$1:$I$89,3,0)*0.475*44/12</f>
        <v>8.0010441345788799</v>
      </c>
      <c r="AB144" s="23">
        <f>EXP(-LN(2)/2)*AB143+(1-EXP(-LN(2)/2))/(LN(2)/2)*V144*Y144*VLOOKUP('Données projet'!$B$9,Paramètres!$A$1:$I$89,3,0)*0.475*44/12</f>
        <v>1.4916413322670066E-8</v>
      </c>
      <c r="AC144" s="24">
        <f t="shared" si="111"/>
        <v>137.24193620291751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265.57412766850422</v>
      </c>
      <c r="AO144" s="62">
        <f t="shared" si="144"/>
        <v>179.39213799913273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71.396628487039649</v>
      </c>
      <c r="AV144" s="23">
        <f>EXP(-LN(2)/25)*AV143+(1-EXP(-LN(2)/25))/(LN(2)/25)*Calculateur!AQ144*Calculateur!AS144*VLOOKUP('Données projet'!$B$10,Paramètres!$A$1:$I$89,3,0)*0.475*44/12</f>
        <v>8.4486825554155178</v>
      </c>
      <c r="AW144" s="23">
        <f>EXP(-LN(2)/2)*AW143+(1-EXP(-LN(2)/2))/(LN(2)/2)*AQ144*AT144*VLOOKUP('Données projet'!$B$10,Paramètres!$A$1:$I$89,3,0)*0.475*44/12</f>
        <v>6.4463213201827381E-7</v>
      </c>
      <c r="AX144" s="23">
        <f t="shared" si="114"/>
        <v>79.845311687087303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-5.6843418860808015E-13</v>
      </c>
      <c r="BE144" s="14">
        <f>BD144*VLOOKUP('Données projet'!$B$11,Paramètres!$A$1:$I$89,3,0)*VLOOKUP('Données projet'!$B$11,Paramètres!$A$1:$I$89,5,0)</f>
        <v>-3.39923644787632E-13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361.81625684745416</v>
      </c>
      <c r="BJ144" s="62">
        <f t="shared" si="146"/>
        <v>302.25424592654684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76.945768671987238</v>
      </c>
      <c r="BQ144" s="23">
        <f>EXP(-LN(2)/25)*BQ143+(1-EXP(-LN(2)/25))/(LN(2)/25)*Calculateur!BL144*Calculateur!BN144*VLOOKUP('Données projet'!$B$11,Paramètres!$A$1:$I$89,3,0)*0.475*44/12</f>
        <v>4.3662973258266877</v>
      </c>
      <c r="BR144" s="23">
        <f>EXP(-LN(2)/2)*BR143+(1-EXP(-LN(2)/2))/(LN(2)/2)*BL144*BO144*VLOOKUP('Données projet'!$B$11,Paramètres!$A$1:$I$89,3,0)*0.475*44/12</f>
        <v>3.0069239145606881E-9</v>
      </c>
      <c r="BS144" s="24">
        <f t="shared" si="117"/>
        <v>81.312066000820849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-1.1368683772161603E-12</v>
      </c>
      <c r="O145" s="14">
        <f>N145*VLOOKUP('Données projet'!$B$9,Paramètres!$A$1:$I$89,3,0)*VLOOKUP('Données projet'!$B$9,Paramètres!$A$1:$I$89,5,0)</f>
        <v>-6.3550942286383359E-13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500.52921520843432</v>
      </c>
      <c r="T145" s="62">
        <f t="shared" si="142"/>
        <v>430.43167430170087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126.70655698941502</v>
      </c>
      <c r="AA145" s="23">
        <f>EXP(-LN(2)/25)*AA144+(1-EXP(-LN(2)/25))/(LN(2)/25)*Calculateur!V145*Calculateur!X145*VLOOKUP('Données projet'!$B$9,Paramètres!$A$1:$I$89,3,0)*0.475*44/12</f>
        <v>7.7822551619621958</v>
      </c>
      <c r="AB145" s="23">
        <f>EXP(-LN(2)/2)*AB144+(1-EXP(-LN(2)/2))/(LN(2)/2)*V145*Y145*VLOOKUP('Données projet'!$B$9,Paramètres!$A$1:$I$89,3,0)*0.475*44/12</f>
        <v>1.0547497011441365E-8</v>
      </c>
      <c r="AC145" s="24">
        <f t="shared" si="111"/>
        <v>134.4888121619247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265.57412766850422</v>
      </c>
      <c r="AO145" s="62">
        <f t="shared" si="144"/>
        <v>179.39213799913273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69.9965841500522</v>
      </c>
      <c r="AV145" s="23">
        <f>EXP(-LN(2)/25)*AV144+(1-EXP(-LN(2)/25))/(LN(2)/25)*Calculateur!AQ145*Calculateur!AS145*VLOOKUP('Données projet'!$B$10,Paramètres!$A$1:$I$89,3,0)*0.475*44/12</f>
        <v>8.2176528866407743</v>
      </c>
      <c r="AW145" s="23">
        <f>EXP(-LN(2)/2)*AW144+(1-EXP(-LN(2)/2))/(LN(2)/2)*AQ145*AT145*VLOOKUP('Données projet'!$B$10,Paramètres!$A$1:$I$89,3,0)*0.475*44/12</f>
        <v>4.5582375192086316E-7</v>
      </c>
      <c r="AX145" s="23">
        <f t="shared" si="114"/>
        <v>78.21423749251673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-5.6843418860808015E-13</v>
      </c>
      <c r="BE145" s="14">
        <f>BD145*VLOOKUP('Données projet'!$B$11,Paramètres!$A$1:$I$89,3,0)*VLOOKUP('Données projet'!$B$11,Paramètres!$A$1:$I$89,5,0)</f>
        <v>-3.39923644787632E-13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361.81625684745416</v>
      </c>
      <c r="BJ145" s="62">
        <f t="shared" si="146"/>
        <v>302.25424592654684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75.436909080614285</v>
      </c>
      <c r="BQ145" s="23">
        <f>EXP(-LN(2)/25)*BQ144+(1-EXP(-LN(2)/25))/(LN(2)/25)*Calculateur!BL145*Calculateur!BN145*VLOOKUP('Données projet'!$B$11,Paramètres!$A$1:$I$89,3,0)*0.475*44/12</f>
        <v>4.2469006958383595</v>
      </c>
      <c r="BR145" s="23">
        <f>EXP(-LN(2)/2)*BR144+(1-EXP(-LN(2)/2))/(LN(2)/2)*BL145*BO145*VLOOKUP('Données projet'!$B$11,Paramètres!$A$1:$I$89,3,0)*0.475*44/12</f>
        <v>2.1262162904978613E-9</v>
      </c>
      <c r="BS145" s="24">
        <f t="shared" si="117"/>
        <v>79.683809778578862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-1.1368683772161603E-12</v>
      </c>
      <c r="O146" s="14">
        <f>N146*VLOOKUP('Données projet'!$B$9,Paramètres!$A$1:$I$89,3,0)*VLOOKUP('Données projet'!$B$9,Paramètres!$A$1:$I$89,5,0)</f>
        <v>-6.3550942286383359E-13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500.52921520843432</v>
      </c>
      <c r="T146" s="62">
        <f t="shared" si="142"/>
        <v>430.43167430170087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124.22191869022126</v>
      </c>
      <c r="AA146" s="23">
        <f>EXP(-LN(2)/25)*AA145+(1-EXP(-LN(2)/25))/(LN(2)/25)*Calculateur!V146*Calculateur!X146*VLOOKUP('Données projet'!$B$9,Paramètres!$A$1:$I$89,3,0)*0.475*44/12</f>
        <v>7.5694489853073268</v>
      </c>
      <c r="AB146" s="23">
        <f>EXP(-LN(2)/2)*AB145+(1-EXP(-LN(2)/2))/(LN(2)/2)*V146*Y146*VLOOKUP('Données projet'!$B$9,Paramètres!$A$1:$I$89,3,0)*0.475*44/12</f>
        <v>7.4582066613350332E-9</v>
      </c>
      <c r="AC146" s="24">
        <f t="shared" si="111"/>
        <v>131.79136768298679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265.57412766850422</v>
      </c>
      <c r="AO146" s="62">
        <f t="shared" si="144"/>
        <v>179.39213799913273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68.623993828570349</v>
      </c>
      <c r="AV146" s="23">
        <f>EXP(-LN(2)/25)*AV145+(1-EXP(-LN(2)/25))/(LN(2)/25)*Calculateur!AQ146*Calculateur!AS146*VLOOKUP('Données projet'!$B$10,Paramètres!$A$1:$I$89,3,0)*0.475*44/12</f>
        <v>7.9929407363079985</v>
      </c>
      <c r="AW146" s="23">
        <f>EXP(-LN(2)/2)*AW145+(1-EXP(-LN(2)/2))/(LN(2)/2)*AQ146*AT146*VLOOKUP('Données projet'!$B$10,Paramètres!$A$1:$I$89,3,0)*0.475*44/12</f>
        <v>3.223160660091369E-7</v>
      </c>
      <c r="AX146" s="23">
        <f t="shared" si="114"/>
        <v>76.616934887194418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-5.6843418860808015E-13</v>
      </c>
      <c r="BE146" s="14">
        <f>BD146*VLOOKUP('Données projet'!$B$11,Paramètres!$A$1:$I$89,3,0)*VLOOKUP('Données projet'!$B$11,Paramètres!$A$1:$I$89,5,0)</f>
        <v>-3.39923644787632E-13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361.81625684745416</v>
      </c>
      <c r="BJ146" s="62">
        <f t="shared" si="146"/>
        <v>302.25424592654684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73.95763730551468</v>
      </c>
      <c r="BQ146" s="23">
        <f>EXP(-LN(2)/25)*BQ145+(1-EXP(-LN(2)/25))/(LN(2)/25)*Calculateur!BL146*Calculateur!BN146*VLOOKUP('Données projet'!$B$11,Paramètres!$A$1:$I$89,3,0)*0.475*44/12</f>
        <v>4.1307689729758588</v>
      </c>
      <c r="BR146" s="23">
        <f>EXP(-LN(2)/2)*BR145+(1-EXP(-LN(2)/2))/(LN(2)/2)*BL146*BO146*VLOOKUP('Données projet'!$B$11,Paramètres!$A$1:$I$89,3,0)*0.475*44/12</f>
        <v>1.503461957280344E-9</v>
      </c>
      <c r="BS146" s="24">
        <f t="shared" si="117"/>
        <v>78.088406279994004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-1.1368683772161603E-12</v>
      </c>
      <c r="O147" s="14">
        <f>N147*VLOOKUP('Données projet'!$B$9,Paramètres!$A$1:$I$89,3,0)*VLOOKUP('Données projet'!$B$9,Paramètres!$A$1:$I$89,5,0)</f>
        <v>-6.3550942286383359E-13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500.52921520843432</v>
      </c>
      <c r="T147" s="62">
        <f t="shared" si="142"/>
        <v>430.43167430170087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121.78600263259496</v>
      </c>
      <c r="AA147" s="23">
        <f>EXP(-LN(2)/25)*AA146+(1-EXP(-LN(2)/25))/(LN(2)/25)*Calculateur!V147*Calculateur!X147*VLOOKUP('Données projet'!$B$9,Paramètres!$A$1:$I$89,3,0)*0.475*44/12</f>
        <v>7.3624620047440761</v>
      </c>
      <c r="AB147" s="23">
        <f>EXP(-LN(2)/2)*AB146+(1-EXP(-LN(2)/2))/(LN(2)/2)*V147*Y147*VLOOKUP('Données projet'!$B$9,Paramètres!$A$1:$I$89,3,0)*0.475*44/12</f>
        <v>5.2737485057206825E-9</v>
      </c>
      <c r="AC147" s="24">
        <f t="shared" si="111"/>
        <v>129.14846464261279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265.57412766850422</v>
      </c>
      <c r="AO147" s="62">
        <f t="shared" si="144"/>
        <v>179.39213799913273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67.278319166095329</v>
      </c>
      <c r="AV147" s="23">
        <f>EXP(-LN(2)/25)*AV146+(1-EXP(-LN(2)/25))/(LN(2)/25)*Calculateur!AQ147*Calculateur!AS147*VLOOKUP('Données projet'!$B$10,Paramètres!$A$1:$I$89,3,0)*0.475*44/12</f>
        <v>7.7743733515431712</v>
      </c>
      <c r="AW147" s="23">
        <f>EXP(-LN(2)/2)*AW146+(1-EXP(-LN(2)/2))/(LN(2)/2)*AQ147*AT147*VLOOKUP('Données projet'!$B$10,Paramètres!$A$1:$I$89,3,0)*0.475*44/12</f>
        <v>2.2791187596043158E-7</v>
      </c>
      <c r="AX147" s="23">
        <f t="shared" si="114"/>
        <v>75.052692745550374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-5.6843418860808015E-13</v>
      </c>
      <c r="BE147" s="14">
        <f>BD147*VLOOKUP('Données projet'!$B$11,Paramètres!$A$1:$I$89,3,0)*VLOOKUP('Données projet'!$B$11,Paramètres!$A$1:$I$89,5,0)</f>
        <v>-3.39923644787632E-13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361.81625684745416</v>
      </c>
      <c r="BJ147" s="62">
        <f t="shared" si="146"/>
        <v>302.25424592654684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72.507373147658086</v>
      </c>
      <c r="BQ147" s="23">
        <f>EXP(-LN(2)/25)*BQ146+(1-EXP(-LN(2)/25))/(LN(2)/25)*Calculateur!BL147*Calculateur!BN147*VLOOKUP('Données projet'!$B$11,Paramètres!$A$1:$I$89,3,0)*0.475*44/12</f>
        <v>4.0178128781821343</v>
      </c>
      <c r="BR147" s="23">
        <f>EXP(-LN(2)/2)*BR146+(1-EXP(-LN(2)/2))/(LN(2)/2)*BL147*BO147*VLOOKUP('Données projet'!$B$11,Paramètres!$A$1:$I$89,3,0)*0.475*44/12</f>
        <v>1.0631081452489307E-9</v>
      </c>
      <c r="BS147" s="24">
        <f t="shared" si="117"/>
        <v>76.525186026903327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-1.1368683772161603E-12</v>
      </c>
      <c r="O148" s="14">
        <f>N148*VLOOKUP('Données projet'!$B$9,Paramètres!$A$1:$I$89,3,0)*VLOOKUP('Données projet'!$B$9,Paramètres!$A$1:$I$89,5,0)</f>
        <v>-6.3550942286383359E-13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500.52921520843432</v>
      </c>
      <c r="T148" s="62">
        <f t="shared" si="142"/>
        <v>430.43167430170087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119.39785340309662</v>
      </c>
      <c r="AA148" s="23">
        <f>EXP(-LN(2)/25)*AA147+(1-EXP(-LN(2)/25))/(LN(2)/25)*Calculateur!V148*Calculateur!X148*VLOOKUP('Données projet'!$B$9,Paramètres!$A$1:$I$89,3,0)*0.475*44/12</f>
        <v>7.1611350940492997</v>
      </c>
      <c r="AB148" s="23">
        <f>EXP(-LN(2)/2)*AB147+(1-EXP(-LN(2)/2))/(LN(2)/2)*V148*Y148*VLOOKUP('Données projet'!$B$9,Paramètres!$A$1:$I$89,3,0)*0.475*44/12</f>
        <v>3.7291033306675166E-9</v>
      </c>
      <c r="AC148" s="24">
        <f t="shared" si="111"/>
        <v>126.55898850087502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265.57412766850422</v>
      </c>
      <c r="AO148" s="62">
        <f t="shared" si="144"/>
        <v>179.39213799913273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65.959032362970945</v>
      </c>
      <c r="AV148" s="23">
        <f>EXP(-LN(2)/25)*AV147+(1-EXP(-LN(2)/25))/(LN(2)/25)*Calculateur!AQ148*Calculateur!AS148*VLOOKUP('Données projet'!$B$10,Paramètres!$A$1:$I$89,3,0)*0.475*44/12</f>
        <v>7.5617827034086975</v>
      </c>
      <c r="AW148" s="23">
        <f>EXP(-LN(2)/2)*AW147+(1-EXP(-LN(2)/2))/(LN(2)/2)*AQ148*AT148*VLOOKUP('Données projet'!$B$10,Paramètres!$A$1:$I$89,3,0)*0.475*44/12</f>
        <v>1.6115803300456845E-7</v>
      </c>
      <c r="AX148" s="23">
        <f t="shared" si="114"/>
        <v>73.520815227537668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-5.6843418860808015E-13</v>
      </c>
      <c r="BE148" s="14">
        <f>BD148*VLOOKUP('Données projet'!$B$11,Paramètres!$A$1:$I$89,3,0)*VLOOKUP('Données projet'!$B$11,Paramètres!$A$1:$I$89,5,0)</f>
        <v>-3.39923644787632E-13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361.81625684745416</v>
      </c>
      <c r="BJ148" s="62">
        <f t="shared" si="146"/>
        <v>302.25424592654684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71.085547785363261</v>
      </c>
      <c r="BQ148" s="23">
        <f>EXP(-LN(2)/25)*BQ147+(1-EXP(-LN(2)/25))/(LN(2)/25)*Calculateur!BL148*Calculateur!BN148*VLOOKUP('Données projet'!$B$11,Paramètres!$A$1:$I$89,3,0)*0.475*44/12</f>
        <v>3.9079455737406472</v>
      </c>
      <c r="BR148" s="23">
        <f>EXP(-LN(2)/2)*BR147+(1-EXP(-LN(2)/2))/(LN(2)/2)*BL148*BO148*VLOOKUP('Données projet'!$B$11,Paramètres!$A$1:$I$89,3,0)*0.475*44/12</f>
        <v>7.5173097864017201E-10</v>
      </c>
      <c r="BS148" s="24">
        <f t="shared" si="117"/>
        <v>74.993493359855634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-1.1368683772161603E-12</v>
      </c>
      <c r="O149" s="14">
        <f>N149*VLOOKUP('Données projet'!$B$9,Paramètres!$A$1:$I$89,3,0)*VLOOKUP('Données projet'!$B$9,Paramètres!$A$1:$I$89,5,0)</f>
        <v>-6.3550942286383359E-13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500.52921520843432</v>
      </c>
      <c r="T149" s="62">
        <f t="shared" si="142"/>
        <v>430.43167430170087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117.05653432336155</v>
      </c>
      <c r="AA149" s="23">
        <f>EXP(-LN(2)/25)*AA148+(1-EXP(-LN(2)/25))/(LN(2)/25)*Calculateur!V149*Calculateur!X149*VLOOKUP('Données projet'!$B$9,Paramètres!$A$1:$I$89,3,0)*0.475*44/12</f>
        <v>6.9653134783147941</v>
      </c>
      <c r="AB149" s="23">
        <f>EXP(-LN(2)/2)*AB148+(1-EXP(-LN(2)/2))/(LN(2)/2)*V149*Y149*VLOOKUP('Données projet'!$B$9,Paramètres!$A$1:$I$89,3,0)*0.475*44/12</f>
        <v>2.6368742528603413E-9</v>
      </c>
      <c r="AC149" s="24">
        <f t="shared" si="111"/>
        <v>124.02184780431323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265.57412766850422</v>
      </c>
      <c r="AO149" s="62">
        <f t="shared" si="144"/>
        <v>179.39213799913273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64.665615969370336</v>
      </c>
      <c r="AV149" s="23">
        <f>EXP(-LN(2)/25)*AV148+(1-EXP(-LN(2)/25))/(LN(2)/25)*Calculateur!AQ149*Calculateur!AS149*VLOOKUP('Données projet'!$B$10,Paramètres!$A$1:$I$89,3,0)*0.475*44/12</f>
        <v>7.3550053577271166</v>
      </c>
      <c r="AW149" s="23">
        <f>EXP(-LN(2)/2)*AW148+(1-EXP(-LN(2)/2))/(LN(2)/2)*AQ149*AT149*VLOOKUP('Données projet'!$B$10,Paramètres!$A$1:$I$89,3,0)*0.475*44/12</f>
        <v>1.1395593798021579E-7</v>
      </c>
      <c r="AX149" s="23">
        <f t="shared" si="114"/>
        <v>72.020621441053393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-5.6843418860808015E-13</v>
      </c>
      <c r="BE149" s="14">
        <f>BD149*VLOOKUP('Données projet'!$B$11,Paramètres!$A$1:$I$89,3,0)*VLOOKUP('Données projet'!$B$11,Paramètres!$A$1:$I$89,5,0)</f>
        <v>-3.39923644787632E-13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361.81625684745416</v>
      </c>
      <c r="BJ149" s="62">
        <f t="shared" si="146"/>
        <v>302.25424592654684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69.6916035511952</v>
      </c>
      <c r="BQ149" s="23">
        <f>EXP(-LN(2)/25)*BQ148+(1-EXP(-LN(2)/25))/(LN(2)/25)*Calculateur!BL149*Calculateur!BN149*VLOOKUP('Données projet'!$B$11,Paramètres!$A$1:$I$89,3,0)*0.475*44/12</f>
        <v>3.8010825965167832</v>
      </c>
      <c r="BR149" s="23">
        <f>EXP(-LN(2)/2)*BR148+(1-EXP(-LN(2)/2))/(LN(2)/2)*BL149*BO149*VLOOKUP('Données projet'!$B$11,Paramètres!$A$1:$I$89,3,0)*0.475*44/12</f>
        <v>5.3155407262446533E-10</v>
      </c>
      <c r="BS149" s="24">
        <f t="shared" si="117"/>
        <v>73.492686148243536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-1.1368683772161603E-12</v>
      </c>
      <c r="O150" s="14">
        <f>N150*VLOOKUP('Données projet'!$B$9,Paramètres!$A$1:$I$89,3,0)*VLOOKUP('Données projet'!$B$9,Paramètres!$A$1:$I$89,5,0)</f>
        <v>-6.3550942286383359E-13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500.52921520843432</v>
      </c>
      <c r="T150" s="62">
        <f t="shared" si="142"/>
        <v>430.43167430170087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114.76112708271646</v>
      </c>
      <c r="AA150" s="23">
        <f>EXP(-LN(2)/25)*AA149+(1-EXP(-LN(2)/25))/(LN(2)/25)*Calculateur!V150*Calculateur!X150*VLOOKUP('Données projet'!$B$9,Paramètres!$A$1:$I$89,3,0)*0.475*44/12</f>
        <v>6.7748466149603592</v>
      </c>
      <c r="AB150" s="23">
        <f>EXP(-LN(2)/2)*AB149+(1-EXP(-LN(2)/2))/(LN(2)/2)*V150*Y150*VLOOKUP('Données projet'!$B$9,Paramètres!$A$1:$I$89,3,0)*0.475*44/12</f>
        <v>1.8645516653337583E-9</v>
      </c>
      <c r="AC150" s="24">
        <f t="shared" si="111"/>
        <v>121.53597369954136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265.57412766850422</v>
      </c>
      <c r="AO150" s="62">
        <f t="shared" si="144"/>
        <v>179.39213799913273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63.397562682342141</v>
      </c>
      <c r="AV150" s="23">
        <f>EXP(-LN(2)/25)*AV149+(1-EXP(-LN(2)/25))/(LN(2)/25)*Calculateur!AQ150*Calculateur!AS150*VLOOKUP('Données projet'!$B$10,Paramètres!$A$1:$I$89,3,0)*0.475*44/12</f>
        <v>7.1538823494371471</v>
      </c>
      <c r="AW150" s="23">
        <f>EXP(-LN(2)/2)*AW149+(1-EXP(-LN(2)/2))/(LN(2)/2)*AQ150*AT150*VLOOKUP('Données projet'!$B$10,Paramètres!$A$1:$I$89,3,0)*0.475*44/12</f>
        <v>8.0579016502284226E-8</v>
      </c>
      <c r="AX150" s="23">
        <f t="shared" si="114"/>
        <v>70.551445112358294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-5.6843418860808015E-13</v>
      </c>
      <c r="BE150" s="14">
        <f>BD150*VLOOKUP('Données projet'!$B$11,Paramètres!$A$1:$I$89,3,0)*VLOOKUP('Données projet'!$B$11,Paramètres!$A$1:$I$89,5,0)</f>
        <v>-3.39923644787632E-13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361.81625684745416</v>
      </c>
      <c r="BJ150" s="62">
        <f t="shared" si="146"/>
        <v>302.25424592654684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68.324993713237149</v>
      </c>
      <c r="BQ150" s="23">
        <f>EXP(-LN(2)/25)*BQ149+(1-EXP(-LN(2)/25))/(LN(2)/25)*Calculateur!BL150*Calculateur!BN150*VLOOKUP('Données projet'!$B$11,Paramètres!$A$1:$I$89,3,0)*0.475*44/12</f>
        <v>3.6971417930247856</v>
      </c>
      <c r="BR150" s="23">
        <f>EXP(-LN(2)/2)*BR149+(1-EXP(-LN(2)/2))/(LN(2)/2)*BL150*BO150*VLOOKUP('Données projet'!$B$11,Paramètres!$A$1:$I$89,3,0)*0.475*44/12</f>
        <v>3.7586548932008601E-10</v>
      </c>
      <c r="BS150" s="24">
        <f t="shared" si="117"/>
        <v>72.022135506637795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-1.1368683772161603E-12</v>
      </c>
      <c r="O151" s="14">
        <f>N151*VLOOKUP('Données projet'!$B$9,Paramètres!$A$1:$I$89,3,0)*VLOOKUP('Données projet'!$B$9,Paramètres!$A$1:$I$89,5,0)</f>
        <v>-6.3550942286383359E-13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500.52921520843432</v>
      </c>
      <c r="T151" s="62">
        <f t="shared" si="142"/>
        <v>430.43167430170087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112.51073137800024</v>
      </c>
      <c r="AA151" s="23">
        <f>EXP(-LN(2)/25)*AA150+(1-EXP(-LN(2)/25))/(LN(2)/25)*Calculateur!V151*Calculateur!X151*VLOOKUP('Données projet'!$B$9,Paramètres!$A$1:$I$89,3,0)*0.475*44/12</f>
        <v>6.5895880780005687</v>
      </c>
      <c r="AB151" s="23">
        <f>EXP(-LN(2)/2)*AB150+(1-EXP(-LN(2)/2))/(LN(2)/2)*V151*Y151*VLOOKUP('Données projet'!$B$9,Paramètres!$A$1:$I$89,3,0)*0.475*44/12</f>
        <v>1.3184371264301706E-9</v>
      </c>
      <c r="AC151" s="24">
        <f t="shared" si="111"/>
        <v>119.10031945731926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265.57412766850422</v>
      </c>
      <c r="AO151" s="62">
        <f t="shared" si="144"/>
        <v>179.39213799913273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62.154375146836429</v>
      </c>
      <c r="AV151" s="23">
        <f>EXP(-LN(2)/25)*AV150+(1-EXP(-LN(2)/25))/(LN(2)/25)*Calculateur!AQ151*Calculateur!AS151*VLOOKUP('Données projet'!$B$10,Paramètres!$A$1:$I$89,3,0)*0.475*44/12</f>
        <v>6.9582590603854664</v>
      </c>
      <c r="AW151" s="23">
        <f>EXP(-LN(2)/2)*AW150+(1-EXP(-LN(2)/2))/(LN(2)/2)*AQ151*AT151*VLOOKUP('Données projet'!$B$10,Paramètres!$A$1:$I$89,3,0)*0.475*44/12</f>
        <v>5.6977968990107895E-8</v>
      </c>
      <c r="AX151" s="23">
        <f t="shared" si="114"/>
        <v>69.112634264199869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-5.6843418860808015E-13</v>
      </c>
      <c r="BE151" s="14">
        <f>BD151*VLOOKUP('Données projet'!$B$11,Paramètres!$A$1:$I$89,3,0)*VLOOKUP('Données projet'!$B$11,Paramètres!$A$1:$I$89,5,0)</f>
        <v>-3.39923644787632E-13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361.81625684745416</v>
      </c>
      <c r="BJ151" s="62">
        <f t="shared" si="146"/>
        <v>302.25424592654684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66.985182260651754</v>
      </c>
      <c r="BQ151" s="23">
        <f>EXP(-LN(2)/25)*BQ150+(1-EXP(-LN(2)/25))/(LN(2)/25)*Calculateur!BL151*Calculateur!BN151*VLOOKUP('Données projet'!$B$11,Paramètres!$A$1:$I$89,3,0)*0.475*44/12</f>
        <v>3.5960432562702858</v>
      </c>
      <c r="BR151" s="23">
        <f>EXP(-LN(2)/2)*BR150+(1-EXP(-LN(2)/2))/(LN(2)/2)*BL151*BO151*VLOOKUP('Données projet'!$B$11,Paramètres!$A$1:$I$89,3,0)*0.475*44/12</f>
        <v>2.6577703631223267E-10</v>
      </c>
      <c r="BS151" s="24">
        <f t="shared" si="117"/>
        <v>70.581225517187818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-1.1368683772161603E-12</v>
      </c>
      <c r="O152" s="14">
        <f>N152*VLOOKUP('Données projet'!$B$9,Paramètres!$A$1:$I$89,3,0)*VLOOKUP('Données projet'!$B$9,Paramètres!$A$1:$I$89,5,0)</f>
        <v>-6.3550942286383359E-13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500.52921520843432</v>
      </c>
      <c r="T152" s="62">
        <f t="shared" si="142"/>
        <v>430.43167430170087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110.30446456044767</v>
      </c>
      <c r="AA152" s="23">
        <f>EXP(-LN(2)/25)*AA151+(1-EXP(-LN(2)/25))/(LN(2)/25)*Calculateur!V152*Calculateur!X152*VLOOKUP('Données projet'!$B$9,Paramètres!$A$1:$I$89,3,0)*0.475*44/12</f>
        <v>6.4093954454762665</v>
      </c>
      <c r="AB152" s="23">
        <f>EXP(-LN(2)/2)*AB151+(1-EXP(-LN(2)/2))/(LN(2)/2)*V152*Y152*VLOOKUP('Données projet'!$B$9,Paramètres!$A$1:$I$89,3,0)*0.475*44/12</f>
        <v>9.3227583266687914E-10</v>
      </c>
      <c r="AC152" s="24">
        <f t="shared" si="111"/>
        <v>116.71386000685621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265.57412766850422</v>
      </c>
      <c r="AO152" s="62">
        <f t="shared" si="144"/>
        <v>179.39213799913273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60.935565760632464</v>
      </c>
      <c r="AV152" s="23">
        <f>EXP(-LN(2)/25)*AV151+(1-EXP(-LN(2)/25))/(LN(2)/25)*Calculateur!AQ152*Calculateur!AS152*VLOOKUP('Données projet'!$B$10,Paramètres!$A$1:$I$89,3,0)*0.475*44/12</f>
        <v>6.7679851004602849</v>
      </c>
      <c r="AW152" s="23">
        <f>EXP(-LN(2)/2)*AW151+(1-EXP(-LN(2)/2))/(LN(2)/2)*AQ152*AT152*VLOOKUP('Données projet'!$B$10,Paramètres!$A$1:$I$89,3,0)*0.475*44/12</f>
        <v>4.0289508251142113E-8</v>
      </c>
      <c r="AX152" s="23">
        <f t="shared" si="114"/>
        <v>67.703550901382258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-5.6843418860808015E-13</v>
      </c>
      <c r="BE152" s="14">
        <f>BD152*VLOOKUP('Données projet'!$B$11,Paramètres!$A$1:$I$89,3,0)*VLOOKUP('Données projet'!$B$11,Paramètres!$A$1:$I$89,5,0)</f>
        <v>-3.39923644787632E-13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361.81625684745416</v>
      </c>
      <c r="BJ152" s="62">
        <f t="shared" si="146"/>
        <v>302.25424592654684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65.671643693447265</v>
      </c>
      <c r="BQ152" s="23">
        <f>EXP(-LN(2)/25)*BQ151+(1-EXP(-LN(2)/25))/(LN(2)/25)*Calculateur!BL152*Calculateur!BN152*VLOOKUP('Données projet'!$B$11,Paramètres!$A$1:$I$89,3,0)*0.475*44/12</f>
        <v>3.4977092643198788</v>
      </c>
      <c r="BR152" s="23">
        <f>EXP(-LN(2)/2)*BR151+(1-EXP(-LN(2)/2))/(LN(2)/2)*BL152*BO152*VLOOKUP('Données projet'!$B$11,Paramètres!$A$1:$I$89,3,0)*0.475*44/12</f>
        <v>1.87932744660043E-10</v>
      </c>
      <c r="BS152" s="24">
        <f t="shared" si="117"/>
        <v>69.169352957955084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-1.1368683772161603E-12</v>
      </c>
      <c r="O153" s="14">
        <f>N153*VLOOKUP('Données projet'!$B$9,Paramètres!$A$1:$I$89,3,0)*VLOOKUP('Données projet'!$B$9,Paramètres!$A$1:$I$89,5,0)</f>
        <v>-6.3550942286383359E-13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500.52921520843432</v>
      </c>
      <c r="T153" s="62">
        <f t="shared" si="142"/>
        <v>430.43167430170087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108.14146128949741</v>
      </c>
      <c r="AA153" s="23">
        <f>EXP(-LN(2)/25)*AA152+(1-EXP(-LN(2)/25))/(LN(2)/25)*Calculateur!V153*Calculateur!X153*VLOOKUP('Données projet'!$B$9,Paramètres!$A$1:$I$89,3,0)*0.475*44/12</f>
        <v>6.2341301899642607</v>
      </c>
      <c r="AB153" s="23">
        <f>EXP(-LN(2)/2)*AB152+(1-EXP(-LN(2)/2))/(LN(2)/2)*V153*Y153*VLOOKUP('Données projet'!$B$9,Paramètres!$A$1:$I$89,3,0)*0.475*44/12</f>
        <v>6.5921856321508532E-10</v>
      </c>
      <c r="AC153" s="24">
        <f t="shared" si="111"/>
        <v>114.37559148012089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265.57412766850422</v>
      </c>
      <c r="AO153" s="62">
        <f t="shared" si="144"/>
        <v>179.39213799913273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59.740656483091634</v>
      </c>
      <c r="AV153" s="23">
        <f>EXP(-LN(2)/25)*AV152+(1-EXP(-LN(2)/25))/(LN(2)/25)*Calculateur!AQ153*Calculateur!AS153*VLOOKUP('Données projet'!$B$10,Paramètres!$A$1:$I$89,3,0)*0.475*44/12</f>
        <v>6.5829141919753305</v>
      </c>
      <c r="AW153" s="23">
        <f>EXP(-LN(2)/2)*AW152+(1-EXP(-LN(2)/2))/(LN(2)/2)*AQ153*AT153*VLOOKUP('Données projet'!$B$10,Paramètres!$A$1:$I$89,3,0)*0.475*44/12</f>
        <v>2.8488984495053948E-8</v>
      </c>
      <c r="AX153" s="23">
        <f t="shared" si="114"/>
        <v>66.323570703555944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-5.6843418860808015E-13</v>
      </c>
      <c r="BE153" s="14">
        <f>BD153*VLOOKUP('Données projet'!$B$11,Paramètres!$A$1:$I$89,3,0)*VLOOKUP('Données projet'!$B$11,Paramètres!$A$1:$I$89,5,0)</f>
        <v>-3.39923644787632E-13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361.81625684745416</v>
      </c>
      <c r="BJ153" s="62">
        <f t="shared" si="146"/>
        <v>302.25424592654684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64.383862816366246</v>
      </c>
      <c r="BQ153" s="23">
        <f>EXP(-LN(2)/25)*BQ152+(1-EXP(-LN(2)/25))/(LN(2)/25)*Calculateur!BL153*Calculateur!BN153*VLOOKUP('Données projet'!$B$11,Paramètres!$A$1:$I$89,3,0)*0.475*44/12</f>
        <v>3.4020642205505158</v>
      </c>
      <c r="BR153" s="23">
        <f>EXP(-LN(2)/2)*BR152+(1-EXP(-LN(2)/2))/(LN(2)/2)*BL153*BO153*VLOOKUP('Données projet'!$B$11,Paramètres!$A$1:$I$89,3,0)*0.475*44/12</f>
        <v>1.3288851815611633E-10</v>
      </c>
      <c r="BS153" s="24">
        <f t="shared" si="117"/>
        <v>67.785927037049646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-1.1368683772161603E-12</v>
      </c>
      <c r="O154" s="14">
        <f>N154*VLOOKUP('Données projet'!$B$9,Paramètres!$A$1:$I$89,3,0)*VLOOKUP('Données projet'!$B$9,Paramètres!$A$1:$I$89,5,0)</f>
        <v>-6.3550942286383359E-13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500.52921520843432</v>
      </c>
      <c r="T154" s="62">
        <f t="shared" si="142"/>
        <v>430.43167430170087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106.02087319338877</v>
      </c>
      <c r="AA154" s="23">
        <f>EXP(-LN(2)/25)*AA153+(1-EXP(-LN(2)/25))/(LN(2)/25)*Calculateur!V154*Calculateur!X154*VLOOKUP('Données projet'!$B$9,Paramètres!$A$1:$I$89,3,0)*0.475*44/12</f>
        <v>6.0636575720810297</v>
      </c>
      <c r="AB154" s="23">
        <f>EXP(-LN(2)/2)*AB153+(1-EXP(-LN(2)/2))/(LN(2)/2)*V154*Y154*VLOOKUP('Données projet'!$B$9,Paramètres!$A$1:$I$89,3,0)*0.475*44/12</f>
        <v>4.6613791633343957E-10</v>
      </c>
      <c r="AC154" s="24">
        <f t="shared" ref="AC154:AC203" si="163">SUM(Z154:AB154)</f>
        <v>112.08453076593594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265.57412766850422</v>
      </c>
      <c r="AO154" s="62">
        <f t="shared" si="144"/>
        <v>179.39213799913273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58.569178647660685</v>
      </c>
      <c r="AV154" s="23">
        <f>EXP(-LN(2)/25)*AV153+(1-EXP(-LN(2)/25))/(LN(2)/25)*Calculateur!AQ154*Calculateur!AS154*VLOOKUP('Données projet'!$B$10,Paramètres!$A$1:$I$89,3,0)*0.475*44/12</f>
        <v>6.4029040572153528</v>
      </c>
      <c r="AW154" s="23">
        <f>EXP(-LN(2)/2)*AW153+(1-EXP(-LN(2)/2))/(LN(2)/2)*AQ154*AT154*VLOOKUP('Données projet'!$B$10,Paramètres!$A$1:$I$89,3,0)*0.475*44/12</f>
        <v>2.0144754125571057E-8</v>
      </c>
      <c r="AX154" s="23">
        <f t="shared" ref="AX154:AX203" si="166">SUM(AU154:AW154)</f>
        <v>64.972082725020798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-5.6843418860808015E-13</v>
      </c>
      <c r="BE154" s="14">
        <f>BD154*VLOOKUP('Données projet'!$B$11,Paramètres!$A$1:$I$89,3,0)*VLOOKUP('Données projet'!$B$11,Paramètres!$A$1:$I$89,5,0)</f>
        <v>-3.39923644787632E-13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361.81625684745416</v>
      </c>
      <c r="BJ154" s="62">
        <f t="shared" si="146"/>
        <v>302.25424592654684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63.121334536816008</v>
      </c>
      <c r="BQ154" s="23">
        <f>EXP(-LN(2)/25)*BQ153+(1-EXP(-LN(2)/25))/(LN(2)/25)*Calculateur!BL154*Calculateur!BN154*VLOOKUP('Données projet'!$B$11,Paramètres!$A$1:$I$89,3,0)*0.475*44/12</f>
        <v>3.30903459553278</v>
      </c>
      <c r="BR154" s="23">
        <f>EXP(-LN(2)/2)*BR153+(1-EXP(-LN(2)/2))/(LN(2)/2)*BL154*BO154*VLOOKUP('Données projet'!$B$11,Paramètres!$A$1:$I$89,3,0)*0.475*44/12</f>
        <v>9.3966372330021502E-11</v>
      </c>
      <c r="BS154" s="24">
        <f t="shared" ref="BS154:BS203" si="169">SUM(BP154:BR154)</f>
        <v>66.430369132442749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-1.1368683772161603E-12</v>
      </c>
      <c r="O155" s="14">
        <f>N155*VLOOKUP('Données projet'!$B$9,Paramètres!$A$1:$I$89,3,0)*VLOOKUP('Données projet'!$B$9,Paramètres!$A$1:$I$89,5,0)</f>
        <v>-6.3550942286383359E-13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500.52921520843432</v>
      </c>
      <c r="T155" s="62">
        <f t="shared" si="142"/>
        <v>430.43167430170087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103.94186853641379</v>
      </c>
      <c r="AA155" s="23">
        <f>EXP(-LN(2)/25)*AA154+(1-EXP(-LN(2)/25))/(LN(2)/25)*Calculateur!V155*Calculateur!X155*VLOOKUP('Données projet'!$B$9,Paramètres!$A$1:$I$89,3,0)*0.475*44/12</f>
        <v>5.8978465368985811</v>
      </c>
      <c r="AB155" s="23">
        <f>EXP(-LN(2)/2)*AB154+(1-EXP(-LN(2)/2))/(LN(2)/2)*V155*Y155*VLOOKUP('Données projet'!$B$9,Paramètres!$A$1:$I$89,3,0)*0.475*44/12</f>
        <v>3.2960928160754266E-10</v>
      </c>
      <c r="AC155" s="24">
        <f t="shared" si="163"/>
        <v>109.83971507364198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265.57412766850422</v>
      </c>
      <c r="AO155" s="62">
        <f t="shared" si="144"/>
        <v>179.39213799913273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57.420672778051618</v>
      </c>
      <c r="AV155" s="23">
        <f>EXP(-LN(2)/25)*AV154+(1-EXP(-LN(2)/25))/(LN(2)/25)*Calculateur!AQ155*Calculateur!AS155*VLOOKUP('Données projet'!$B$10,Paramètres!$A$1:$I$89,3,0)*0.475*44/12</f>
        <v>6.2278163090567089</v>
      </c>
      <c r="AW155" s="23">
        <f>EXP(-LN(2)/2)*AW154+(1-EXP(-LN(2)/2))/(LN(2)/2)*AQ155*AT155*VLOOKUP('Données projet'!$B$10,Paramètres!$A$1:$I$89,3,0)*0.475*44/12</f>
        <v>1.4244492247526974E-8</v>
      </c>
      <c r="AX155" s="23">
        <f t="shared" si="166"/>
        <v>63.648489101352816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-5.6843418860808015E-13</v>
      </c>
      <c r="BE155" s="14">
        <f>BD155*VLOOKUP('Données projet'!$B$11,Paramètres!$A$1:$I$89,3,0)*VLOOKUP('Données projet'!$B$11,Paramètres!$A$1:$I$89,5,0)</f>
        <v>-3.39923644787632E-13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361.81625684745416</v>
      </c>
      <c r="BJ155" s="62">
        <f t="shared" si="146"/>
        <v>302.25424592654684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61.883563666761532</v>
      </c>
      <c r="BQ155" s="23">
        <f>EXP(-LN(2)/25)*BQ154+(1-EXP(-LN(2)/25))/(LN(2)/25)*Calculateur!BL155*Calculateur!BN155*VLOOKUP('Données projet'!$B$11,Paramètres!$A$1:$I$89,3,0)*0.475*44/12</f>
        <v>3.2185488705033696</v>
      </c>
      <c r="BR155" s="23">
        <f>EXP(-LN(2)/2)*BR154+(1-EXP(-LN(2)/2))/(LN(2)/2)*BL155*BO155*VLOOKUP('Données projet'!$B$11,Paramètres!$A$1:$I$89,3,0)*0.475*44/12</f>
        <v>6.6444259078058167E-11</v>
      </c>
      <c r="BS155" s="24">
        <f t="shared" si="169"/>
        <v>65.102112537331351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-1.1368683772161603E-12</v>
      </c>
      <c r="O156" s="14">
        <f>N156*VLOOKUP('Données projet'!$B$9,Paramètres!$A$1:$I$89,3,0)*VLOOKUP('Données projet'!$B$9,Paramètres!$A$1:$I$89,5,0)</f>
        <v>-6.3550942286383359E-13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500.52921520843432</v>
      </c>
      <c r="T156" s="62">
        <f t="shared" si="142"/>
        <v>430.43167430170087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101.90363189269446</v>
      </c>
      <c r="AA156" s="23">
        <f>EXP(-LN(2)/25)*AA155+(1-EXP(-LN(2)/25))/(LN(2)/25)*Calculateur!V156*Calculateur!X156*VLOOKUP('Données projet'!$B$9,Paramètres!$A$1:$I$89,3,0)*0.475*44/12</f>
        <v>5.7365696131928194</v>
      </c>
      <c r="AB156" s="23">
        <f>EXP(-LN(2)/2)*AB155+(1-EXP(-LN(2)/2))/(LN(2)/2)*V156*Y156*VLOOKUP('Données projet'!$B$9,Paramètres!$A$1:$I$89,3,0)*0.475*44/12</f>
        <v>2.3306895816671979E-10</v>
      </c>
      <c r="AC156" s="24">
        <f t="shared" si="163"/>
        <v>107.64020150612035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265.57412766850422</v>
      </c>
      <c r="AO156" s="62">
        <f t="shared" si="144"/>
        <v>179.39213799913273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56.294688408026168</v>
      </c>
      <c r="AV156" s="23">
        <f>EXP(-LN(2)/25)*AV155+(1-EXP(-LN(2)/25))/(LN(2)/25)*Calculateur!AQ156*Calculateur!AS156*VLOOKUP('Données projet'!$B$10,Paramètres!$A$1:$I$89,3,0)*0.475*44/12</f>
        <v>6.0575163445789277</v>
      </c>
      <c r="AW156" s="23">
        <f>EXP(-LN(2)/2)*AW155+(1-EXP(-LN(2)/2))/(LN(2)/2)*AQ156*AT156*VLOOKUP('Données projet'!$B$10,Paramètres!$A$1:$I$89,3,0)*0.475*44/12</f>
        <v>1.0072377062785528E-8</v>
      </c>
      <c r="AX156" s="23">
        <f t="shared" si="166"/>
        <v>62.352204762677474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-5.6843418860808015E-13</v>
      </c>
      <c r="BE156" s="14">
        <f>BD156*VLOOKUP('Données projet'!$B$11,Paramètres!$A$1:$I$89,3,0)*VLOOKUP('Données projet'!$B$11,Paramètres!$A$1:$I$89,5,0)</f>
        <v>-3.39923644787632E-13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361.81625684745416</v>
      </c>
      <c r="BJ156" s="62">
        <f t="shared" si="146"/>
        <v>302.25424592654684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60.670064728503142</v>
      </c>
      <c r="BQ156" s="23">
        <f>EXP(-LN(2)/25)*BQ155+(1-EXP(-LN(2)/25))/(LN(2)/25)*Calculateur!BL156*Calculateur!BN156*VLOOKUP('Données projet'!$B$11,Paramètres!$A$1:$I$89,3,0)*0.475*44/12</f>
        <v>3.1305374823833261</v>
      </c>
      <c r="BR156" s="23">
        <f>EXP(-LN(2)/2)*BR155+(1-EXP(-LN(2)/2))/(LN(2)/2)*BL156*BO156*VLOOKUP('Données projet'!$B$11,Paramètres!$A$1:$I$89,3,0)*0.475*44/12</f>
        <v>4.6983186165010751E-11</v>
      </c>
      <c r="BS156" s="24">
        <f t="shared" si="169"/>
        <v>63.800602210933448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-1.1368683772161603E-12</v>
      </c>
      <c r="O157" s="14">
        <f>N157*VLOOKUP('Données projet'!$B$9,Paramètres!$A$1:$I$89,3,0)*VLOOKUP('Données projet'!$B$9,Paramètres!$A$1:$I$89,5,0)</f>
        <v>-6.3550942286383359E-13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500.52921520843432</v>
      </c>
      <c r="T157" s="62">
        <f t="shared" si="142"/>
        <v>430.43167430170087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99.905363826356876</v>
      </c>
      <c r="AA157" s="23">
        <f>EXP(-LN(2)/25)*AA156+(1-EXP(-LN(2)/25))/(LN(2)/25)*Calculateur!V157*Calculateur!X157*VLOOKUP('Données projet'!$B$9,Paramètres!$A$1:$I$89,3,0)*0.475*44/12</f>
        <v>5.5797028154469768</v>
      </c>
      <c r="AB157" s="23">
        <f>EXP(-LN(2)/2)*AB156+(1-EXP(-LN(2)/2))/(LN(2)/2)*V157*Y157*VLOOKUP('Données projet'!$B$9,Paramètres!$A$1:$I$89,3,0)*0.475*44/12</f>
        <v>1.6480464080377133E-10</v>
      </c>
      <c r="AC157" s="24">
        <f t="shared" si="163"/>
        <v>105.48506664196866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265.57412766850422</v>
      </c>
      <c r="AO157" s="62">
        <f t="shared" si="144"/>
        <v>179.39213799913273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55.190783904714266</v>
      </c>
      <c r="AV157" s="23">
        <f>EXP(-LN(2)/25)*AV156+(1-EXP(-LN(2)/25))/(LN(2)/25)*Calculateur!AQ157*Calculateur!AS157*VLOOKUP('Données projet'!$B$10,Paramètres!$A$1:$I$89,3,0)*0.475*44/12</f>
        <v>5.8918732415854773</v>
      </c>
      <c r="AW157" s="23">
        <f>EXP(-LN(2)/2)*AW156+(1-EXP(-LN(2)/2))/(LN(2)/2)*AQ157*AT157*VLOOKUP('Données projet'!$B$10,Paramètres!$A$1:$I$89,3,0)*0.475*44/12</f>
        <v>7.1222461237634869E-9</v>
      </c>
      <c r="AX157" s="23">
        <f t="shared" si="166"/>
        <v>61.082657153421991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-5.6843418860808015E-13</v>
      </c>
      <c r="BE157" s="14">
        <f>BD157*VLOOKUP('Données projet'!$B$11,Paramètres!$A$1:$I$89,3,0)*VLOOKUP('Données projet'!$B$11,Paramètres!$A$1:$I$89,5,0)</f>
        <v>-3.39923644787632E-13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361.81625684745416</v>
      </c>
      <c r="BJ157" s="62">
        <f t="shared" si="146"/>
        <v>302.25424592654684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59.480361764262732</v>
      </c>
      <c r="BQ157" s="23">
        <f>EXP(-LN(2)/25)*BQ156+(1-EXP(-LN(2)/25))/(LN(2)/25)*Calculateur!BL157*Calculateur!BN157*VLOOKUP('Données projet'!$B$11,Paramètres!$A$1:$I$89,3,0)*0.475*44/12</f>
        <v>3.0449327702997429</v>
      </c>
      <c r="BR157" s="23">
        <f>EXP(-LN(2)/2)*BR156+(1-EXP(-LN(2)/2))/(LN(2)/2)*BL157*BO157*VLOOKUP('Données projet'!$B$11,Paramètres!$A$1:$I$89,3,0)*0.475*44/12</f>
        <v>3.3222129539029083E-11</v>
      </c>
      <c r="BS157" s="24">
        <f t="shared" si="169"/>
        <v>62.525294534595702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-1.1368683772161603E-12</v>
      </c>
      <c r="O158" s="14">
        <f>N158*VLOOKUP('Données projet'!$B$9,Paramètres!$A$1:$I$89,3,0)*VLOOKUP('Données projet'!$B$9,Paramètres!$A$1:$I$89,5,0)</f>
        <v>-6.3550942286383359E-13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500.52921520843432</v>
      </c>
      <c r="T158" s="62">
        <f t="shared" si="142"/>
        <v>430.43167430170087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97.946280577976992</v>
      </c>
      <c r="AA158" s="23">
        <f>EXP(-LN(2)/25)*AA157+(1-EXP(-LN(2)/25))/(LN(2)/25)*Calculateur!V158*Calculateur!X158*VLOOKUP('Données projet'!$B$9,Paramètres!$A$1:$I$89,3,0)*0.475*44/12</f>
        <v>5.4271255485347609</v>
      </c>
      <c r="AB158" s="23">
        <f>EXP(-LN(2)/2)*AB157+(1-EXP(-LN(2)/2))/(LN(2)/2)*V158*Y158*VLOOKUP('Données projet'!$B$9,Paramètres!$A$1:$I$89,3,0)*0.475*44/12</f>
        <v>1.1653447908335989E-10</v>
      </c>
      <c r="AC158" s="24">
        <f t="shared" si="163"/>
        <v>103.37340612662828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265.57412766850422</v>
      </c>
      <c r="AO158" s="62">
        <f t="shared" si="144"/>
        <v>179.39213799913273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54.108526295397049</v>
      </c>
      <c r="AV158" s="23">
        <f>EXP(-LN(2)/25)*AV157+(1-EXP(-LN(2)/25))/(LN(2)/25)*Calculateur!AQ158*Calculateur!AS158*VLOOKUP('Données projet'!$B$10,Paramètres!$A$1:$I$89,3,0)*0.475*44/12</f>
        <v>5.7307596579541746</v>
      </c>
      <c r="AW158" s="23">
        <f>EXP(-LN(2)/2)*AW157+(1-EXP(-LN(2)/2))/(LN(2)/2)*AQ158*AT158*VLOOKUP('Données projet'!$B$10,Paramètres!$A$1:$I$89,3,0)*0.475*44/12</f>
        <v>5.0361885313927641E-9</v>
      </c>
      <c r="AX158" s="23">
        <f t="shared" si="166"/>
        <v>59.839285958387414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-5.6843418860808015E-13</v>
      </c>
      <c r="BE158" s="14">
        <f>BD158*VLOOKUP('Données projet'!$B$11,Paramètres!$A$1:$I$89,3,0)*VLOOKUP('Données projet'!$B$11,Paramètres!$A$1:$I$89,5,0)</f>
        <v>-3.39923644787632E-13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361.81625684745416</v>
      </c>
      <c r="BJ158" s="62">
        <f t="shared" si="146"/>
        <v>302.25424592654684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58.313988149503921</v>
      </c>
      <c r="BQ158" s="23">
        <f>EXP(-LN(2)/25)*BQ157+(1-EXP(-LN(2)/25))/(LN(2)/25)*Calculateur!BL158*Calculateur!BN158*VLOOKUP('Données projet'!$B$11,Paramètres!$A$1:$I$89,3,0)*0.475*44/12</f>
        <v>2.9616689235698415</v>
      </c>
      <c r="BR158" s="23">
        <f>EXP(-LN(2)/2)*BR157+(1-EXP(-LN(2)/2))/(LN(2)/2)*BL158*BO158*VLOOKUP('Données projet'!$B$11,Paramètres!$A$1:$I$89,3,0)*0.475*44/12</f>
        <v>2.3491593082505375E-11</v>
      </c>
      <c r="BS158" s="24">
        <f t="shared" si="169"/>
        <v>61.27565707309725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-1.1368683772161603E-12</v>
      </c>
      <c r="O159" s="14">
        <f>N159*VLOOKUP('Données projet'!$B$9,Paramètres!$A$1:$I$89,3,0)*VLOOKUP('Données projet'!$B$9,Paramètres!$A$1:$I$89,5,0)</f>
        <v>-6.3550942286383359E-13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500.52921520843432</v>
      </c>
      <c r="T159" s="62">
        <f t="shared" si="142"/>
        <v>430.43167430170087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96.025613757175051</v>
      </c>
      <c r="AA159" s="23">
        <f>EXP(-LN(2)/25)*AA158+(1-EXP(-LN(2)/25))/(LN(2)/25)*Calculateur!V159*Calculateur!X159*VLOOKUP('Données projet'!$B$9,Paramètres!$A$1:$I$89,3,0)*0.475*44/12</f>
        <v>5.2787205150099492</v>
      </c>
      <c r="AB159" s="23">
        <f>EXP(-LN(2)/2)*AB158+(1-EXP(-LN(2)/2))/(LN(2)/2)*V159*Y159*VLOOKUP('Données projet'!$B$9,Paramètres!$A$1:$I$89,3,0)*0.475*44/12</f>
        <v>8.2402320401885664E-11</v>
      </c>
      <c r="AC159" s="24">
        <f t="shared" si="163"/>
        <v>101.30433427226741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265.57412766850422</v>
      </c>
      <c r="AO159" s="62">
        <f t="shared" si="144"/>
        <v>179.39213799913273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53.047491097686581</v>
      </c>
      <c r="AV159" s="23">
        <f>EXP(-LN(2)/25)*AV158+(1-EXP(-LN(2)/25))/(LN(2)/25)*Calculateur!AQ159*Calculateur!AS159*VLOOKUP('Données projet'!$B$10,Paramètres!$A$1:$I$89,3,0)*0.475*44/12</f>
        <v>5.5740517337398652</v>
      </c>
      <c r="AW159" s="23">
        <f>EXP(-LN(2)/2)*AW158+(1-EXP(-LN(2)/2))/(LN(2)/2)*AQ159*AT159*VLOOKUP('Données projet'!$B$10,Paramètres!$A$1:$I$89,3,0)*0.475*44/12</f>
        <v>3.5611230618817434E-9</v>
      </c>
      <c r="AX159" s="23">
        <f t="shared" si="166"/>
        <v>58.621542834987572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-5.6843418860808015E-13</v>
      </c>
      <c r="BE159" s="14">
        <f>BD159*VLOOKUP('Données projet'!$B$11,Paramètres!$A$1:$I$89,3,0)*VLOOKUP('Données projet'!$B$11,Paramètres!$A$1:$I$89,5,0)</f>
        <v>-3.39923644787632E-13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361.81625684745416</v>
      </c>
      <c r="BJ159" s="62">
        <f t="shared" si="146"/>
        <v>302.25424592654684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57.170486409912868</v>
      </c>
      <c r="BQ159" s="23">
        <f>EXP(-LN(2)/25)*BQ158+(1-EXP(-LN(2)/25))/(LN(2)/25)*Calculateur!BL159*Calculateur!BN159*VLOOKUP('Données projet'!$B$11,Paramètres!$A$1:$I$89,3,0)*0.475*44/12</f>
        <v>2.8806819311074245</v>
      </c>
      <c r="BR159" s="23">
        <f>EXP(-LN(2)/2)*BR158+(1-EXP(-LN(2)/2))/(LN(2)/2)*BL159*BO159*VLOOKUP('Données projet'!$B$11,Paramètres!$A$1:$I$89,3,0)*0.475*44/12</f>
        <v>1.6611064769514542E-11</v>
      </c>
      <c r="BS159" s="24">
        <f t="shared" si="169"/>
        <v>60.051168341036906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-1.1368683772161603E-12</v>
      </c>
      <c r="O160" s="14">
        <f>N160*VLOOKUP('Données projet'!$B$9,Paramètres!$A$1:$I$89,3,0)*VLOOKUP('Données projet'!$B$9,Paramètres!$A$1:$I$89,5,0)</f>
        <v>-6.3550942286383359E-13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500.52921520843432</v>
      </c>
      <c r="T160" s="62">
        <f t="shared" si="142"/>
        <v>430.43167430170087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94.142610041237944</v>
      </c>
      <c r="AA160" s="23">
        <f>EXP(-LN(2)/25)*AA159+(1-EXP(-LN(2)/25))/(LN(2)/25)*Calculateur!V160*Calculateur!X160*VLOOKUP('Données projet'!$B$9,Paramètres!$A$1:$I$89,3,0)*0.475*44/12</f>
        <v>5.1343736249311549</v>
      </c>
      <c r="AB160" s="23">
        <f>EXP(-LN(2)/2)*AB159+(1-EXP(-LN(2)/2))/(LN(2)/2)*V160*Y160*VLOOKUP('Données projet'!$B$9,Paramètres!$A$1:$I$89,3,0)*0.475*44/12</f>
        <v>5.8267239541679947E-11</v>
      </c>
      <c r="AC160" s="24">
        <f t="shared" si="163"/>
        <v>99.276983666227366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265.57412766850422</v>
      </c>
      <c r="AO160" s="62">
        <f t="shared" si="144"/>
        <v>179.39213799913273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52.007262153035647</v>
      </c>
      <c r="AV160" s="23">
        <f>EXP(-LN(2)/25)*AV159+(1-EXP(-LN(2)/25))/(LN(2)/25)*Calculateur!AQ160*Calculateur!AS160*VLOOKUP('Données projet'!$B$10,Paramètres!$A$1:$I$89,3,0)*0.475*44/12</f>
        <v>5.4216289959541077</v>
      </c>
      <c r="AW160" s="23">
        <f>EXP(-LN(2)/2)*AW159+(1-EXP(-LN(2)/2))/(LN(2)/2)*AQ160*AT160*VLOOKUP('Données projet'!$B$10,Paramètres!$A$1:$I$89,3,0)*0.475*44/12</f>
        <v>2.5180942656963821E-9</v>
      </c>
      <c r="AX160" s="23">
        <f t="shared" si="166"/>
        <v>57.428891151507848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-5.6843418860808015E-13</v>
      </c>
      <c r="BE160" s="14">
        <f>BD160*VLOOKUP('Données projet'!$B$11,Paramètres!$A$1:$I$89,3,0)*VLOOKUP('Données projet'!$B$11,Paramètres!$A$1:$I$89,5,0)</f>
        <v>-3.39923644787632E-13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361.81625684745416</v>
      </c>
      <c r="BJ160" s="62">
        <f t="shared" si="146"/>
        <v>302.25424592654684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56.049408041968007</v>
      </c>
      <c r="BQ160" s="23">
        <f>EXP(-LN(2)/25)*BQ159+(1-EXP(-LN(2)/25))/(LN(2)/25)*Calculateur!BL160*Calculateur!BN160*VLOOKUP('Données projet'!$B$11,Paramètres!$A$1:$I$89,3,0)*0.475*44/12</f>
        <v>2.8019095322128131</v>
      </c>
      <c r="BR160" s="23">
        <f>EXP(-LN(2)/2)*BR159+(1-EXP(-LN(2)/2))/(LN(2)/2)*BL160*BO160*VLOOKUP('Données projet'!$B$11,Paramètres!$A$1:$I$89,3,0)*0.475*44/12</f>
        <v>1.1745796541252688E-11</v>
      </c>
      <c r="BS160" s="24">
        <f t="shared" si="169"/>
        <v>58.851317574192564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-1.1368683772161603E-12</v>
      </c>
      <c r="O161" s="14">
        <f>N161*VLOOKUP('Données projet'!$B$9,Paramètres!$A$1:$I$89,3,0)*VLOOKUP('Données projet'!$B$9,Paramètres!$A$1:$I$89,5,0)</f>
        <v>-6.3550942286383359E-13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500.52921520843432</v>
      </c>
      <c r="T161" s="62">
        <f t="shared" si="142"/>
        <v>430.43167430170087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92.296530879651513</v>
      </c>
      <c r="AA161" s="23">
        <f>EXP(-LN(2)/25)*AA160+(1-EXP(-LN(2)/25))/(LN(2)/25)*Calculateur!V161*Calculateur!X161*VLOOKUP('Données projet'!$B$9,Paramètres!$A$1:$I$89,3,0)*0.475*44/12</f>
        <v>4.9939739081524381</v>
      </c>
      <c r="AB161" s="23">
        <f>EXP(-LN(2)/2)*AB160+(1-EXP(-LN(2)/2))/(LN(2)/2)*V161*Y161*VLOOKUP('Données projet'!$B$9,Paramètres!$A$1:$I$89,3,0)*0.475*44/12</f>
        <v>4.1201160200942832E-11</v>
      </c>
      <c r="AC161" s="24">
        <f t="shared" si="163"/>
        <v>97.290504787845151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265.57412766850422</v>
      </c>
      <c r="AO161" s="62">
        <f t="shared" si="144"/>
        <v>179.39213799913273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50.987431463512316</v>
      </c>
      <c r="AV161" s="23">
        <f>EXP(-LN(2)/25)*AV160+(1-EXP(-LN(2)/25))/(LN(2)/25)*Calculateur!AQ161*Calculateur!AS161*VLOOKUP('Données projet'!$B$10,Paramètres!$A$1:$I$89,3,0)*0.475*44/12</f>
        <v>5.2733742659486653</v>
      </c>
      <c r="AW161" s="23">
        <f>EXP(-LN(2)/2)*AW160+(1-EXP(-LN(2)/2))/(LN(2)/2)*AQ161*AT161*VLOOKUP('Données projet'!$B$10,Paramètres!$A$1:$I$89,3,0)*0.475*44/12</f>
        <v>1.7805615309408717E-9</v>
      </c>
      <c r="AX161" s="23">
        <f t="shared" si="166"/>
        <v>56.260805731241547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-5.6843418860808015E-13</v>
      </c>
      <c r="BE161" s="14">
        <f>BD161*VLOOKUP('Données projet'!$B$11,Paramètres!$A$1:$I$89,3,0)*VLOOKUP('Données projet'!$B$11,Paramètres!$A$1:$I$89,5,0)</f>
        <v>-3.39923644787632E-13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361.81625684745416</v>
      </c>
      <c r="BJ161" s="62">
        <f t="shared" si="146"/>
        <v>302.25424592654684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54.950313337028255</v>
      </c>
      <c r="BQ161" s="23">
        <f>EXP(-LN(2)/25)*BQ160+(1-EXP(-LN(2)/25))/(LN(2)/25)*Calculateur!BL161*Calculateur!BN161*VLOOKUP('Données projet'!$B$11,Paramètres!$A$1:$I$89,3,0)*0.475*44/12</f>
        <v>2.7252911687084351</v>
      </c>
      <c r="BR161" s="23">
        <f>EXP(-LN(2)/2)*BR160+(1-EXP(-LN(2)/2))/(LN(2)/2)*BL161*BO161*VLOOKUP('Données projet'!$B$11,Paramètres!$A$1:$I$89,3,0)*0.475*44/12</f>
        <v>8.3055323847572709E-12</v>
      </c>
      <c r="BS161" s="24">
        <f t="shared" si="169"/>
        <v>57.675604505745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-1.1368683772161603E-12</v>
      </c>
      <c r="O162" s="14">
        <f>N162*VLOOKUP('Données projet'!$B$9,Paramètres!$A$1:$I$89,3,0)*VLOOKUP('Données projet'!$B$9,Paramètres!$A$1:$I$89,5,0)</f>
        <v>-6.3550942286383359E-13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500.52921520843432</v>
      </c>
      <c r="T162" s="62">
        <f t="shared" si="142"/>
        <v>430.43167430170087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90.486652204426676</v>
      </c>
      <c r="AA162" s="23">
        <f>EXP(-LN(2)/25)*AA161+(1-EXP(-LN(2)/25))/(LN(2)/25)*Calculateur!V162*Calculateur!X162*VLOOKUP('Données projet'!$B$9,Paramètres!$A$1:$I$89,3,0)*0.475*44/12</f>
        <v>4.8574134290123361</v>
      </c>
      <c r="AB162" s="23">
        <f>EXP(-LN(2)/2)*AB161+(1-EXP(-LN(2)/2))/(LN(2)/2)*V162*Y162*VLOOKUP('Données projet'!$B$9,Paramètres!$A$1:$I$89,3,0)*0.475*44/12</f>
        <v>2.9133619770839973E-11</v>
      </c>
      <c r="AC162" s="24">
        <f t="shared" si="163"/>
        <v>95.344065633468148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265.57412766850422</v>
      </c>
      <c r="AO162" s="62">
        <f t="shared" si="144"/>
        <v>179.39213799913273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49.987599031775233</v>
      </c>
      <c r="AV162" s="23">
        <f>EXP(-LN(2)/25)*AV161+(1-EXP(-LN(2)/25))/(LN(2)/25)*Calculateur!AQ162*Calculateur!AS162*VLOOKUP('Données projet'!$B$10,Paramètres!$A$1:$I$89,3,0)*0.475*44/12</f>
        <v>5.1291735693315985</v>
      </c>
      <c r="AW162" s="23">
        <f>EXP(-LN(2)/2)*AW161+(1-EXP(-LN(2)/2))/(LN(2)/2)*AQ162*AT162*VLOOKUP('Données projet'!$B$10,Paramètres!$A$1:$I$89,3,0)*0.475*44/12</f>
        <v>1.259047132848191E-9</v>
      </c>
      <c r="AX162" s="23">
        <f t="shared" si="166"/>
        <v>55.116772602365877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-5.6843418860808015E-13</v>
      </c>
      <c r="BE162" s="14">
        <f>BD162*VLOOKUP('Données projet'!$B$11,Paramètres!$A$1:$I$89,3,0)*VLOOKUP('Données projet'!$B$11,Paramètres!$A$1:$I$89,5,0)</f>
        <v>-3.39923644787632E-13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361.81625684745416</v>
      </c>
      <c r="BJ162" s="62">
        <f t="shared" si="146"/>
        <v>302.25424592654684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53.872771208870802</v>
      </c>
      <c r="BQ162" s="23">
        <f>EXP(-LN(2)/25)*BQ161+(1-EXP(-LN(2)/25))/(LN(2)/25)*Calculateur!BL162*Calculateur!BN162*VLOOKUP('Données projet'!$B$11,Paramètres!$A$1:$I$89,3,0)*0.475*44/12</f>
        <v>2.650767938383269</v>
      </c>
      <c r="BR162" s="23">
        <f>EXP(-LN(2)/2)*BR161+(1-EXP(-LN(2)/2))/(LN(2)/2)*BL162*BO162*VLOOKUP('Données projet'!$B$11,Paramètres!$A$1:$I$89,3,0)*0.475*44/12</f>
        <v>5.8728982706263439E-12</v>
      </c>
      <c r="BS162" s="24">
        <f t="shared" si="169"/>
        <v>56.523539147259946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-1.1368683772161603E-12</v>
      </c>
      <c r="O163" s="14">
        <f>N163*VLOOKUP('Données projet'!$B$9,Paramètres!$A$1:$I$89,3,0)*VLOOKUP('Données projet'!$B$9,Paramètres!$A$1:$I$89,5,0)</f>
        <v>-6.3550942286383359E-13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500.52921520843432</v>
      </c>
      <c r="T163" s="62">
        <f t="shared" si="142"/>
        <v>430.43167430170087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88.712264146106008</v>
      </c>
      <c r="AA163" s="23">
        <f>EXP(-LN(2)/25)*AA162+(1-EXP(-LN(2)/25))/(LN(2)/25)*Calculateur!V163*Calculateur!X163*VLOOKUP('Données projet'!$B$9,Paramètres!$A$1:$I$89,3,0)*0.475*44/12</f>
        <v>4.724587203355723</v>
      </c>
      <c r="AB163" s="23">
        <f>EXP(-LN(2)/2)*AB162+(1-EXP(-LN(2)/2))/(LN(2)/2)*V163*Y163*VLOOKUP('Données projet'!$B$9,Paramètres!$A$1:$I$89,3,0)*0.475*44/12</f>
        <v>2.0600580100471416E-11</v>
      </c>
      <c r="AC163" s="24">
        <f t="shared" si="163"/>
        <v>93.436851349482339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265.57412766850422</v>
      </c>
      <c r="AO163" s="62">
        <f t="shared" si="144"/>
        <v>179.39213799913273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49.007372704186949</v>
      </c>
      <c r="AV163" s="23">
        <f>EXP(-LN(2)/25)*AV162+(1-EXP(-LN(2)/25))/(LN(2)/25)*Calculateur!AQ163*Calculateur!AS163*VLOOKUP('Données projet'!$B$10,Paramètres!$A$1:$I$89,3,0)*0.475*44/12</f>
        <v>4.9889160483467112</v>
      </c>
      <c r="AW163" s="23">
        <f>EXP(-LN(2)/2)*AW162+(1-EXP(-LN(2)/2))/(LN(2)/2)*AQ163*AT163*VLOOKUP('Données projet'!$B$10,Paramètres!$A$1:$I$89,3,0)*0.475*44/12</f>
        <v>8.9028076547043586E-10</v>
      </c>
      <c r="AX163" s="23">
        <f t="shared" si="166"/>
        <v>53.99628875342394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-5.6843418860808015E-13</v>
      </c>
      <c r="BE163" s="14">
        <f>BD163*VLOOKUP('Données projet'!$B$11,Paramètres!$A$1:$I$89,3,0)*VLOOKUP('Données projet'!$B$11,Paramètres!$A$1:$I$89,5,0)</f>
        <v>-3.39923644787632E-13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361.81625684745416</v>
      </c>
      <c r="BJ163" s="62">
        <f t="shared" si="146"/>
        <v>302.25424592654684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52.816359024610712</v>
      </c>
      <c r="BQ163" s="23">
        <f>EXP(-LN(2)/25)*BQ162+(1-EXP(-LN(2)/25))/(LN(2)/25)*Calculateur!BL163*Calculateur!BN163*VLOOKUP('Données projet'!$B$11,Paramètres!$A$1:$I$89,3,0)*0.475*44/12</f>
        <v>2.5782825497103512</v>
      </c>
      <c r="BR163" s="23">
        <f>EXP(-LN(2)/2)*BR162+(1-EXP(-LN(2)/2))/(LN(2)/2)*BL163*BO163*VLOOKUP('Données projet'!$B$11,Paramètres!$A$1:$I$89,3,0)*0.475*44/12</f>
        <v>4.1527661923786354E-12</v>
      </c>
      <c r="BS163" s="24">
        <f t="shared" si="169"/>
        <v>55.394641574325213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-1.1368683772161603E-12</v>
      </c>
      <c r="O164" s="14">
        <f>N164*VLOOKUP('Données projet'!$B$9,Paramètres!$A$1:$I$89,3,0)*VLOOKUP('Données projet'!$B$9,Paramètres!$A$1:$I$89,5,0)</f>
        <v>-6.3550942286383359E-13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500.52921520843432</v>
      </c>
      <c r="T164" s="62">
        <f t="shared" si="142"/>
        <v>430.43167430170087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86.972670755339166</v>
      </c>
      <c r="AA164" s="23">
        <f>EXP(-LN(2)/25)*AA163+(1-EXP(-LN(2)/25))/(LN(2)/25)*Calculateur!V164*Calculateur!X164*VLOOKUP('Données projet'!$B$9,Paramètres!$A$1:$I$89,3,0)*0.475*44/12</f>
        <v>4.5953931178247176</v>
      </c>
      <c r="AB164" s="23">
        <f>EXP(-LN(2)/2)*AB163+(1-EXP(-LN(2)/2))/(LN(2)/2)*V164*Y164*VLOOKUP('Données projet'!$B$9,Paramètres!$A$1:$I$89,3,0)*0.475*44/12</f>
        <v>1.4566809885419987E-11</v>
      </c>
      <c r="AC164" s="24">
        <f t="shared" si="163"/>
        <v>91.568063873178446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265.57412766850422</v>
      </c>
      <c r="AO164" s="62">
        <f t="shared" si="144"/>
        <v>179.39213799913273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48.046368017003644</v>
      </c>
      <c r="AV164" s="23">
        <f>EXP(-LN(2)/25)*AV163+(1-EXP(-LN(2)/25))/(LN(2)/25)*Calculateur!AQ164*Calculateur!AS164*VLOOKUP('Données projet'!$B$10,Paramètres!$A$1:$I$89,3,0)*0.475*44/12</f>
        <v>4.8524938766489774</v>
      </c>
      <c r="AW164" s="23">
        <f>EXP(-LN(2)/2)*AW163+(1-EXP(-LN(2)/2))/(LN(2)/2)*AQ164*AT164*VLOOKUP('Données projet'!$B$10,Paramètres!$A$1:$I$89,3,0)*0.475*44/12</f>
        <v>6.2952356642409552E-10</v>
      </c>
      <c r="AX164" s="23">
        <f t="shared" si="166"/>
        <v>52.898861894282149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-5.6843418860808015E-13</v>
      </c>
      <c r="BE164" s="14">
        <f>BD164*VLOOKUP('Données projet'!$B$11,Paramètres!$A$1:$I$89,3,0)*VLOOKUP('Données projet'!$B$11,Paramètres!$A$1:$I$89,5,0)</f>
        <v>-3.39923644787632E-13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361.81625684745416</v>
      </c>
      <c r="BJ164" s="62">
        <f t="shared" si="146"/>
        <v>302.25424592654684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51.780662438936155</v>
      </c>
      <c r="BQ164" s="23">
        <f>EXP(-LN(2)/25)*BQ163+(1-EXP(-LN(2)/25))/(LN(2)/25)*Calculateur!BL164*Calculateur!BN164*VLOOKUP('Données projet'!$B$11,Paramètres!$A$1:$I$89,3,0)*0.475*44/12</f>
        <v>2.507779277802535</v>
      </c>
      <c r="BR164" s="23">
        <f>EXP(-LN(2)/2)*BR163+(1-EXP(-LN(2)/2))/(LN(2)/2)*BL164*BO164*VLOOKUP('Données projet'!$B$11,Paramètres!$A$1:$I$89,3,0)*0.475*44/12</f>
        <v>2.9364491353131719E-12</v>
      </c>
      <c r="BS164" s="24">
        <f t="shared" si="169"/>
        <v>54.288441716741623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-1.1368683772161603E-12</v>
      </c>
      <c r="O165" s="14">
        <f>N165*VLOOKUP('Données projet'!$B$9,Paramètres!$A$1:$I$89,3,0)*VLOOKUP('Données projet'!$B$9,Paramètres!$A$1:$I$89,5,0)</f>
        <v>-6.3550942286383359E-13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500.52921520843432</v>
      </c>
      <c r="T165" s="62">
        <f t="shared" si="142"/>
        <v>430.43167430170087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85.267189729918059</v>
      </c>
      <c r="AA165" s="23">
        <f>EXP(-LN(2)/25)*AA164+(1-EXP(-LN(2)/25))/(LN(2)/25)*Calculateur!V165*Calculateur!X165*VLOOKUP('Données projet'!$B$9,Paramètres!$A$1:$I$89,3,0)*0.475*44/12</f>
        <v>4.4697318513565794</v>
      </c>
      <c r="AB165" s="23">
        <f>EXP(-LN(2)/2)*AB164+(1-EXP(-LN(2)/2))/(LN(2)/2)*V165*Y165*VLOOKUP('Données projet'!$B$9,Paramètres!$A$1:$I$89,3,0)*0.475*44/12</f>
        <v>1.0300290050235708E-11</v>
      </c>
      <c r="AC165" s="24">
        <f t="shared" si="163"/>
        <v>89.736921581284946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265.57412766850422</v>
      </c>
      <c r="AO165" s="62">
        <f t="shared" si="144"/>
        <v>179.39213799913273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47.104208045581025</v>
      </c>
      <c r="AV165" s="23">
        <f>EXP(-LN(2)/25)*AV164+(1-EXP(-LN(2)/25))/(LN(2)/25)*Calculateur!AQ165*Calculateur!AS165*VLOOKUP('Données projet'!$B$10,Paramètres!$A$1:$I$89,3,0)*0.475*44/12</f>
        <v>4.7198021764104485</v>
      </c>
      <c r="AW165" s="23">
        <f>EXP(-LN(2)/2)*AW164+(1-EXP(-LN(2)/2))/(LN(2)/2)*AQ165*AT165*VLOOKUP('Données projet'!$B$10,Paramètres!$A$1:$I$89,3,0)*0.475*44/12</f>
        <v>4.4514038273521793E-10</v>
      </c>
      <c r="AX165" s="23">
        <f t="shared" si="166"/>
        <v>51.824010222436613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-5.6843418860808015E-13</v>
      </c>
      <c r="BE165" s="14">
        <f>BD165*VLOOKUP('Données projet'!$B$11,Paramètres!$A$1:$I$89,3,0)*VLOOKUP('Données projet'!$B$11,Paramètres!$A$1:$I$89,5,0)</f>
        <v>-3.39923644787632E-13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361.81625684745416</v>
      </c>
      <c r="BJ165" s="62">
        <f t="shared" si="146"/>
        <v>302.25424592654684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50.765275231594131</v>
      </c>
      <c r="BQ165" s="23">
        <f>EXP(-LN(2)/25)*BQ164+(1-EXP(-LN(2)/25))/(LN(2)/25)*Calculateur!BL165*Calculateur!BN165*VLOOKUP('Données projet'!$B$11,Paramètres!$A$1:$I$89,3,0)*0.475*44/12</f>
        <v>2.439203921572644</v>
      </c>
      <c r="BR165" s="23">
        <f>EXP(-LN(2)/2)*BR164+(1-EXP(-LN(2)/2))/(LN(2)/2)*BL165*BO165*VLOOKUP('Données projet'!$B$11,Paramètres!$A$1:$I$89,3,0)*0.475*44/12</f>
        <v>2.0763830961893177E-12</v>
      </c>
      <c r="BS165" s="24">
        <f t="shared" si="169"/>
        <v>53.204479153168847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-1.1368683772161603E-12</v>
      </c>
      <c r="O166" s="14">
        <f>N166*VLOOKUP('Données projet'!$B$9,Paramètres!$A$1:$I$89,3,0)*VLOOKUP('Données projet'!$B$9,Paramètres!$A$1:$I$89,5,0)</f>
        <v>-6.3550942286383359E-13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500.52921520843432</v>
      </c>
      <c r="T166" s="62">
        <f t="shared" si="142"/>
        <v>430.43167430170087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83.595152147164754</v>
      </c>
      <c r="AA166" s="23">
        <f>EXP(-LN(2)/25)*AA165+(1-EXP(-LN(2)/25))/(LN(2)/25)*Calculateur!V166*Calculateur!X166*VLOOKUP('Données projet'!$B$9,Paramètres!$A$1:$I$89,3,0)*0.475*44/12</f>
        <v>4.3475067988282516</v>
      </c>
      <c r="AB166" s="23">
        <f>EXP(-LN(2)/2)*AB165+(1-EXP(-LN(2)/2))/(LN(2)/2)*V166*Y166*VLOOKUP('Données projet'!$B$9,Paramètres!$A$1:$I$89,3,0)*0.475*44/12</f>
        <v>7.2834049427099933E-12</v>
      </c>
      <c r="AC166" s="24">
        <f t="shared" si="163"/>
        <v>87.942658946000293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265.57412766850422</v>
      </c>
      <c r="AO166" s="62">
        <f t="shared" si="144"/>
        <v>179.39213799913273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46.180523256537164</v>
      </c>
      <c r="AV166" s="23">
        <f>EXP(-LN(2)/25)*AV165+(1-EXP(-LN(2)/25))/(LN(2)/25)*Calculateur!AQ166*Calculateur!AS166*VLOOKUP('Données projet'!$B$10,Paramètres!$A$1:$I$89,3,0)*0.475*44/12</f>
        <v>4.5907389376928958</v>
      </c>
      <c r="AW166" s="23">
        <f>EXP(-LN(2)/2)*AW165+(1-EXP(-LN(2)/2))/(LN(2)/2)*AQ166*AT166*VLOOKUP('Données projet'!$B$10,Paramètres!$A$1:$I$89,3,0)*0.475*44/12</f>
        <v>3.1476178321204776E-10</v>
      </c>
      <c r="AX166" s="23">
        <f t="shared" si="166"/>
        <v>50.771262194544825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-5.6843418860808015E-13</v>
      </c>
      <c r="BE166" s="14">
        <f>BD166*VLOOKUP('Données projet'!$B$11,Paramètres!$A$1:$I$89,3,0)*VLOOKUP('Données projet'!$B$11,Paramètres!$A$1:$I$89,5,0)</f>
        <v>-3.39923644787632E-13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361.81625684745416</v>
      </c>
      <c r="BJ166" s="62">
        <f t="shared" si="146"/>
        <v>302.25424592654684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49.769799148063044</v>
      </c>
      <c r="BQ166" s="23">
        <f>EXP(-LN(2)/25)*BQ165+(1-EXP(-LN(2)/25))/(LN(2)/25)*Calculateur!BL166*Calculateur!BN166*VLOOKUP('Données projet'!$B$11,Paramètres!$A$1:$I$89,3,0)*0.475*44/12</f>
        <v>2.3725037620650808</v>
      </c>
      <c r="BR166" s="23">
        <f>EXP(-LN(2)/2)*BR165+(1-EXP(-LN(2)/2))/(LN(2)/2)*BL166*BO166*VLOOKUP('Données projet'!$B$11,Paramètres!$A$1:$I$89,3,0)*0.475*44/12</f>
        <v>1.468224567656586E-12</v>
      </c>
      <c r="BS166" s="24">
        <f t="shared" si="169"/>
        <v>52.142302910129594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-1.1368683772161603E-12</v>
      </c>
      <c r="O167" s="14">
        <f>N167*VLOOKUP('Données projet'!$B$9,Paramètres!$A$1:$I$89,3,0)*VLOOKUP('Données projet'!$B$9,Paramètres!$A$1:$I$89,5,0)</f>
        <v>-6.3550942286383359E-13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500.52921520843432</v>
      </c>
      <c r="T167" s="62">
        <f t="shared" si="142"/>
        <v>430.43167430170087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81.955902201567014</v>
      </c>
      <c r="AA167" s="23">
        <f>EXP(-LN(2)/25)*AA166+(1-EXP(-LN(2)/25))/(LN(2)/25)*Calculateur!V167*Calculateur!X167*VLOOKUP('Données projet'!$B$9,Paramètres!$A$1:$I$89,3,0)*0.475*44/12</f>
        <v>4.2286239967888468</v>
      </c>
      <c r="AB167" s="23">
        <f>EXP(-LN(2)/2)*AB166+(1-EXP(-LN(2)/2))/(LN(2)/2)*V167*Y167*VLOOKUP('Données projet'!$B$9,Paramètres!$A$1:$I$89,3,0)*0.475*44/12</f>
        <v>5.150145025117854E-12</v>
      </c>
      <c r="AC167" s="24">
        <f t="shared" si="163"/>
        <v>86.184526198360999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265.57412766850422</v>
      </c>
      <c r="AO167" s="62">
        <f t="shared" si="144"/>
        <v>179.39213799913273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45.274951362814363</v>
      </c>
      <c r="AV167" s="23">
        <f>EXP(-LN(2)/25)*AV166+(1-EXP(-LN(2)/25))/(LN(2)/25)*Calculateur!AQ167*Calculateur!AS167*VLOOKUP('Données projet'!$B$10,Paramètres!$A$1:$I$89,3,0)*0.475*44/12</f>
        <v>4.465204940025215</v>
      </c>
      <c r="AW167" s="23">
        <f>EXP(-LN(2)/2)*AW166+(1-EXP(-LN(2)/2))/(LN(2)/2)*AQ167*AT167*VLOOKUP('Données projet'!$B$10,Paramètres!$A$1:$I$89,3,0)*0.475*44/12</f>
        <v>2.2257019136760897E-10</v>
      </c>
      <c r="AX167" s="23">
        <f t="shared" si="166"/>
        <v>49.74015630306215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-5.6843418860808015E-13</v>
      </c>
      <c r="BE167" s="14">
        <f>BD167*VLOOKUP('Données projet'!$B$11,Paramètres!$A$1:$I$89,3,0)*VLOOKUP('Données projet'!$B$11,Paramètres!$A$1:$I$89,5,0)</f>
        <v>-3.39923644787632E-13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361.81625684745416</v>
      </c>
      <c r="BJ167" s="62">
        <f t="shared" si="146"/>
        <v>302.25424592654684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48.793843743349541</v>
      </c>
      <c r="BQ167" s="23">
        <f>EXP(-LN(2)/25)*BQ166+(1-EXP(-LN(2)/25))/(LN(2)/25)*Calculateur!BL167*Calculateur!BN167*VLOOKUP('Données projet'!$B$11,Paramètres!$A$1:$I$89,3,0)*0.475*44/12</f>
        <v>2.3076275219268609</v>
      </c>
      <c r="BR167" s="23">
        <f>EXP(-LN(2)/2)*BR166+(1-EXP(-LN(2)/2))/(LN(2)/2)*BL167*BO167*VLOOKUP('Données projet'!$B$11,Paramètres!$A$1:$I$89,3,0)*0.475*44/12</f>
        <v>1.0381915480946589E-12</v>
      </c>
      <c r="BS167" s="24">
        <f t="shared" si="169"/>
        <v>51.101471265277439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-1.1368683772161603E-12</v>
      </c>
      <c r="O168" s="14">
        <f>N168*VLOOKUP('Données projet'!$B$9,Paramètres!$A$1:$I$89,3,0)*VLOOKUP('Données projet'!$B$9,Paramètres!$A$1:$I$89,5,0)</f>
        <v>-6.3550942286383359E-13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500.52921520843432</v>
      </c>
      <c r="T168" s="62">
        <f t="shared" si="142"/>
        <v>430.43167430170087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80.348796947558711</v>
      </c>
      <c r="AA168" s="23">
        <f>EXP(-LN(2)/25)*AA167+(1-EXP(-LN(2)/25))/(LN(2)/25)*Calculateur!V168*Calculateur!X168*VLOOKUP('Données projet'!$B$9,Paramètres!$A$1:$I$89,3,0)*0.475*44/12</f>
        <v>4.1129920512229843</v>
      </c>
      <c r="AB168" s="23">
        <f>EXP(-LN(2)/2)*AB167+(1-EXP(-LN(2)/2))/(LN(2)/2)*V168*Y168*VLOOKUP('Données projet'!$B$9,Paramètres!$A$1:$I$89,3,0)*0.475*44/12</f>
        <v>3.6417024713549967E-12</v>
      </c>
      <c r="AC168" s="24">
        <f t="shared" si="163"/>
        <v>84.461788998785337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265.57412766850422</v>
      </c>
      <c r="AO168" s="62">
        <f t="shared" si="144"/>
        <v>179.39213799913273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44.387137181583149</v>
      </c>
      <c r="AV168" s="23">
        <f>EXP(-LN(2)/25)*AV167+(1-EXP(-LN(2)/25))/(LN(2)/25)*Calculateur!AQ168*Calculateur!AS168*VLOOKUP('Données projet'!$B$10,Paramètres!$A$1:$I$89,3,0)*0.475*44/12</f>
        <v>4.3431036761253035</v>
      </c>
      <c r="AW168" s="23">
        <f>EXP(-LN(2)/2)*AW167+(1-EXP(-LN(2)/2))/(LN(2)/2)*AQ168*AT168*VLOOKUP('Données projet'!$B$10,Paramètres!$A$1:$I$89,3,0)*0.475*44/12</f>
        <v>1.5738089160602388E-10</v>
      </c>
      <c r="AX168" s="23">
        <f t="shared" si="166"/>
        <v>48.73024085786583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-5.6843418860808015E-13</v>
      </c>
      <c r="BE168" s="14">
        <f>BD168*VLOOKUP('Données projet'!$B$11,Paramètres!$A$1:$I$89,3,0)*VLOOKUP('Données projet'!$B$11,Paramètres!$A$1:$I$89,5,0)</f>
        <v>-3.39923644787632E-13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361.81625684745416</v>
      </c>
      <c r="BJ168" s="62">
        <f t="shared" si="146"/>
        <v>302.25424592654684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47.837026228848458</v>
      </c>
      <c r="BQ168" s="23">
        <f>EXP(-LN(2)/25)*BQ167+(1-EXP(-LN(2)/25))/(LN(2)/25)*Calculateur!BL168*Calculateur!BN168*VLOOKUP('Données projet'!$B$11,Paramètres!$A$1:$I$89,3,0)*0.475*44/12</f>
        <v>2.2445253259869138</v>
      </c>
      <c r="BR168" s="23">
        <f>EXP(-LN(2)/2)*BR167+(1-EXP(-LN(2)/2))/(LN(2)/2)*BL168*BO168*VLOOKUP('Données projet'!$B$11,Paramètres!$A$1:$I$89,3,0)*0.475*44/12</f>
        <v>7.3411228382829298E-13</v>
      </c>
      <c r="BS168" s="24">
        <f t="shared" si="169"/>
        <v>50.081551554836103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-1.1368683772161603E-12</v>
      </c>
      <c r="O169" s="14">
        <f>N169*VLOOKUP('Données projet'!$B$9,Paramètres!$A$1:$I$89,3,0)*VLOOKUP('Données projet'!$B$9,Paramètres!$A$1:$I$89,5,0)</f>
        <v>-6.3550942286383359E-13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500.52921520843432</v>
      </c>
      <c r="T169" s="62">
        <f t="shared" si="142"/>
        <v>430.43167430170087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78.77320604734409</v>
      </c>
      <c r="AA169" s="23">
        <f>EXP(-LN(2)/25)*AA168+(1-EXP(-LN(2)/25))/(LN(2)/25)*Calculateur!V169*Calculateur!X169*VLOOKUP('Données projet'!$B$9,Paramètres!$A$1:$I$89,3,0)*0.475*44/12</f>
        <v>4.0005220672894399</v>
      </c>
      <c r="AB169" s="23">
        <f>EXP(-LN(2)/2)*AB168+(1-EXP(-LN(2)/2))/(LN(2)/2)*V169*Y169*VLOOKUP('Données projet'!$B$9,Paramètres!$A$1:$I$89,3,0)*0.475*44/12</f>
        <v>2.575072512558927E-12</v>
      </c>
      <c r="AC169" s="24">
        <f t="shared" si="163"/>
        <v>82.7737281146361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265.57412766850422</v>
      </c>
      <c r="AO169" s="62">
        <f t="shared" si="144"/>
        <v>179.39213799913273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43.516732494932704</v>
      </c>
      <c r="AV169" s="23">
        <f>EXP(-LN(2)/25)*AV168+(1-EXP(-LN(2)/25))/(LN(2)/25)*Calculateur!AQ169*Calculateur!AS169*VLOOKUP('Données projet'!$B$10,Paramètres!$A$1:$I$89,3,0)*0.475*44/12</f>
        <v>4.2243412777077607</v>
      </c>
      <c r="AW169" s="23">
        <f>EXP(-LN(2)/2)*AW168+(1-EXP(-LN(2)/2))/(LN(2)/2)*AQ169*AT169*VLOOKUP('Données projet'!$B$10,Paramètres!$A$1:$I$89,3,0)*0.475*44/12</f>
        <v>1.1128509568380448E-10</v>
      </c>
      <c r="AX169" s="23">
        <f t="shared" si="166"/>
        <v>47.741073772751747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-5.6843418860808015E-13</v>
      </c>
      <c r="BE169" s="14">
        <f>BD169*VLOOKUP('Données projet'!$B$11,Paramètres!$A$1:$I$89,3,0)*VLOOKUP('Données projet'!$B$11,Paramètres!$A$1:$I$89,5,0)</f>
        <v>-3.39923644787632E-13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361.81625684745416</v>
      </c>
      <c r="BJ169" s="62">
        <f t="shared" si="146"/>
        <v>302.25424592654684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46.898971322205682</v>
      </c>
      <c r="BQ169" s="23">
        <f>EXP(-LN(2)/25)*BQ168+(1-EXP(-LN(2)/25))/(LN(2)/25)*Calculateur!BL169*Calculateur!BN169*VLOOKUP('Données projet'!$B$11,Paramètres!$A$1:$I$89,3,0)*0.475*44/12</f>
        <v>2.1831486629133448</v>
      </c>
      <c r="BR169" s="23">
        <f>EXP(-LN(2)/2)*BR168+(1-EXP(-LN(2)/2))/(LN(2)/2)*BL169*BO169*VLOOKUP('Données projet'!$B$11,Paramètres!$A$1:$I$89,3,0)*0.475*44/12</f>
        <v>5.1909577404732943E-13</v>
      </c>
      <c r="BS169" s="24">
        <f t="shared" si="169"/>
        <v>49.082119985119547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-1.1368683772161603E-12</v>
      </c>
      <c r="O170" s="14">
        <f>N170*VLOOKUP('Données projet'!$B$9,Paramètres!$A$1:$I$89,3,0)*VLOOKUP('Données projet'!$B$9,Paramètres!$A$1:$I$89,5,0)</f>
        <v>-6.3550942286383359E-13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500.52921520843432</v>
      </c>
      <c r="T170" s="62">
        <f t="shared" si="142"/>
        <v>430.43167430170087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77.228511523667123</v>
      </c>
      <c r="AA170" s="23">
        <f>EXP(-LN(2)/25)*AA169+(1-EXP(-LN(2)/25))/(LN(2)/25)*Calculateur!V170*Calculateur!X170*VLOOKUP('Données projet'!$B$9,Paramètres!$A$1:$I$89,3,0)*0.475*44/12</f>
        <v>3.8911275809810979</v>
      </c>
      <c r="AB170" s="23">
        <f>EXP(-LN(2)/2)*AB169+(1-EXP(-LN(2)/2))/(LN(2)/2)*V170*Y170*VLOOKUP('Données projet'!$B$9,Paramètres!$A$1:$I$89,3,0)*0.475*44/12</f>
        <v>1.8208512356774983E-12</v>
      </c>
      <c r="AC170" s="24">
        <f t="shared" si="163"/>
        <v>81.119639104650034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265.57412766850422</v>
      </c>
      <c r="AO170" s="62">
        <f t="shared" si="144"/>
        <v>179.39213799913273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42.66339591329303</v>
      </c>
      <c r="AV170" s="23">
        <f>EXP(-LN(2)/25)*AV169+(1-EXP(-LN(2)/25))/(LN(2)/25)*Calculateur!AQ170*Calculateur!AS170*VLOOKUP('Données projet'!$B$10,Paramètres!$A$1:$I$89,3,0)*0.475*44/12</f>
        <v>4.1088264433203889</v>
      </c>
      <c r="AW170" s="23">
        <f>EXP(-LN(2)/2)*AW169+(1-EXP(-LN(2)/2))/(LN(2)/2)*AQ170*AT170*VLOOKUP('Données projet'!$B$10,Paramètres!$A$1:$I$89,3,0)*0.475*44/12</f>
        <v>7.869044580301194E-11</v>
      </c>
      <c r="AX170" s="23">
        <f t="shared" si="166"/>
        <v>46.772222356692112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-5.6843418860808015E-13</v>
      </c>
      <c r="BE170" s="14">
        <f>BD170*VLOOKUP('Données projet'!$B$11,Paramètres!$A$1:$I$89,3,0)*VLOOKUP('Données projet'!$B$11,Paramètres!$A$1:$I$89,5,0)</f>
        <v>-3.39923644787632E-13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361.81625684745416</v>
      </c>
      <c r="BJ170" s="62">
        <f t="shared" si="146"/>
        <v>302.25424592654684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45.979311100125173</v>
      </c>
      <c r="BQ170" s="23">
        <f>EXP(-LN(2)/25)*BQ169+(1-EXP(-LN(2)/25))/(LN(2)/25)*Calculateur!BL170*Calculateur!BN170*VLOOKUP('Données projet'!$B$11,Paramètres!$A$1:$I$89,3,0)*0.475*44/12</f>
        <v>2.1234503479191806</v>
      </c>
      <c r="BR170" s="23">
        <f>EXP(-LN(2)/2)*BR169+(1-EXP(-LN(2)/2))/(LN(2)/2)*BL170*BO170*VLOOKUP('Données projet'!$B$11,Paramètres!$A$1:$I$89,3,0)*0.475*44/12</f>
        <v>3.6705614191414649E-13</v>
      </c>
      <c r="BS170" s="24">
        <f t="shared" si="169"/>
        <v>48.102761448044724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-1.1368683772161603E-12</v>
      </c>
      <c r="O171" s="14">
        <f>N171*VLOOKUP('Données projet'!$B$9,Paramètres!$A$1:$I$89,3,0)*VLOOKUP('Données projet'!$B$9,Paramètres!$A$1:$I$89,5,0)</f>
        <v>-6.3550942286383359E-13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500.52921520843432</v>
      </c>
      <c r="T171" s="62">
        <f t="shared" si="142"/>
        <v>430.43167430170087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75.714107517428829</v>
      </c>
      <c r="AA171" s="23">
        <f>EXP(-LN(2)/25)*AA170+(1-EXP(-LN(2)/25))/(LN(2)/25)*Calculateur!V171*Calculateur!X171*VLOOKUP('Données projet'!$B$9,Paramètres!$A$1:$I$89,3,0)*0.475*44/12</f>
        <v>3.7847244926536634</v>
      </c>
      <c r="AB171" s="23">
        <f>EXP(-LN(2)/2)*AB170+(1-EXP(-LN(2)/2))/(LN(2)/2)*V171*Y171*VLOOKUP('Données projet'!$B$9,Paramètres!$A$1:$I$89,3,0)*0.475*44/12</f>
        <v>1.2875362562794635E-12</v>
      </c>
      <c r="AC171" s="24">
        <f t="shared" si="163"/>
        <v>79.498832010083788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265.57412766850422</v>
      </c>
      <c r="AO171" s="62">
        <f t="shared" si="144"/>
        <v>179.39213799913273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41.826792741535392</v>
      </c>
      <c r="AV171" s="23">
        <f>EXP(-LN(2)/25)*AV170+(1-EXP(-LN(2)/25))/(LN(2)/25)*Calculateur!AQ171*Calculateur!AS171*VLOOKUP('Données projet'!$B$10,Paramètres!$A$1:$I$89,3,0)*0.475*44/12</f>
        <v>3.996470368154001</v>
      </c>
      <c r="AW171" s="23">
        <f>EXP(-LN(2)/2)*AW170+(1-EXP(-LN(2)/2))/(LN(2)/2)*AQ171*AT171*VLOOKUP('Données projet'!$B$10,Paramètres!$A$1:$I$89,3,0)*0.475*44/12</f>
        <v>5.5642547841902241E-11</v>
      </c>
      <c r="AX171" s="23">
        <f t="shared" si="166"/>
        <v>45.823263109745035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-5.6843418860808015E-13</v>
      </c>
      <c r="BE171" s="14">
        <f>BD171*VLOOKUP('Données projet'!$B$11,Paramètres!$A$1:$I$89,3,0)*VLOOKUP('Données projet'!$B$11,Paramètres!$A$1:$I$89,5,0)</f>
        <v>-3.39923644787632E-13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361.81625684745416</v>
      </c>
      <c r="BJ171" s="62">
        <f t="shared" si="146"/>
        <v>302.25424592654684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45.077684854062312</v>
      </c>
      <c r="BQ171" s="23">
        <f>EXP(-LN(2)/25)*BQ170+(1-EXP(-LN(2)/25))/(LN(2)/25)*Calculateur!BL171*Calculateur!BN171*VLOOKUP('Données projet'!$B$11,Paramètres!$A$1:$I$89,3,0)*0.475*44/12</f>
        <v>2.0653844864879303</v>
      </c>
      <c r="BR171" s="23">
        <f>EXP(-LN(2)/2)*BR170+(1-EXP(-LN(2)/2))/(LN(2)/2)*BL171*BO171*VLOOKUP('Données projet'!$B$11,Paramètres!$A$1:$I$89,3,0)*0.475*44/12</f>
        <v>2.5954788702366471E-13</v>
      </c>
      <c r="BS171" s="24">
        <f t="shared" si="169"/>
        <v>47.143069340550504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-1.1368683772161603E-12</v>
      </c>
      <c r="O172" s="14">
        <f>N172*VLOOKUP('Données projet'!$B$9,Paramètres!$A$1:$I$89,3,0)*VLOOKUP('Données projet'!$B$9,Paramètres!$A$1:$I$89,5,0)</f>
        <v>-6.3550942286383359E-13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500.52921520843432</v>
      </c>
      <c r="T172" s="62">
        <f t="shared" si="142"/>
        <v>430.43167430170087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74.229400050057635</v>
      </c>
      <c r="AA172" s="23">
        <f>EXP(-LN(2)/25)*AA171+(1-EXP(-LN(2)/25))/(LN(2)/25)*Calculateur!V172*Calculateur!X172*VLOOKUP('Données projet'!$B$9,Paramètres!$A$1:$I$89,3,0)*0.475*44/12</f>
        <v>3.681231002372038</v>
      </c>
      <c r="AB172" s="23">
        <f>EXP(-LN(2)/2)*AB171+(1-EXP(-LN(2)/2))/(LN(2)/2)*V172*Y172*VLOOKUP('Données projet'!$B$9,Paramètres!$A$1:$I$89,3,0)*0.475*44/12</f>
        <v>9.1042561783874916E-13</v>
      </c>
      <c r="AC172" s="24">
        <f t="shared" si="163"/>
        <v>77.910631052430588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265.57412766850422</v>
      </c>
      <c r="AO172" s="62">
        <f t="shared" si="144"/>
        <v>179.39213799913273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41.006594847698373</v>
      </c>
      <c r="AV172" s="23">
        <f>EXP(-LN(2)/25)*AV171+(1-EXP(-LN(2)/25))/(LN(2)/25)*Calculateur!AQ172*Calculateur!AS172*VLOOKUP('Données projet'!$B$10,Paramètres!$A$1:$I$89,3,0)*0.475*44/12</f>
        <v>3.8871866757715874</v>
      </c>
      <c r="AW172" s="23">
        <f>EXP(-LN(2)/2)*AW171+(1-EXP(-LN(2)/2))/(LN(2)/2)*AQ172*AT172*VLOOKUP('Données projet'!$B$10,Paramètres!$A$1:$I$89,3,0)*0.475*44/12</f>
        <v>3.934522290150597E-11</v>
      </c>
      <c r="AX172" s="23">
        <f t="shared" si="166"/>
        <v>44.893781523509304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-5.6843418860808015E-13</v>
      </c>
      <c r="BE172" s="14">
        <f>BD172*VLOOKUP('Données projet'!$B$11,Paramètres!$A$1:$I$89,3,0)*VLOOKUP('Données projet'!$B$11,Paramètres!$A$1:$I$89,5,0)</f>
        <v>-3.39923644787632E-13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361.81625684745416</v>
      </c>
      <c r="BJ172" s="62">
        <f t="shared" si="146"/>
        <v>302.25424592654684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44.19373894874704</v>
      </c>
      <c r="BQ172" s="23">
        <f>EXP(-LN(2)/25)*BQ171+(1-EXP(-LN(2)/25))/(LN(2)/25)*Calculateur!BL172*Calculateur!BN172*VLOOKUP('Données projet'!$B$11,Paramètres!$A$1:$I$89,3,0)*0.475*44/12</f>
        <v>2.008906439091068</v>
      </c>
      <c r="BR172" s="23">
        <f>EXP(-LN(2)/2)*BR171+(1-EXP(-LN(2)/2))/(LN(2)/2)*BL172*BO172*VLOOKUP('Données projet'!$B$11,Paramètres!$A$1:$I$89,3,0)*0.475*44/12</f>
        <v>1.8352807095707325E-13</v>
      </c>
      <c r="BS172" s="24">
        <f t="shared" si="169"/>
        <v>46.202645387838295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-1.1368683772161603E-12</v>
      </c>
      <c r="O173" s="14">
        <f>N173*VLOOKUP('Données projet'!$B$9,Paramètres!$A$1:$I$89,3,0)*VLOOKUP('Données projet'!$B$9,Paramètres!$A$1:$I$89,5,0)</f>
        <v>-6.3550942286383359E-13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500.52921520843432</v>
      </c>
      <c r="T173" s="62">
        <f t="shared" si="142"/>
        <v>430.43167430170087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72.773806790539453</v>
      </c>
      <c r="AA173" s="23">
        <f>EXP(-LN(2)/25)*AA172+(1-EXP(-LN(2)/25))/(LN(2)/25)*Calculateur!V173*Calculateur!X173*VLOOKUP('Données projet'!$B$9,Paramètres!$A$1:$I$89,3,0)*0.475*44/12</f>
        <v>3.5805675470246499</v>
      </c>
      <c r="AB173" s="23">
        <f>EXP(-LN(2)/2)*AB172+(1-EXP(-LN(2)/2))/(LN(2)/2)*V173*Y173*VLOOKUP('Données projet'!$B$9,Paramètres!$A$1:$I$89,3,0)*0.475*44/12</f>
        <v>6.4376812813973175E-13</v>
      </c>
      <c r="AC173" s="24">
        <f t="shared" si="163"/>
        <v>76.354374337564749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265.57412766850422</v>
      </c>
      <c r="AO173" s="62">
        <f t="shared" si="144"/>
        <v>179.39213799913273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40.202480534288178</v>
      </c>
      <c r="AV173" s="23">
        <f>EXP(-LN(2)/25)*AV172+(1-EXP(-LN(2)/25))/(LN(2)/25)*Calculateur!AQ173*Calculateur!AS173*VLOOKUP('Données projet'!$B$10,Paramètres!$A$1:$I$89,3,0)*0.475*44/12</f>
        <v>3.7808913517043505</v>
      </c>
      <c r="AW173" s="23">
        <f>EXP(-LN(2)/2)*AW172+(1-EXP(-LN(2)/2))/(LN(2)/2)*AQ173*AT173*VLOOKUP('Données projet'!$B$10,Paramètres!$A$1:$I$89,3,0)*0.475*44/12</f>
        <v>2.7821273920951121E-11</v>
      </c>
      <c r="AX173" s="23">
        <f t="shared" si="166"/>
        <v>43.983371886020343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-5.6843418860808015E-13</v>
      </c>
      <c r="BE173" s="14">
        <f>BD173*VLOOKUP('Données projet'!$B$11,Paramètres!$A$1:$I$89,3,0)*VLOOKUP('Données projet'!$B$11,Paramètres!$A$1:$I$89,5,0)</f>
        <v>-3.39923644787632E-13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361.81625684745416</v>
      </c>
      <c r="BJ173" s="62">
        <f t="shared" si="146"/>
        <v>302.25424592654684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43.327126683481232</v>
      </c>
      <c r="BQ173" s="23">
        <f>EXP(-LN(2)/25)*BQ172+(1-EXP(-LN(2)/25))/(LN(2)/25)*Calculateur!BL173*Calculateur!BN173*VLOOKUP('Données projet'!$B$11,Paramètres!$A$1:$I$89,3,0)*0.475*44/12</f>
        <v>1.9539727868703245</v>
      </c>
      <c r="BR173" s="23">
        <f>EXP(-LN(2)/2)*BR172+(1-EXP(-LN(2)/2))/(LN(2)/2)*BL173*BO173*VLOOKUP('Données projet'!$B$11,Paramètres!$A$1:$I$89,3,0)*0.475*44/12</f>
        <v>1.2977394351183236E-13</v>
      </c>
      <c r="BS173" s="24">
        <f t="shared" si="169"/>
        <v>45.281099470351684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-1.1368683772161603E-12</v>
      </c>
      <c r="O174" s="14">
        <f>N174*VLOOKUP('Données projet'!$B$9,Paramètres!$A$1:$I$89,3,0)*VLOOKUP('Données projet'!$B$9,Paramètres!$A$1:$I$89,5,0)</f>
        <v>-6.3550942286383359E-13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500.52921520843432</v>
      </c>
      <c r="T174" s="62">
        <f t="shared" si="142"/>
        <v>430.43167430170087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71.346756827016208</v>
      </c>
      <c r="AA174" s="23">
        <f>EXP(-LN(2)/25)*AA173+(1-EXP(-LN(2)/25))/(LN(2)/25)*Calculateur!V174*Calculateur!X174*VLOOKUP('Données projet'!$B$9,Paramètres!$A$1:$I$89,3,0)*0.475*44/12</f>
        <v>3.482656739157397</v>
      </c>
      <c r="AB174" s="23">
        <f>EXP(-LN(2)/2)*AB173+(1-EXP(-LN(2)/2))/(LN(2)/2)*V174*Y174*VLOOKUP('Données projet'!$B$9,Paramètres!$A$1:$I$89,3,0)*0.475*44/12</f>
        <v>4.5521280891937458E-13</v>
      </c>
      <c r="AC174" s="24">
        <f t="shared" si="163"/>
        <v>74.829413566174054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265.57412766850422</v>
      </c>
      <c r="AO174" s="62">
        <f t="shared" si="144"/>
        <v>179.39213799913273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39.414134412102655</v>
      </c>
      <c r="AV174" s="23">
        <f>EXP(-LN(2)/25)*AV173+(1-EXP(-LN(2)/25))/(LN(2)/25)*Calculateur!AQ174*Calculateur!AS174*VLOOKUP('Données projet'!$B$10,Paramètres!$A$1:$I$89,3,0)*0.475*44/12</f>
        <v>3.6775026788635601</v>
      </c>
      <c r="AW174" s="23">
        <f>EXP(-LN(2)/2)*AW173+(1-EXP(-LN(2)/2))/(LN(2)/2)*AQ174*AT174*VLOOKUP('Données projet'!$B$10,Paramètres!$A$1:$I$89,3,0)*0.475*44/12</f>
        <v>1.9672611450752985E-11</v>
      </c>
      <c r="AX174" s="23">
        <f t="shared" si="166"/>
        <v>43.091637090985891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-5.6843418860808015E-13</v>
      </c>
      <c r="BE174" s="14">
        <f>BD174*VLOOKUP('Données projet'!$B$11,Paramètres!$A$1:$I$89,3,0)*VLOOKUP('Données projet'!$B$11,Paramètres!$A$1:$I$89,5,0)</f>
        <v>-3.39923644787632E-13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361.81625684745416</v>
      </c>
      <c r="BJ174" s="62">
        <f t="shared" si="146"/>
        <v>302.25424592654684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42.477508156155999</v>
      </c>
      <c r="BQ174" s="23">
        <f>EXP(-LN(2)/25)*BQ173+(1-EXP(-LN(2)/25))/(LN(2)/25)*Calculateur!BL174*Calculateur!BN174*VLOOKUP('Données projet'!$B$11,Paramètres!$A$1:$I$89,3,0)*0.475*44/12</f>
        <v>1.9005412982583925</v>
      </c>
      <c r="BR174" s="23">
        <f>EXP(-LN(2)/2)*BR173+(1-EXP(-LN(2)/2))/(LN(2)/2)*BL174*BO174*VLOOKUP('Données projet'!$B$11,Paramètres!$A$1:$I$89,3,0)*0.475*44/12</f>
        <v>9.1764035478536623E-14</v>
      </c>
      <c r="BS174" s="24">
        <f t="shared" si="169"/>
        <v>44.37804945441448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-1.1368683772161603E-12</v>
      </c>
      <c r="O175" s="14">
        <f>N175*VLOOKUP('Données projet'!$B$9,Paramètres!$A$1:$I$89,3,0)*VLOOKUP('Données projet'!$B$9,Paramètres!$A$1:$I$89,5,0)</f>
        <v>-6.3550942286383359E-13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500.52921520843432</v>
      </c>
      <c r="T175" s="62">
        <f t="shared" si="142"/>
        <v>430.43167430170087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69.94769044286312</v>
      </c>
      <c r="AA175" s="23">
        <f>EXP(-LN(2)/25)*AA174+(1-EXP(-LN(2)/25))/(LN(2)/25)*Calculateur!V175*Calculateur!X175*VLOOKUP('Données projet'!$B$9,Paramètres!$A$1:$I$89,3,0)*0.475*44/12</f>
        <v>3.3874233074801796</v>
      </c>
      <c r="AB175" s="23">
        <f>EXP(-LN(2)/2)*AB174+(1-EXP(-LN(2)/2))/(LN(2)/2)*V175*Y175*VLOOKUP('Données projet'!$B$9,Paramètres!$A$1:$I$89,3,0)*0.475*44/12</f>
        <v>3.2188406406986588E-13</v>
      </c>
      <c r="AC175" s="24">
        <f t="shared" si="163"/>
        <v>73.335113750343623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265.57412766850422</v>
      </c>
      <c r="AO175" s="62">
        <f t="shared" si="144"/>
        <v>179.39213799913273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38.641247276529533</v>
      </c>
      <c r="AV175" s="23">
        <f>EXP(-LN(2)/25)*AV174+(1-EXP(-LN(2)/25))/(LN(2)/25)*Calculateur!AQ175*Calculateur!AS175*VLOOKUP('Données projet'!$B$10,Paramètres!$A$1:$I$89,3,0)*0.475*44/12</f>
        <v>3.5769411747185753</v>
      </c>
      <c r="AW175" s="23">
        <f>EXP(-LN(2)/2)*AW174+(1-EXP(-LN(2)/2))/(LN(2)/2)*AQ175*AT175*VLOOKUP('Données projet'!$B$10,Paramètres!$A$1:$I$89,3,0)*0.475*44/12</f>
        <v>1.391063696047556E-11</v>
      </c>
      <c r="AX175" s="23">
        <f t="shared" si="166"/>
        <v>42.218188451262023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-5.6843418860808015E-13</v>
      </c>
      <c r="BE175" s="14">
        <f>BD175*VLOOKUP('Données projet'!$B$11,Paramètres!$A$1:$I$89,3,0)*VLOOKUP('Données projet'!$B$11,Paramètres!$A$1:$I$89,5,0)</f>
        <v>-3.39923644787632E-13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361.81625684745416</v>
      </c>
      <c r="BJ175" s="62">
        <f t="shared" si="146"/>
        <v>302.25424592654684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41.644550129935482</v>
      </c>
      <c r="BQ175" s="23">
        <f>EXP(-LN(2)/25)*BQ174+(1-EXP(-LN(2)/25))/(LN(2)/25)*Calculateur!BL175*Calculateur!BN175*VLOOKUP('Données projet'!$B$11,Paramètres!$A$1:$I$89,3,0)*0.475*44/12</f>
        <v>1.8485708965123937</v>
      </c>
      <c r="BR175" s="23">
        <f>EXP(-LN(2)/2)*BR174+(1-EXP(-LN(2)/2))/(LN(2)/2)*BL175*BO175*VLOOKUP('Données projet'!$B$11,Paramètres!$A$1:$I$89,3,0)*0.475*44/12</f>
        <v>6.4886971755916179E-14</v>
      </c>
      <c r="BS175" s="24">
        <f t="shared" si="169"/>
        <v>43.493121026447938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-1.1368683772161603E-12</v>
      </c>
      <c r="O176" s="14">
        <f>N176*VLOOKUP('Données projet'!$B$9,Paramètres!$A$1:$I$89,3,0)*VLOOKUP('Données projet'!$B$9,Paramètres!$A$1:$I$89,5,0)</f>
        <v>-6.3550942286383359E-13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500.52921520843432</v>
      </c>
      <c r="T176" s="62">
        <f t="shared" si="142"/>
        <v>430.43167430170087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68.57605889715704</v>
      </c>
      <c r="AA176" s="23">
        <f>EXP(-LN(2)/25)*AA175+(1-EXP(-LN(2)/25))/(LN(2)/25)*Calculateur!V176*Calculateur!X176*VLOOKUP('Données projet'!$B$9,Paramètres!$A$1:$I$89,3,0)*0.475*44/12</f>
        <v>3.2947940390002843</v>
      </c>
      <c r="AB176" s="23">
        <f>EXP(-LN(2)/2)*AB175+(1-EXP(-LN(2)/2))/(LN(2)/2)*V176*Y176*VLOOKUP('Données projet'!$B$9,Paramètres!$A$1:$I$89,3,0)*0.475*44/12</f>
        <v>2.2760640445968729E-13</v>
      </c>
      <c r="AC176" s="24">
        <f t="shared" si="163"/>
        <v>71.870852936157547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265.57412766850422</v>
      </c>
      <c r="AO176" s="62">
        <f t="shared" si="144"/>
        <v>179.39213799913273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37.883515986270396</v>
      </c>
      <c r="AV176" s="23">
        <f>EXP(-LN(2)/25)*AV175+(1-EXP(-LN(2)/25))/(LN(2)/25)*Calculateur!AQ176*Calculateur!AS176*VLOOKUP('Données projet'!$B$10,Paramètres!$A$1:$I$89,3,0)*0.475*44/12</f>
        <v>3.4791295301927345</v>
      </c>
      <c r="AW176" s="23">
        <f>EXP(-LN(2)/2)*AW175+(1-EXP(-LN(2)/2))/(LN(2)/2)*AQ176*AT176*VLOOKUP('Données projet'!$B$10,Paramètres!$A$1:$I$89,3,0)*0.475*44/12</f>
        <v>9.8363057253764925E-12</v>
      </c>
      <c r="AX176" s="23">
        <f t="shared" si="166"/>
        <v>41.362645516472966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-5.6843418860808015E-13</v>
      </c>
      <c r="BE176" s="14">
        <f>BD176*VLOOKUP('Données projet'!$B$11,Paramètres!$A$1:$I$89,3,0)*VLOOKUP('Données projet'!$B$11,Paramètres!$A$1:$I$89,5,0)</f>
        <v>-3.39923644787632E-13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361.81625684745416</v>
      </c>
      <c r="BJ176" s="62">
        <f t="shared" si="146"/>
        <v>302.25424592654684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40.827925902554917</v>
      </c>
      <c r="BQ176" s="23">
        <f>EXP(-LN(2)/25)*BQ175+(1-EXP(-LN(2)/25))/(LN(2)/25)*Calculateur!BL176*Calculateur!BN176*VLOOKUP('Données projet'!$B$11,Paramètres!$A$1:$I$89,3,0)*0.475*44/12</f>
        <v>1.7980216281351438</v>
      </c>
      <c r="BR176" s="23">
        <f>EXP(-LN(2)/2)*BR175+(1-EXP(-LN(2)/2))/(LN(2)/2)*BL176*BO176*VLOOKUP('Données projet'!$B$11,Paramètres!$A$1:$I$89,3,0)*0.475*44/12</f>
        <v>4.5882017739268311E-14</v>
      </c>
      <c r="BS176" s="24">
        <f t="shared" si="169"/>
        <v>42.625947530690105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-1.1368683772161603E-12</v>
      </c>
      <c r="O177" s="14">
        <f>N177*VLOOKUP('Données projet'!$B$9,Paramètres!$A$1:$I$89,3,0)*VLOOKUP('Données projet'!$B$9,Paramètres!$A$1:$I$89,5,0)</f>
        <v>-6.3550942286383359E-13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500.52921520843432</v>
      </c>
      <c r="T177" s="62">
        <f t="shared" si="142"/>
        <v>430.43167430170087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67.231324209449625</v>
      </c>
      <c r="AA177" s="23">
        <f>EXP(-LN(2)/25)*AA176+(1-EXP(-LN(2)/25))/(LN(2)/25)*Calculateur!V177*Calculateur!X177*VLOOKUP('Données projet'!$B$9,Paramètres!$A$1:$I$89,3,0)*0.475*44/12</f>
        <v>3.2046977227381332</v>
      </c>
      <c r="AB177" s="23">
        <f>EXP(-LN(2)/2)*AB176+(1-EXP(-LN(2)/2))/(LN(2)/2)*V177*Y177*VLOOKUP('Données projet'!$B$9,Paramètres!$A$1:$I$89,3,0)*0.475*44/12</f>
        <v>1.6094203203493294E-13</v>
      </c>
      <c r="AC177" s="24">
        <f t="shared" si="163"/>
        <v>70.436021932187913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265.57412766850422</v>
      </c>
      <c r="AO177" s="62">
        <f t="shared" si="144"/>
        <v>179.39213799913273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37.140643344442793</v>
      </c>
      <c r="AV177" s="23">
        <f>EXP(-LN(2)/25)*AV176+(1-EXP(-LN(2)/25))/(LN(2)/25)*Calculateur!AQ177*Calculateur!AS177*VLOOKUP('Données projet'!$B$10,Paramètres!$A$1:$I$89,3,0)*0.475*44/12</f>
        <v>3.3839925502301438</v>
      </c>
      <c r="AW177" s="23">
        <f>EXP(-LN(2)/2)*AW176+(1-EXP(-LN(2)/2))/(LN(2)/2)*AQ177*AT177*VLOOKUP('Données projet'!$B$10,Paramètres!$A$1:$I$89,3,0)*0.475*44/12</f>
        <v>6.9553184802377802E-12</v>
      </c>
      <c r="AX177" s="23">
        <f t="shared" si="166"/>
        <v>40.524635894679896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-5.6843418860808015E-13</v>
      </c>
      <c r="BE177" s="14">
        <f>BD177*VLOOKUP('Données projet'!$B$11,Paramètres!$A$1:$I$89,3,0)*VLOOKUP('Données projet'!$B$11,Paramètres!$A$1:$I$89,5,0)</f>
        <v>-3.39923644787632E-13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361.81625684745416</v>
      </c>
      <c r="BJ177" s="62">
        <f t="shared" si="146"/>
        <v>302.25424592654684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40.027315178181688</v>
      </c>
      <c r="BQ177" s="23">
        <f>EXP(-LN(2)/25)*BQ176+(1-EXP(-LN(2)/25))/(LN(2)/25)*Calculateur!BL177*Calculateur!BN177*VLOOKUP('Données projet'!$B$11,Paramètres!$A$1:$I$89,3,0)*0.475*44/12</f>
        <v>1.7488546321599403</v>
      </c>
      <c r="BR177" s="23">
        <f>EXP(-LN(2)/2)*BR176+(1-EXP(-LN(2)/2))/(LN(2)/2)*BL177*BO177*VLOOKUP('Données projet'!$B$11,Paramètres!$A$1:$I$89,3,0)*0.475*44/12</f>
        <v>3.2443485877958089E-14</v>
      </c>
      <c r="BS177" s="24">
        <f t="shared" si="169"/>
        <v>41.776169810341663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-1.1368683772161603E-12</v>
      </c>
      <c r="O178" s="14">
        <f>N178*VLOOKUP('Données projet'!$B$9,Paramètres!$A$1:$I$89,3,0)*VLOOKUP('Données projet'!$B$9,Paramètres!$A$1:$I$89,5,0)</f>
        <v>-6.3550942286383359E-13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500.52921520843432</v>
      </c>
      <c r="T178" s="62">
        <f t="shared" si="142"/>
        <v>430.43167430170087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65.912958948760973</v>
      </c>
      <c r="AA178" s="23">
        <f>EXP(-LN(2)/25)*AA177+(1-EXP(-LN(2)/25))/(LN(2)/25)*Calculateur!V178*Calculateur!X178*VLOOKUP('Données projet'!$B$9,Paramètres!$A$1:$I$89,3,0)*0.475*44/12</f>
        <v>3.1170650949821304</v>
      </c>
      <c r="AB178" s="23">
        <f>EXP(-LN(2)/2)*AB177+(1-EXP(-LN(2)/2))/(LN(2)/2)*V178*Y178*VLOOKUP('Données projet'!$B$9,Paramètres!$A$1:$I$89,3,0)*0.475*44/12</f>
        <v>1.1380320222984365E-13</v>
      </c>
      <c r="AC178" s="24">
        <f t="shared" si="163"/>
        <v>69.030024043743211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265.57412766850422</v>
      </c>
      <c r="AO178" s="62">
        <f t="shared" si="144"/>
        <v>179.39213799913273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36.41233798201386</v>
      </c>
      <c r="AV178" s="23">
        <f>EXP(-LN(2)/25)*AV177+(1-EXP(-LN(2)/25))/(LN(2)/25)*Calculateur!AQ178*Calculateur!AS178*VLOOKUP('Données projet'!$B$10,Paramètres!$A$1:$I$89,3,0)*0.475*44/12</f>
        <v>3.2914570959876666</v>
      </c>
      <c r="AW178" s="23">
        <f>EXP(-LN(2)/2)*AW177+(1-EXP(-LN(2)/2))/(LN(2)/2)*AQ178*AT178*VLOOKUP('Données projet'!$B$10,Paramètres!$A$1:$I$89,3,0)*0.475*44/12</f>
        <v>4.9181528626882462E-12</v>
      </c>
      <c r="AX178" s="23">
        <f t="shared" si="166"/>
        <v>39.703795078006443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-5.6843418860808015E-13</v>
      </c>
      <c r="BE178" s="14">
        <f>BD178*VLOOKUP('Données projet'!$B$11,Paramètres!$A$1:$I$89,3,0)*VLOOKUP('Données projet'!$B$11,Paramètres!$A$1:$I$89,5,0)</f>
        <v>-3.39923644787632E-13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361.81625684745416</v>
      </c>
      <c r="BJ178" s="62">
        <f t="shared" si="146"/>
        <v>302.25424592654684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39.2424039417891</v>
      </c>
      <c r="BQ178" s="23">
        <f>EXP(-LN(2)/25)*BQ177+(1-EXP(-LN(2)/25))/(LN(2)/25)*Calculateur!BL178*Calculateur!BN178*VLOOKUP('Données projet'!$B$11,Paramètres!$A$1:$I$89,3,0)*0.475*44/12</f>
        <v>1.7010321102752588</v>
      </c>
      <c r="BR178" s="23">
        <f>EXP(-LN(2)/2)*BR177+(1-EXP(-LN(2)/2))/(LN(2)/2)*BL178*BO178*VLOOKUP('Données projet'!$B$11,Paramètres!$A$1:$I$89,3,0)*0.475*44/12</f>
        <v>2.2941008869634156E-14</v>
      </c>
      <c r="BS178" s="24">
        <f t="shared" si="169"/>
        <v>40.943436052064378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-1.1368683772161603E-12</v>
      </c>
      <c r="O179" s="14">
        <f>N179*VLOOKUP('Données projet'!$B$9,Paramètres!$A$1:$I$89,3,0)*VLOOKUP('Données projet'!$B$9,Paramètres!$A$1:$I$89,5,0)</f>
        <v>-6.3550942286383359E-13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500.52921520843432</v>
      </c>
      <c r="T179" s="62">
        <f t="shared" si="142"/>
        <v>430.43167430170087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64.620446026711022</v>
      </c>
      <c r="AA179" s="23">
        <f>EXP(-LN(2)/25)*AA178+(1-EXP(-LN(2)/25))/(LN(2)/25)*Calculateur!V179*Calculateur!X179*VLOOKUP('Données projet'!$B$9,Paramètres!$A$1:$I$89,3,0)*0.475*44/12</f>
        <v>3.0318287860405149</v>
      </c>
      <c r="AB179" s="23">
        <f>EXP(-LN(2)/2)*AB178+(1-EXP(-LN(2)/2))/(LN(2)/2)*V179*Y179*VLOOKUP('Données projet'!$B$9,Paramètres!$A$1:$I$89,3,0)*0.475*44/12</f>
        <v>8.0471016017466469E-14</v>
      </c>
      <c r="AC179" s="24">
        <f t="shared" si="163"/>
        <v>67.652274812751628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265.57412766850422</v>
      </c>
      <c r="AO179" s="62">
        <f t="shared" si="144"/>
        <v>179.39213799913273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35.698314243519746</v>
      </c>
      <c r="AV179" s="23">
        <f>EXP(-LN(2)/25)*AV178+(1-EXP(-LN(2)/25))/(LN(2)/25)*Calculateur!AQ179*Calculateur!AS179*VLOOKUP('Données projet'!$B$10,Paramètres!$A$1:$I$89,3,0)*0.475*44/12</f>
        <v>3.2014520286076777</v>
      </c>
      <c r="AW179" s="23">
        <f>EXP(-LN(2)/2)*AW178+(1-EXP(-LN(2)/2))/(LN(2)/2)*AQ179*AT179*VLOOKUP('Données projet'!$B$10,Paramètres!$A$1:$I$89,3,0)*0.475*44/12</f>
        <v>3.4776592401188901E-12</v>
      </c>
      <c r="AX179" s="23">
        <f t="shared" si="166"/>
        <v>38.899766272130897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-5.6843418860808015E-13</v>
      </c>
      <c r="BE179" s="14">
        <f>BD179*VLOOKUP('Données projet'!$B$11,Paramètres!$A$1:$I$89,3,0)*VLOOKUP('Données projet'!$B$11,Paramètres!$A$1:$I$89,5,0)</f>
        <v>-3.39923644787632E-13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361.81625684745416</v>
      </c>
      <c r="BJ179" s="62">
        <f t="shared" si="146"/>
        <v>302.25424592654684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38.472884335993584</v>
      </c>
      <c r="BQ179" s="23">
        <f>EXP(-LN(2)/25)*BQ178+(1-EXP(-LN(2)/25))/(LN(2)/25)*Calculateur!BL179*Calculateur!BN179*VLOOKUP('Données projet'!$B$11,Paramètres!$A$1:$I$89,3,0)*0.475*44/12</f>
        <v>1.6545172977663909</v>
      </c>
      <c r="BR179" s="23">
        <f>EXP(-LN(2)/2)*BR178+(1-EXP(-LN(2)/2))/(LN(2)/2)*BL179*BO179*VLOOKUP('Données projet'!$B$11,Paramètres!$A$1:$I$89,3,0)*0.475*44/12</f>
        <v>1.6221742938979045E-14</v>
      </c>
      <c r="BS179" s="24">
        <f t="shared" si="169"/>
        <v>40.127401633759987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-1.1368683772161603E-12</v>
      </c>
      <c r="O180" s="14">
        <f>N180*VLOOKUP('Données projet'!$B$9,Paramètres!$A$1:$I$89,3,0)*VLOOKUP('Données projet'!$B$9,Paramètres!$A$1:$I$89,5,0)</f>
        <v>-6.3550942286383359E-13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500.52921520843432</v>
      </c>
      <c r="T180" s="62">
        <f t="shared" si="142"/>
        <v>430.43167430170087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63.353278494707432</v>
      </c>
      <c r="AA180" s="23">
        <f>EXP(-LN(2)/25)*AA179+(1-EXP(-LN(2)/25))/(LN(2)/25)*Calculateur!V180*Calculateur!X180*VLOOKUP('Données projet'!$B$9,Paramètres!$A$1:$I$89,3,0)*0.475*44/12</f>
        <v>2.9489232684492905</v>
      </c>
      <c r="AB180" s="23">
        <f>EXP(-LN(2)/2)*AB179+(1-EXP(-LN(2)/2))/(LN(2)/2)*V180*Y180*VLOOKUP('Données projet'!$B$9,Paramètres!$A$1:$I$89,3,0)*0.475*44/12</f>
        <v>5.6901601114921823E-14</v>
      </c>
      <c r="AC180" s="24">
        <f t="shared" si="163"/>
        <v>66.302201763156773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265.57412766850422</v>
      </c>
      <c r="AO180" s="62">
        <f t="shared" si="144"/>
        <v>179.39213799913273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34.998292075026029</v>
      </c>
      <c r="AV180" s="23">
        <f>EXP(-LN(2)/25)*AV179+(1-EXP(-LN(2)/25))/(LN(2)/25)*Calculateur!AQ180*Calculateur!AS180*VLOOKUP('Données projet'!$B$10,Paramètres!$A$1:$I$89,3,0)*0.475*44/12</f>
        <v>3.1139081545283558</v>
      </c>
      <c r="AW180" s="23">
        <f>EXP(-LN(2)/2)*AW179+(1-EXP(-LN(2)/2))/(LN(2)/2)*AQ180*AT180*VLOOKUP('Données projet'!$B$10,Paramètres!$A$1:$I$89,3,0)*0.475*44/12</f>
        <v>2.4590764313441231E-12</v>
      </c>
      <c r="AX180" s="23">
        <f t="shared" si="166"/>
        <v>38.112200229556841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-5.6843418860808015E-13</v>
      </c>
      <c r="BE180" s="14">
        <f>BD180*VLOOKUP('Données projet'!$B$11,Paramètres!$A$1:$I$89,3,0)*VLOOKUP('Données projet'!$B$11,Paramètres!$A$1:$I$89,5,0)</f>
        <v>-3.39923644787632E-13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361.81625684745416</v>
      </c>
      <c r="BJ180" s="62">
        <f t="shared" si="146"/>
        <v>302.25424592654684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37.718454540307107</v>
      </c>
      <c r="BQ180" s="23">
        <f>EXP(-LN(2)/25)*BQ179+(1-EXP(-LN(2)/25))/(LN(2)/25)*Calculateur!BL180*Calculateur!BN180*VLOOKUP('Données projet'!$B$11,Paramètres!$A$1:$I$89,3,0)*0.475*44/12</f>
        <v>1.6092744352516857</v>
      </c>
      <c r="BR180" s="23">
        <f>EXP(-LN(2)/2)*BR179+(1-EXP(-LN(2)/2))/(LN(2)/2)*BL180*BO180*VLOOKUP('Données projet'!$B$11,Paramètres!$A$1:$I$89,3,0)*0.475*44/12</f>
        <v>1.1470504434817078E-14</v>
      </c>
      <c r="BS180" s="24">
        <f t="shared" si="169"/>
        <v>39.327728975558806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-1.1368683772161603E-12</v>
      </c>
      <c r="O181" s="14">
        <f>N181*VLOOKUP('Données projet'!$B$9,Paramètres!$A$1:$I$89,3,0)*VLOOKUP('Données projet'!$B$9,Paramètres!$A$1:$I$89,5,0)</f>
        <v>-6.3550942286383359E-13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500.52921520843432</v>
      </c>
      <c r="T181" s="62">
        <f t="shared" si="142"/>
        <v>430.43167430170087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62.110959345110551</v>
      </c>
      <c r="AA181" s="23">
        <f>EXP(-LN(2)/25)*AA180+(1-EXP(-LN(2)/25))/(LN(2)/25)*Calculateur!V181*Calculateur!X181*VLOOKUP('Données projet'!$B$9,Paramètres!$A$1:$I$89,3,0)*0.475*44/12</f>
        <v>2.8682848065964097</v>
      </c>
      <c r="AB181" s="23">
        <f>EXP(-LN(2)/2)*AB180+(1-EXP(-LN(2)/2))/(LN(2)/2)*V181*Y181*VLOOKUP('Données projet'!$B$9,Paramètres!$A$1:$I$89,3,0)*0.475*44/12</f>
        <v>4.0235508008733235E-14</v>
      </c>
      <c r="AC181" s="24">
        <f t="shared" si="163"/>
        <v>64.979244151707007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265.57412766850422</v>
      </c>
      <c r="AO181" s="62">
        <f t="shared" si="144"/>
        <v>179.39213799913273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34.31199691428511</v>
      </c>
      <c r="AV181" s="23">
        <f>EXP(-LN(2)/25)*AV180+(1-EXP(-LN(2)/25))/(LN(2)/25)*Calculateur!AQ181*Calculateur!AS181*VLOOKUP('Données projet'!$B$10,Paramètres!$A$1:$I$89,3,0)*0.475*44/12</f>
        <v>3.0287581722894652</v>
      </c>
      <c r="AW181" s="23">
        <f>EXP(-LN(2)/2)*AW180+(1-EXP(-LN(2)/2))/(LN(2)/2)*AQ181*AT181*VLOOKUP('Données projet'!$B$10,Paramètres!$A$1:$I$89,3,0)*0.475*44/12</f>
        <v>1.738829620059445E-12</v>
      </c>
      <c r="AX181" s="23">
        <f t="shared" si="166"/>
        <v>37.340755086576316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-5.6843418860808015E-13</v>
      </c>
      <c r="BE181" s="14">
        <f>BD181*VLOOKUP('Données projet'!$B$11,Paramètres!$A$1:$I$89,3,0)*VLOOKUP('Données projet'!$B$11,Paramètres!$A$1:$I$89,5,0)</f>
        <v>-3.39923644787632E-13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361.81625684745416</v>
      </c>
      <c r="BJ181" s="62">
        <f t="shared" si="146"/>
        <v>302.25424592654684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36.978818652757305</v>
      </c>
      <c r="BQ181" s="23">
        <f>EXP(-LN(2)/25)*BQ180+(1-EXP(-LN(2)/25))/(LN(2)/25)*Calculateur!BL181*Calculateur!BN181*VLOOKUP('Données projet'!$B$11,Paramètres!$A$1:$I$89,3,0)*0.475*44/12</f>
        <v>1.5652687411916639</v>
      </c>
      <c r="BR181" s="23">
        <f>EXP(-LN(2)/2)*BR180+(1-EXP(-LN(2)/2))/(LN(2)/2)*BL181*BO181*VLOOKUP('Données projet'!$B$11,Paramètres!$A$1:$I$89,3,0)*0.475*44/12</f>
        <v>8.1108714694895223E-15</v>
      </c>
      <c r="BS181" s="24">
        <f t="shared" si="169"/>
        <v>38.544087393948978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-1.1368683772161603E-12</v>
      </c>
      <c r="O182" s="14">
        <f>N182*VLOOKUP('Données projet'!$B$9,Paramètres!$A$1:$I$89,3,0)*VLOOKUP('Données projet'!$B$9,Paramètres!$A$1:$I$89,5,0)</f>
        <v>-6.3550942286383359E-13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500.52921520843432</v>
      </c>
      <c r="T182" s="62">
        <f t="shared" si="142"/>
        <v>430.43167430170087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60.893001316297408</v>
      </c>
      <c r="AA182" s="23">
        <f>EXP(-LN(2)/25)*AA181+(1-EXP(-LN(2)/25))/(LN(2)/25)*Calculateur!V182*Calculateur!X182*VLOOKUP('Données projet'!$B$9,Paramètres!$A$1:$I$89,3,0)*0.475*44/12</f>
        <v>2.7898514077234884</v>
      </c>
      <c r="AB182" s="23">
        <f>EXP(-LN(2)/2)*AB181+(1-EXP(-LN(2)/2))/(LN(2)/2)*V182*Y182*VLOOKUP('Données projet'!$B$9,Paramètres!$A$1:$I$89,3,0)*0.475*44/12</f>
        <v>2.8450800557460911E-14</v>
      </c>
      <c r="AC182" s="24">
        <f t="shared" si="163"/>
        <v>63.682852724020925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265.57412766850422</v>
      </c>
      <c r="AO182" s="62">
        <f t="shared" si="144"/>
        <v>179.39213799913273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33.639159583047601</v>
      </c>
      <c r="AV182" s="23">
        <f>EXP(-LN(2)/25)*AV181+(1-EXP(-LN(2)/25))/(LN(2)/25)*Calculateur!AQ182*Calculateur!AS182*VLOOKUP('Données projet'!$B$10,Paramètres!$A$1:$I$89,3,0)*0.475*44/12</f>
        <v>2.94593662079274</v>
      </c>
      <c r="AW182" s="23">
        <f>EXP(-LN(2)/2)*AW181+(1-EXP(-LN(2)/2))/(LN(2)/2)*AQ182*AT182*VLOOKUP('Données projet'!$B$10,Paramètres!$A$1:$I$89,3,0)*0.475*44/12</f>
        <v>1.2295382156720616E-12</v>
      </c>
      <c r="AX182" s="23">
        <f t="shared" si="166"/>
        <v>36.585096203841573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-5.6843418860808015E-13</v>
      </c>
      <c r="BE182" s="14">
        <f>BD182*VLOOKUP('Données projet'!$B$11,Paramètres!$A$1:$I$89,3,0)*VLOOKUP('Données projet'!$B$11,Paramètres!$A$1:$I$89,5,0)</f>
        <v>-3.39923644787632E-13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361.81625684745416</v>
      </c>
      <c r="BJ182" s="62">
        <f t="shared" si="146"/>
        <v>302.25424592654684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36.253686573829008</v>
      </c>
      <c r="BQ182" s="23">
        <f>EXP(-LN(2)/25)*BQ181+(1-EXP(-LN(2)/25))/(LN(2)/25)*Calculateur!BL182*Calculateur!BN182*VLOOKUP('Données projet'!$B$11,Paramètres!$A$1:$I$89,3,0)*0.475*44/12</f>
        <v>1.5224663851498723</v>
      </c>
      <c r="BR182" s="23">
        <f>EXP(-LN(2)/2)*BR181+(1-EXP(-LN(2)/2))/(LN(2)/2)*BL182*BO182*VLOOKUP('Données projet'!$B$11,Paramètres!$A$1:$I$89,3,0)*0.475*44/12</f>
        <v>5.7352522174085389E-15</v>
      </c>
      <c r="BS182" s="24">
        <f t="shared" si="169"/>
        <v>37.776152958978884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-1.1368683772161603E-12</v>
      </c>
      <c r="O183" s="14">
        <f>N183*VLOOKUP('Données projet'!$B$9,Paramètres!$A$1:$I$89,3,0)*VLOOKUP('Données projet'!$B$9,Paramètres!$A$1:$I$89,5,0)</f>
        <v>-6.3550942286383359E-13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500.52921520843432</v>
      </c>
      <c r="T183" s="62">
        <f t="shared" si="142"/>
        <v>430.43167430170087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59.698926701548245</v>
      </c>
      <c r="AA183" s="23">
        <f>EXP(-LN(2)/25)*AA182+(1-EXP(-LN(2)/25))/(LN(2)/25)*Calculateur!V183*Calculateur!X183*VLOOKUP('Données projet'!$B$9,Paramètres!$A$1:$I$89,3,0)*0.475*44/12</f>
        <v>2.7135627742673805</v>
      </c>
      <c r="AB183" s="23">
        <f>EXP(-LN(2)/2)*AB182+(1-EXP(-LN(2)/2))/(LN(2)/2)*V183*Y183*VLOOKUP('Données projet'!$B$9,Paramètres!$A$1:$I$89,3,0)*0.475*44/12</f>
        <v>2.0117754004366617E-14</v>
      </c>
      <c r="AC183" s="24">
        <f t="shared" si="163"/>
        <v>62.412489475815647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265.57412766850422</v>
      </c>
      <c r="AO183" s="62">
        <f t="shared" si="144"/>
        <v>179.39213799913273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32.979516181485415</v>
      </c>
      <c r="AV183" s="23">
        <f>EXP(-LN(2)/25)*AV182+(1-EXP(-LN(2)/25))/(LN(2)/25)*Calculateur!AQ183*Calculateur!AS183*VLOOKUP('Données projet'!$B$10,Paramètres!$A$1:$I$89,3,0)*0.475*44/12</f>
        <v>2.8653798289770886</v>
      </c>
      <c r="AW183" s="23">
        <f>EXP(-LN(2)/2)*AW182+(1-EXP(-LN(2)/2))/(LN(2)/2)*AQ183*AT183*VLOOKUP('Données projet'!$B$10,Paramètres!$A$1:$I$89,3,0)*0.475*44/12</f>
        <v>8.6941481002972252E-13</v>
      </c>
      <c r="AX183" s="23">
        <f t="shared" si="166"/>
        <v>35.844896010463373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-5.6843418860808015E-13</v>
      </c>
      <c r="BE183" s="14">
        <f>BD183*VLOOKUP('Données projet'!$B$11,Paramètres!$A$1:$I$89,3,0)*VLOOKUP('Données projet'!$B$11,Paramètres!$A$1:$I$89,5,0)</f>
        <v>-3.39923644787632E-13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361.81625684745416</v>
      </c>
      <c r="BJ183" s="62">
        <f t="shared" si="146"/>
        <v>302.25424592654684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35.542773892681595</v>
      </c>
      <c r="BQ183" s="23">
        <f>EXP(-LN(2)/25)*BQ182+(1-EXP(-LN(2)/25))/(LN(2)/25)*Calculateur!BL183*Calculateur!BN183*VLOOKUP('Données projet'!$B$11,Paramètres!$A$1:$I$89,3,0)*0.475*44/12</f>
        <v>1.4808344617849214</v>
      </c>
      <c r="BR183" s="23">
        <f>EXP(-LN(2)/2)*BR182+(1-EXP(-LN(2)/2))/(LN(2)/2)*BL183*BO183*VLOOKUP('Données projet'!$B$11,Paramètres!$A$1:$I$89,3,0)*0.475*44/12</f>
        <v>4.0554357347447612E-15</v>
      </c>
      <c r="BS183" s="24">
        <f t="shared" si="169"/>
        <v>37.023608354466525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-1.1368683772161603E-12</v>
      </c>
      <c r="O184" s="14">
        <f>N184*VLOOKUP('Données projet'!$B$9,Paramètres!$A$1:$I$89,3,0)*VLOOKUP('Données projet'!$B$9,Paramètres!$A$1:$I$89,5,0)</f>
        <v>-6.3550942286383359E-13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500.52921520843432</v>
      </c>
      <c r="T184" s="62">
        <f t="shared" si="142"/>
        <v>430.43167430170087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58.528267161680709</v>
      </c>
      <c r="AA184" s="23">
        <f>EXP(-LN(2)/25)*AA183+(1-EXP(-LN(2)/25))/(LN(2)/25)*Calculateur!V184*Calculateur!X184*VLOOKUP('Données projet'!$B$9,Paramètres!$A$1:$I$89,3,0)*0.475*44/12</f>
        <v>2.6393602575049746</v>
      </c>
      <c r="AB184" s="23">
        <f>EXP(-LN(2)/2)*AB183+(1-EXP(-LN(2)/2))/(LN(2)/2)*V184*Y184*VLOOKUP('Données projet'!$B$9,Paramètres!$A$1:$I$89,3,0)*0.475*44/12</f>
        <v>1.4225400278730456E-14</v>
      </c>
      <c r="AC184" s="24">
        <f t="shared" si="163"/>
        <v>61.167627419185699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265.57412766850422</v>
      </c>
      <c r="AO184" s="62">
        <f t="shared" si="144"/>
        <v>179.39213799913273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32.332807984685118</v>
      </c>
      <c r="AV184" s="23">
        <f>EXP(-LN(2)/25)*AV183+(1-EXP(-LN(2)/25))/(LN(2)/25)*Calculateur!AQ184*Calculateur!AS184*VLOOKUP('Données projet'!$B$10,Paramètres!$A$1:$I$89,3,0)*0.475*44/12</f>
        <v>2.7870258668699339</v>
      </c>
      <c r="AW184" s="23">
        <f>EXP(-LN(2)/2)*AW183+(1-EXP(-LN(2)/2))/(LN(2)/2)*AQ184*AT184*VLOOKUP('Données projet'!$B$10,Paramètres!$A$1:$I$89,3,0)*0.475*44/12</f>
        <v>6.1476910783603078E-13</v>
      </c>
      <c r="AX184" s="23">
        <f t="shared" si="166"/>
        <v>35.119833851555669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-5.6843418860808015E-13</v>
      </c>
      <c r="BE184" s="14">
        <f>BD184*VLOOKUP('Données projet'!$B$11,Paramètres!$A$1:$I$89,3,0)*VLOOKUP('Données projet'!$B$11,Paramètres!$A$1:$I$89,5,0)</f>
        <v>-3.39923644787632E-13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361.81625684745416</v>
      </c>
      <c r="BJ184" s="62">
        <f t="shared" si="146"/>
        <v>302.25424592654684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34.845801775597565</v>
      </c>
      <c r="BQ184" s="23">
        <f>EXP(-LN(2)/25)*BQ183+(1-EXP(-LN(2)/25))/(LN(2)/25)*Calculateur!BL184*Calculateur!BN184*VLOOKUP('Données projet'!$B$11,Paramètres!$A$1:$I$89,3,0)*0.475*44/12</f>
        <v>1.4403409655537129</v>
      </c>
      <c r="BR184" s="23">
        <f>EXP(-LN(2)/2)*BR183+(1-EXP(-LN(2)/2))/(LN(2)/2)*BL184*BO184*VLOOKUP('Données projet'!$B$11,Paramètres!$A$1:$I$89,3,0)*0.475*44/12</f>
        <v>2.8676261087042695E-15</v>
      </c>
      <c r="BS184" s="24">
        <f t="shared" si="169"/>
        <v>36.286142741151281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-1.1368683772161603E-12</v>
      </c>
      <c r="O185" s="14">
        <f>N185*VLOOKUP('Données projet'!$B$9,Paramètres!$A$1:$I$89,3,0)*VLOOKUP('Données projet'!$B$9,Paramètres!$A$1:$I$89,5,0)</f>
        <v>-6.3550942286383359E-13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500.52921520843432</v>
      </c>
      <c r="T185" s="62">
        <f t="shared" si="142"/>
        <v>430.43167430170087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57.380563541358164</v>
      </c>
      <c r="AA185" s="23">
        <f>EXP(-LN(2)/25)*AA184+(1-EXP(-LN(2)/25))/(LN(2)/25)*Calculateur!V185*Calculateur!X185*VLOOKUP('Données projet'!$B$9,Paramètres!$A$1:$I$89,3,0)*0.475*44/12</f>
        <v>2.5671868124655775</v>
      </c>
      <c r="AB185" s="23">
        <f>EXP(-LN(2)/2)*AB184+(1-EXP(-LN(2)/2))/(LN(2)/2)*V185*Y185*VLOOKUP('Données projet'!$B$9,Paramètres!$A$1:$I$89,3,0)*0.475*44/12</f>
        <v>1.0058877002183309E-14</v>
      </c>
      <c r="AC185" s="24">
        <f t="shared" si="163"/>
        <v>59.94775035382375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265.57412766850422</v>
      </c>
      <c r="AO185" s="62">
        <f t="shared" si="144"/>
        <v>179.39213799913273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31.698781341171021</v>
      </c>
      <c r="AV185" s="23">
        <f>EXP(-LN(2)/25)*AV184+(1-EXP(-LN(2)/25))/(LN(2)/25)*Calculateur!AQ185*Calculateur!AS185*VLOOKUP('Données projet'!$B$10,Paramètres!$A$1:$I$89,3,0)*0.475*44/12</f>
        <v>2.7108144979770552</v>
      </c>
      <c r="AW185" s="23">
        <f>EXP(-LN(2)/2)*AW184+(1-EXP(-LN(2)/2))/(LN(2)/2)*AQ185*AT185*VLOOKUP('Données projet'!$B$10,Paramètres!$A$1:$I$89,3,0)*0.475*44/12</f>
        <v>4.3470740501486126E-13</v>
      </c>
      <c r="AX185" s="23">
        <f t="shared" si="166"/>
        <v>34.409595839148508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-5.6843418860808015E-13</v>
      </c>
      <c r="BE185" s="14">
        <f>BD185*VLOOKUP('Données projet'!$B$11,Paramètres!$A$1:$I$89,3,0)*VLOOKUP('Données projet'!$B$11,Paramètres!$A$1:$I$89,5,0)</f>
        <v>-3.39923644787632E-13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361.81625684745416</v>
      </c>
      <c r="BJ185" s="62">
        <f t="shared" si="146"/>
        <v>302.25424592654684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34.162496856618539</v>
      </c>
      <c r="BQ185" s="23">
        <f>EXP(-LN(2)/25)*BQ184+(1-EXP(-LN(2)/25))/(LN(2)/25)*Calculateur!BL185*Calculateur!BN185*VLOOKUP('Données projet'!$B$11,Paramètres!$A$1:$I$89,3,0)*0.475*44/12</f>
        <v>1.4009547661064072</v>
      </c>
      <c r="BR185" s="23">
        <f>EXP(-LN(2)/2)*BR184+(1-EXP(-LN(2)/2))/(LN(2)/2)*BL185*BO185*VLOOKUP('Données projet'!$B$11,Paramètres!$A$1:$I$89,3,0)*0.475*44/12</f>
        <v>2.0277178673723806E-15</v>
      </c>
      <c r="BS185" s="24">
        <f t="shared" si="169"/>
        <v>35.563451622724948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-1.1368683772161603E-12</v>
      </c>
      <c r="O186" s="14">
        <f>N186*VLOOKUP('Données projet'!$B$9,Paramètres!$A$1:$I$89,3,0)*VLOOKUP('Données projet'!$B$9,Paramètres!$A$1:$I$89,5,0)</f>
        <v>-6.3550942286383359E-13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500.52921520843432</v>
      </c>
      <c r="T186" s="62">
        <f t="shared" si="142"/>
        <v>430.43167430170087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56.255365689000058</v>
      </c>
      <c r="AA186" s="23">
        <f>EXP(-LN(2)/25)*AA185+(1-EXP(-LN(2)/25))/(LN(2)/25)*Calculateur!V186*Calculateur!X186*VLOOKUP('Données projet'!$B$9,Paramètres!$A$1:$I$89,3,0)*0.475*44/12</f>
        <v>2.4969869540762191</v>
      </c>
      <c r="AB186" s="23">
        <f>EXP(-LN(2)/2)*AB185+(1-EXP(-LN(2)/2))/(LN(2)/2)*V186*Y186*VLOOKUP('Données projet'!$B$9,Paramètres!$A$1:$I$89,3,0)*0.475*44/12</f>
        <v>7.1127001393652279E-15</v>
      </c>
      <c r="AC186" s="24">
        <f t="shared" si="163"/>
        <v>58.752352643076286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265.57412766850422</v>
      </c>
      <c r="AO186" s="62">
        <f t="shared" si="144"/>
        <v>179.39213799913273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31.077187573418168</v>
      </c>
      <c r="AV186" s="23">
        <f>EXP(-LN(2)/25)*AV185+(1-EXP(-LN(2)/25))/(LN(2)/25)*Calculateur!AQ186*Calculateur!AS186*VLOOKUP('Données projet'!$B$10,Paramètres!$A$1:$I$89,3,0)*0.475*44/12</f>
        <v>2.636687132974334</v>
      </c>
      <c r="AW186" s="23">
        <f>EXP(-LN(2)/2)*AW185+(1-EXP(-LN(2)/2))/(LN(2)/2)*AQ186*AT186*VLOOKUP('Données projet'!$B$10,Paramètres!$A$1:$I$89,3,0)*0.475*44/12</f>
        <v>3.0738455391801539E-13</v>
      </c>
      <c r="AX186" s="23">
        <f t="shared" si="166"/>
        <v>33.713874706392808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-5.6843418860808015E-13</v>
      </c>
      <c r="BE186" s="14">
        <f>BD186*VLOOKUP('Données projet'!$B$11,Paramètres!$A$1:$I$89,3,0)*VLOOKUP('Données projet'!$B$11,Paramètres!$A$1:$I$89,5,0)</f>
        <v>-3.39923644787632E-13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361.81625684745416</v>
      </c>
      <c r="BJ186" s="62">
        <f t="shared" si="146"/>
        <v>302.25424592654684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33.492591130325842</v>
      </c>
      <c r="BQ186" s="23">
        <f>EXP(-LN(2)/25)*BQ185+(1-EXP(-LN(2)/25))/(LN(2)/25)*Calculateur!BL186*Calculateur!BN186*VLOOKUP('Données projet'!$B$11,Paramètres!$A$1:$I$89,3,0)*0.475*44/12</f>
        <v>1.3626455843542182</v>
      </c>
      <c r="BR186" s="23">
        <f>EXP(-LN(2)/2)*BR185+(1-EXP(-LN(2)/2))/(LN(2)/2)*BL186*BO186*VLOOKUP('Données projet'!$B$11,Paramètres!$A$1:$I$89,3,0)*0.475*44/12</f>
        <v>1.4338130543521347E-15</v>
      </c>
      <c r="BS186" s="24">
        <f t="shared" si="169"/>
        <v>34.855236714680061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-1.1368683772161603E-12</v>
      </c>
      <c r="O187" s="14">
        <f>N187*VLOOKUP('Données projet'!$B$9,Paramètres!$A$1:$I$89,3,0)*VLOOKUP('Données projet'!$B$9,Paramètres!$A$1:$I$89,5,0)</f>
        <v>-6.3550942286383359E-13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500.52921520843432</v>
      </c>
      <c r="T187" s="62">
        <f t="shared" si="142"/>
        <v>430.43167430170087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55.152232280223771</v>
      </c>
      <c r="AA187" s="23">
        <f>EXP(-LN(2)/25)*AA186+(1-EXP(-LN(2)/25))/(LN(2)/25)*Calculateur!V187*Calculateur!X187*VLOOKUP('Données projet'!$B$9,Paramètres!$A$1:$I$89,3,0)*0.475*44/12</f>
        <v>2.428706714506168</v>
      </c>
      <c r="AB187" s="23">
        <f>EXP(-LN(2)/2)*AB186+(1-EXP(-LN(2)/2))/(LN(2)/2)*V187*Y187*VLOOKUP('Données projet'!$B$9,Paramètres!$A$1:$I$89,3,0)*0.475*44/12</f>
        <v>5.0294385010916543E-15</v>
      </c>
      <c r="AC187" s="24">
        <f t="shared" si="163"/>
        <v>57.580938994729948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265.57412766850422</v>
      </c>
      <c r="AO187" s="62">
        <f t="shared" si="144"/>
        <v>179.39213799913273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30.467782880316186</v>
      </c>
      <c r="AV187" s="23">
        <f>EXP(-LN(2)/25)*AV186+(1-EXP(-LN(2)/25))/(LN(2)/25)*Calculateur!AQ187*Calculateur!AS187*VLOOKUP('Données projet'!$B$10,Paramètres!$A$1:$I$89,3,0)*0.475*44/12</f>
        <v>2.5645867846658006</v>
      </c>
      <c r="AW187" s="23">
        <f>EXP(-LN(2)/2)*AW186+(1-EXP(-LN(2)/2))/(LN(2)/2)*AQ187*AT187*VLOOKUP('Données projet'!$B$10,Paramètres!$A$1:$I$89,3,0)*0.475*44/12</f>
        <v>2.1735370250743063E-13</v>
      </c>
      <c r="AX187" s="23">
        <f t="shared" si="166"/>
        <v>33.032369664982205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-5.6843418860808015E-13</v>
      </c>
      <c r="BE187" s="14">
        <f>BD187*VLOOKUP('Données projet'!$B$11,Paramètres!$A$1:$I$89,3,0)*VLOOKUP('Données projet'!$B$11,Paramètres!$A$1:$I$89,5,0)</f>
        <v>-3.39923644787632E-13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361.81625684745416</v>
      </c>
      <c r="BJ187" s="62">
        <f t="shared" si="146"/>
        <v>302.25424592654684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32.835821846723597</v>
      </c>
      <c r="BQ187" s="23">
        <f>EXP(-LN(2)/25)*BQ186+(1-EXP(-LN(2)/25))/(LN(2)/25)*Calculateur!BL187*Calculateur!BN187*VLOOKUP('Données projet'!$B$11,Paramètres!$A$1:$I$89,3,0)*0.475*44/12</f>
        <v>1.3253839691916351</v>
      </c>
      <c r="BR187" s="23">
        <f>EXP(-LN(2)/2)*BR186+(1-EXP(-LN(2)/2))/(LN(2)/2)*BL187*BO187*VLOOKUP('Données projet'!$B$11,Paramètres!$A$1:$I$89,3,0)*0.475*44/12</f>
        <v>1.0138589336861903E-15</v>
      </c>
      <c r="BS187" s="24">
        <f t="shared" si="169"/>
        <v>34.161205815915231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-1.1368683772161603E-12</v>
      </c>
      <c r="O188" s="14">
        <f>N188*VLOOKUP('Données projet'!$B$9,Paramètres!$A$1:$I$89,3,0)*VLOOKUP('Données projet'!$B$9,Paramètres!$A$1:$I$89,5,0)</f>
        <v>-6.3550942286383359E-13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500.52921520843432</v>
      </c>
      <c r="T188" s="62">
        <f t="shared" si="142"/>
        <v>430.43167430170087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54.070730644748643</v>
      </c>
      <c r="AA188" s="23">
        <f>EXP(-LN(2)/25)*AA187+(1-EXP(-LN(2)/25))/(LN(2)/25)*Calculateur!V188*Calculateur!X188*VLOOKUP('Données projet'!$B$9,Paramètres!$A$1:$I$89,3,0)*0.475*44/12</f>
        <v>2.3622936016778615</v>
      </c>
      <c r="AB188" s="23">
        <f>EXP(-LN(2)/2)*AB187+(1-EXP(-LN(2)/2))/(LN(2)/2)*V188*Y188*VLOOKUP('Données projet'!$B$9,Paramètres!$A$1:$I$89,3,0)*0.475*44/12</f>
        <v>3.5563500696826139E-15</v>
      </c>
      <c r="AC188" s="24">
        <f t="shared" si="163"/>
        <v>56.433024246426513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265.57412766850422</v>
      </c>
      <c r="AO188" s="62">
        <f t="shared" si="144"/>
        <v>179.39213799913273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29.870328241545774</v>
      </c>
      <c r="AV188" s="23">
        <f>EXP(-LN(2)/25)*AV187+(1-EXP(-LN(2)/25))/(LN(2)/25)*Calculateur!AQ188*Calculateur!AS188*VLOOKUP('Données projet'!$B$10,Paramètres!$A$1:$I$89,3,0)*0.475*44/12</f>
        <v>2.4944580241733565</v>
      </c>
      <c r="AW188" s="23">
        <f>EXP(-LN(2)/2)*AW187+(1-EXP(-LN(2)/2))/(LN(2)/2)*AQ188*AT188*VLOOKUP('Données projet'!$B$10,Paramètres!$A$1:$I$89,3,0)*0.475*44/12</f>
        <v>1.5369227695900769E-13</v>
      </c>
      <c r="AX188" s="23">
        <f t="shared" si="166"/>
        <v>32.364786265719289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-5.6843418860808015E-13</v>
      </c>
      <c r="BE188" s="14">
        <f>BD188*VLOOKUP('Données projet'!$B$11,Paramètres!$A$1:$I$89,3,0)*VLOOKUP('Données projet'!$B$11,Paramètres!$A$1:$I$89,5,0)</f>
        <v>-3.39923644787632E-13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361.81625684745416</v>
      </c>
      <c r="BJ188" s="62">
        <f t="shared" si="146"/>
        <v>302.25424592654684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32.191931408183088</v>
      </c>
      <c r="BQ188" s="23">
        <f>EXP(-LN(2)/25)*BQ187+(1-EXP(-LN(2)/25))/(LN(2)/25)*Calculateur!BL188*Calculateur!BN188*VLOOKUP('Données projet'!$B$11,Paramètres!$A$1:$I$89,3,0)*0.475*44/12</f>
        <v>1.289141274855176</v>
      </c>
      <c r="BR188" s="23">
        <f>EXP(-LN(2)/2)*BR187+(1-EXP(-LN(2)/2))/(LN(2)/2)*BL188*BO188*VLOOKUP('Données projet'!$B$11,Paramètres!$A$1:$I$89,3,0)*0.475*44/12</f>
        <v>7.1690652717606737E-16</v>
      </c>
      <c r="BS188" s="24">
        <f t="shared" si="169"/>
        <v>33.481072683038263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-1.1368683772161603E-12</v>
      </c>
      <c r="O189" s="14">
        <f>N189*VLOOKUP('Données projet'!$B$9,Paramètres!$A$1:$I$89,3,0)*VLOOKUP('Données projet'!$B$9,Paramètres!$A$1:$I$89,5,0)</f>
        <v>-6.3550942286383359E-13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500.52921520843432</v>
      </c>
      <c r="T189" s="62">
        <f t="shared" si="142"/>
        <v>430.43167430170087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53.010436596694319</v>
      </c>
      <c r="AA189" s="23">
        <f>EXP(-LN(2)/25)*AA188+(1-EXP(-LN(2)/25))/(LN(2)/25)*Calculateur!V189*Calculateur!X189*VLOOKUP('Données projet'!$B$9,Paramètres!$A$1:$I$89,3,0)*0.475*44/12</f>
        <v>2.2976965589123588</v>
      </c>
      <c r="AB189" s="23">
        <f>EXP(-LN(2)/2)*AB188+(1-EXP(-LN(2)/2))/(LN(2)/2)*V189*Y189*VLOOKUP('Données projet'!$B$9,Paramètres!$A$1:$I$89,3,0)*0.475*44/12</f>
        <v>2.5147192505458272E-15</v>
      </c>
      <c r="AC189" s="24">
        <f t="shared" si="163"/>
        <v>55.308133155606676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265.57412766850422</v>
      </c>
      <c r="AO189" s="62">
        <f t="shared" si="144"/>
        <v>179.39213799913273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29.284589323830303</v>
      </c>
      <c r="AV189" s="23">
        <f>EXP(-LN(2)/25)*AV188+(1-EXP(-LN(2)/25))/(LN(2)/25)*Calculateur!AQ189*Calculateur!AS189*VLOOKUP('Données projet'!$B$10,Paramètres!$A$1:$I$89,3,0)*0.475*44/12</f>
        <v>2.4262469383244896</v>
      </c>
      <c r="AW189" s="23">
        <f>EXP(-LN(2)/2)*AW188+(1-EXP(-LN(2)/2))/(LN(2)/2)*AQ189*AT189*VLOOKUP('Données projet'!$B$10,Paramètres!$A$1:$I$89,3,0)*0.475*44/12</f>
        <v>1.0867685125371531E-13</v>
      </c>
      <c r="AX189" s="23">
        <f t="shared" si="166"/>
        <v>31.710836262154903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-5.6843418860808015E-13</v>
      </c>
      <c r="BE189" s="14">
        <f>BD189*VLOOKUP('Données projet'!$B$11,Paramètres!$A$1:$I$89,3,0)*VLOOKUP('Données projet'!$B$11,Paramètres!$A$1:$I$89,5,0)</f>
        <v>-3.39923644787632E-13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361.81625684745416</v>
      </c>
      <c r="BJ189" s="62">
        <f t="shared" si="146"/>
        <v>302.25424592654684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31.560667268407968</v>
      </c>
      <c r="BQ189" s="23">
        <f>EXP(-LN(2)/25)*BQ188+(1-EXP(-LN(2)/25))/(LN(2)/25)*Calculateur!BL189*Calculateur!BN189*VLOOKUP('Données projet'!$B$11,Paramètres!$A$1:$I$89,3,0)*0.475*44/12</f>
        <v>1.2538896389012679</v>
      </c>
      <c r="BR189" s="23">
        <f>EXP(-LN(2)/2)*BR188+(1-EXP(-LN(2)/2))/(LN(2)/2)*BL189*BO189*VLOOKUP('Données projet'!$B$11,Paramètres!$A$1:$I$89,3,0)*0.475*44/12</f>
        <v>5.0692946684309514E-16</v>
      </c>
      <c r="BS189" s="24">
        <f t="shared" si="169"/>
        <v>32.814556907309239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-1.1368683772161603E-12</v>
      </c>
      <c r="O190" s="14">
        <f>N190*VLOOKUP('Données projet'!$B$9,Paramètres!$A$1:$I$89,3,0)*VLOOKUP('Données projet'!$B$9,Paramètres!$A$1:$I$89,5,0)</f>
        <v>-6.3550942286383359E-13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500.52921520843432</v>
      </c>
      <c r="T190" s="62">
        <f t="shared" si="142"/>
        <v>430.43167430170087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51.970934268206832</v>
      </c>
      <c r="AA190" s="23">
        <f>EXP(-LN(2)/25)*AA189+(1-EXP(-LN(2)/25))/(LN(2)/25)*Calculateur!V190*Calculateur!X190*VLOOKUP('Données projet'!$B$9,Paramètres!$A$1:$I$89,3,0)*0.475*44/12</f>
        <v>2.2348659256782897</v>
      </c>
      <c r="AB190" s="23">
        <f>EXP(-LN(2)/2)*AB189+(1-EXP(-LN(2)/2))/(LN(2)/2)*V190*Y190*VLOOKUP('Données projet'!$B$9,Paramètres!$A$1:$I$89,3,0)*0.475*44/12</f>
        <v>1.778175034841307E-15</v>
      </c>
      <c r="AC190" s="24">
        <f t="shared" si="163"/>
        <v>54.205800193885125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265.57412766850422</v>
      </c>
      <c r="AO190" s="62">
        <f t="shared" si="144"/>
        <v>179.39213799913273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28.71033638902577</v>
      </c>
      <c r="AV190" s="23">
        <f>EXP(-LN(2)/25)*AV189+(1-EXP(-LN(2)/25))/(LN(2)/25)*Calculateur!AQ190*Calculateur!AS190*VLOOKUP('Données projet'!$B$10,Paramètres!$A$1:$I$89,3,0)*0.475*44/12</f>
        <v>2.3599010882052252</v>
      </c>
      <c r="AW190" s="23">
        <f>EXP(-LN(2)/2)*AW189+(1-EXP(-LN(2)/2))/(LN(2)/2)*AQ190*AT190*VLOOKUP('Données projet'!$B$10,Paramètres!$A$1:$I$89,3,0)*0.475*44/12</f>
        <v>7.6846138479503847E-14</v>
      </c>
      <c r="AX190" s="23">
        <f t="shared" si="166"/>
        <v>31.070237477231075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-5.6843418860808015E-13</v>
      </c>
      <c r="BE190" s="14">
        <f>BD190*VLOOKUP('Données projet'!$B$11,Paramètres!$A$1:$I$89,3,0)*VLOOKUP('Données projet'!$B$11,Paramètres!$A$1:$I$89,5,0)</f>
        <v>-3.39923644787632E-13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361.81625684745416</v>
      </c>
      <c r="BJ190" s="62">
        <f t="shared" si="146"/>
        <v>302.25424592654684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30.94178183338073</v>
      </c>
      <c r="BQ190" s="23">
        <f>EXP(-LN(2)/25)*BQ189+(1-EXP(-LN(2)/25))/(LN(2)/25)*Calculateur!BL190*Calculateur!BN190*VLOOKUP('Données projet'!$B$11,Paramètres!$A$1:$I$89,3,0)*0.475*44/12</f>
        <v>1.2196019607863224</v>
      </c>
      <c r="BR190" s="23">
        <f>EXP(-LN(2)/2)*BR189+(1-EXP(-LN(2)/2))/(LN(2)/2)*BL190*BO190*VLOOKUP('Données projet'!$B$11,Paramètres!$A$1:$I$89,3,0)*0.475*44/12</f>
        <v>3.5845326358803368E-16</v>
      </c>
      <c r="BS190" s="24">
        <f t="shared" si="169"/>
        <v>32.161383794167051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-1.1368683772161603E-12</v>
      </c>
      <c r="O191" s="14">
        <f>N191*VLOOKUP('Données projet'!$B$9,Paramètres!$A$1:$I$89,3,0)*VLOOKUP('Données projet'!$B$9,Paramètres!$A$1:$I$89,5,0)</f>
        <v>-6.3550942286383359E-13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500.52921520843432</v>
      </c>
      <c r="T191" s="62">
        <f t="shared" si="142"/>
        <v>430.43167430170087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50.951815946347168</v>
      </c>
      <c r="AA191" s="23">
        <f>EXP(-LN(2)/25)*AA190+(1-EXP(-LN(2)/25))/(LN(2)/25)*Calculateur!V191*Calculateur!X191*VLOOKUP('Données projet'!$B$9,Paramètres!$A$1:$I$89,3,0)*0.475*44/12</f>
        <v>2.1737533994141258</v>
      </c>
      <c r="AB191" s="23">
        <f>EXP(-LN(2)/2)*AB190+(1-EXP(-LN(2)/2))/(LN(2)/2)*V191*Y191*VLOOKUP('Données projet'!$B$9,Paramètres!$A$1:$I$89,3,0)*0.475*44/12</f>
        <v>1.2573596252729136E-15</v>
      </c>
      <c r="AC191" s="24">
        <f t="shared" si="163"/>
        <v>53.125569345761292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265.57412766850422</v>
      </c>
      <c r="AO191" s="62">
        <f t="shared" si="144"/>
        <v>179.39213799913273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28.147344204013049</v>
      </c>
      <c r="AV191" s="23">
        <f>EXP(-LN(2)/25)*AV190+(1-EXP(-LN(2)/25))/(LN(2)/25)*Calculateur!AQ191*Calculateur!AS191*VLOOKUP('Données projet'!$B$10,Paramètres!$A$1:$I$89,3,0)*0.475*44/12</f>
        <v>2.2953694688464488</v>
      </c>
      <c r="AW191" s="23">
        <f>EXP(-LN(2)/2)*AW190+(1-EXP(-LN(2)/2))/(LN(2)/2)*AQ191*AT191*VLOOKUP('Données projet'!$B$10,Paramètres!$A$1:$I$89,3,0)*0.475*44/12</f>
        <v>5.4338425626857657E-14</v>
      </c>
      <c r="AX191" s="23">
        <f t="shared" si="166"/>
        <v>30.442713672859551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-5.6843418860808015E-13</v>
      </c>
      <c r="BE191" s="14">
        <f>BD191*VLOOKUP('Données projet'!$B$11,Paramètres!$A$1:$I$89,3,0)*VLOOKUP('Données projet'!$B$11,Paramètres!$A$1:$I$89,5,0)</f>
        <v>-3.39923644787632E-13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361.81625684745416</v>
      </c>
      <c r="BJ191" s="62">
        <f t="shared" si="146"/>
        <v>302.25424592654684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30.335032364251536</v>
      </c>
      <c r="BQ191" s="23">
        <f>EXP(-LN(2)/25)*BQ190+(1-EXP(-LN(2)/25))/(LN(2)/25)*Calculateur!BL191*Calculateur!BN191*VLOOKUP('Données projet'!$B$11,Paramètres!$A$1:$I$89,3,0)*0.475*44/12</f>
        <v>1.1862518810325409</v>
      </c>
      <c r="BR191" s="23">
        <f>EXP(-LN(2)/2)*BR190+(1-EXP(-LN(2)/2))/(LN(2)/2)*BL191*BO191*VLOOKUP('Données projet'!$B$11,Paramètres!$A$1:$I$89,3,0)*0.475*44/12</f>
        <v>2.5346473342154757E-16</v>
      </c>
      <c r="BS191" s="24">
        <f t="shared" si="169"/>
        <v>31.521284245284075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-1.1368683772161603E-12</v>
      </c>
      <c r="O192" s="14">
        <f>N192*VLOOKUP('Données projet'!$B$9,Paramètres!$A$1:$I$89,3,0)*VLOOKUP('Données projet'!$B$9,Paramètres!$A$1:$I$89,5,0)</f>
        <v>-6.3550942286383359E-13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500.52921520843432</v>
      </c>
      <c r="T192" s="62">
        <f t="shared" si="142"/>
        <v>430.43167430170087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49.952681913178374</v>
      </c>
      <c r="AA192" s="23">
        <f>EXP(-LN(2)/25)*AA191+(1-EXP(-LN(2)/25))/(LN(2)/25)*Calculateur!V192*Calculateur!X192*VLOOKUP('Données projet'!$B$9,Paramètres!$A$1:$I$89,3,0)*0.475*44/12</f>
        <v>2.1143119983944234</v>
      </c>
      <c r="AB192" s="23">
        <f>EXP(-LN(2)/2)*AB191+(1-EXP(-LN(2)/2))/(LN(2)/2)*V192*Y192*VLOOKUP('Données projet'!$B$9,Paramètres!$A$1:$I$89,3,0)*0.475*44/12</f>
        <v>8.8908751742065348E-16</v>
      </c>
      <c r="AC192" s="24">
        <f t="shared" si="163"/>
        <v>52.066993911572794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265.57412766850422</v>
      </c>
      <c r="AO192" s="62">
        <f t="shared" si="144"/>
        <v>179.39213799913273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27.595391952357101</v>
      </c>
      <c r="AV192" s="23">
        <f>EXP(-LN(2)/25)*AV191+(1-EXP(-LN(2)/25))/(LN(2)/25)*Calculateur!AQ192*Calculateur!AS192*VLOOKUP('Données projet'!$B$10,Paramètres!$A$1:$I$89,3,0)*0.475*44/12</f>
        <v>2.2326024700126084</v>
      </c>
      <c r="AW192" s="23">
        <f>EXP(-LN(2)/2)*AW191+(1-EXP(-LN(2)/2))/(LN(2)/2)*AQ192*AT192*VLOOKUP('Données projet'!$B$10,Paramètres!$A$1:$I$89,3,0)*0.475*44/12</f>
        <v>3.8423069239751924E-14</v>
      </c>
      <c r="AX192" s="23">
        <f t="shared" si="166"/>
        <v>29.827994422369748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-5.6843418860808015E-13</v>
      </c>
      <c r="BE192" s="14">
        <f>BD192*VLOOKUP('Données projet'!$B$11,Paramètres!$A$1:$I$89,3,0)*VLOOKUP('Données projet'!$B$11,Paramètres!$A$1:$I$89,5,0)</f>
        <v>-3.39923644787632E-13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361.81625684745416</v>
      </c>
      <c r="BJ192" s="62">
        <f t="shared" si="146"/>
        <v>302.25424592654684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29.74018088213133</v>
      </c>
      <c r="BQ192" s="23">
        <f>EXP(-LN(2)/25)*BQ191+(1-EXP(-LN(2)/25))/(LN(2)/25)*Calculateur!BL192*Calculateur!BN192*VLOOKUP('Données projet'!$B$11,Paramètres!$A$1:$I$89,3,0)*0.475*44/12</f>
        <v>1.1538137609634309</v>
      </c>
      <c r="BR192" s="23">
        <f>EXP(-LN(2)/2)*BR191+(1-EXP(-LN(2)/2))/(LN(2)/2)*BL192*BO192*VLOOKUP('Données projet'!$B$11,Paramètres!$A$1:$I$89,3,0)*0.475*44/12</f>
        <v>1.7922663179401684E-16</v>
      </c>
      <c r="BS192" s="24">
        <f t="shared" si="169"/>
        <v>30.893994643094761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-1.1368683772161603E-12</v>
      </c>
      <c r="O193" s="14">
        <f>N193*VLOOKUP('Données projet'!$B$9,Paramètres!$A$1:$I$89,3,0)*VLOOKUP('Données projet'!$B$9,Paramètres!$A$1:$I$89,5,0)</f>
        <v>-6.3550942286383359E-13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500.52921520843432</v>
      </c>
      <c r="T193" s="62">
        <f t="shared" si="142"/>
        <v>430.43167430170087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48.973140288988432</v>
      </c>
      <c r="AA193" s="23">
        <f>EXP(-LN(2)/25)*AA192+(1-EXP(-LN(2)/25))/(LN(2)/25)*Calculateur!V193*Calculateur!X193*VLOOKUP('Données projet'!$B$9,Paramètres!$A$1:$I$89,3,0)*0.475*44/12</f>
        <v>2.0564960256114921</v>
      </c>
      <c r="AB193" s="23">
        <f>EXP(-LN(2)/2)*AB192+(1-EXP(-LN(2)/2))/(LN(2)/2)*V193*Y193*VLOOKUP('Données projet'!$B$9,Paramètres!$A$1:$I$89,3,0)*0.475*44/12</f>
        <v>6.2867981263645679E-16</v>
      </c>
      <c r="AC193" s="24">
        <f t="shared" si="163"/>
        <v>51.029636314599927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265.57412766850422</v>
      </c>
      <c r="AO193" s="62">
        <f t="shared" si="144"/>
        <v>179.39213799913273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27.054263147698492</v>
      </c>
      <c r="AV193" s="23">
        <f>EXP(-LN(2)/25)*AV192+(1-EXP(-LN(2)/25))/(LN(2)/25)*Calculateur!AQ193*Calculateur!AS193*VLOOKUP('Données projet'!$B$10,Paramètres!$A$1:$I$89,3,0)*0.475*44/12</f>
        <v>2.1715518380626522</v>
      </c>
      <c r="AW193" s="23">
        <f>EXP(-LN(2)/2)*AW192+(1-EXP(-LN(2)/2))/(LN(2)/2)*AQ193*AT193*VLOOKUP('Données projet'!$B$10,Paramètres!$A$1:$I$89,3,0)*0.475*44/12</f>
        <v>2.7169212813428829E-14</v>
      </c>
      <c r="AX193" s="23">
        <f t="shared" si="166"/>
        <v>29.225814985761172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-5.6843418860808015E-13</v>
      </c>
      <c r="BE193" s="14">
        <f>BD193*VLOOKUP('Données projet'!$B$11,Paramètres!$A$1:$I$89,3,0)*VLOOKUP('Données projet'!$B$11,Paramètres!$A$1:$I$89,5,0)</f>
        <v>-3.39923644787632E-13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361.81625684745416</v>
      </c>
      <c r="BJ193" s="62">
        <f t="shared" si="146"/>
        <v>302.25424592654684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29.156994074751925</v>
      </c>
      <c r="BQ193" s="23">
        <f>EXP(-LN(2)/25)*BQ192+(1-EXP(-LN(2)/25))/(LN(2)/25)*Calculateur!BL193*Calculateur!BN193*VLOOKUP('Données projet'!$B$11,Paramètres!$A$1:$I$89,3,0)*0.475*44/12</f>
        <v>1.1222626629934573</v>
      </c>
      <c r="BR193" s="23">
        <f>EXP(-LN(2)/2)*BR192+(1-EXP(-LN(2)/2))/(LN(2)/2)*BL193*BO193*VLOOKUP('Données projet'!$B$11,Paramètres!$A$1:$I$89,3,0)*0.475*44/12</f>
        <v>1.2673236671077379E-16</v>
      </c>
      <c r="BS193" s="24">
        <f t="shared" si="169"/>
        <v>30.279256737745381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-1.1368683772161603E-12</v>
      </c>
      <c r="O194" s="14">
        <f>N194*VLOOKUP('Données projet'!$B$9,Paramètres!$A$1:$I$89,3,0)*VLOOKUP('Données projet'!$B$9,Paramètres!$A$1:$I$89,5,0)</f>
        <v>-6.3550942286383359E-13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500.52921520843432</v>
      </c>
      <c r="T194" s="62">
        <f t="shared" si="142"/>
        <v>430.43167430170087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48.012806878587462</v>
      </c>
      <c r="AA194" s="23">
        <f>EXP(-LN(2)/25)*AA193+(1-EXP(-LN(2)/25))/(LN(2)/25)*Calculateur!V194*Calculateur!X194*VLOOKUP('Données projet'!$B$9,Paramètres!$A$1:$I$89,3,0)*0.475*44/12</f>
        <v>2.00026103364472</v>
      </c>
      <c r="AB194" s="23">
        <f>EXP(-LN(2)/2)*AB193+(1-EXP(-LN(2)/2))/(LN(2)/2)*V194*Y194*VLOOKUP('Données projet'!$B$9,Paramètres!$A$1:$I$89,3,0)*0.475*44/12</f>
        <v>4.4454375871032674E-16</v>
      </c>
      <c r="AC194" s="24">
        <f t="shared" si="163"/>
        <v>50.013067912232181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265.57412766850422</v>
      </c>
      <c r="AO194" s="62">
        <f t="shared" si="144"/>
        <v>179.39213799913273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26.523745548843259</v>
      </c>
      <c r="AV194" s="23">
        <f>EXP(-LN(2)/25)*AV193+(1-EXP(-LN(2)/25))/(LN(2)/25)*Calculateur!AQ194*Calculateur!AS194*VLOOKUP('Données projet'!$B$10,Paramètres!$A$1:$I$89,3,0)*0.475*44/12</f>
        <v>2.1121706388538808</v>
      </c>
      <c r="AW194" s="23">
        <f>EXP(-LN(2)/2)*AW193+(1-EXP(-LN(2)/2))/(LN(2)/2)*AQ194*AT194*VLOOKUP('Données projet'!$B$10,Paramètres!$A$1:$I$89,3,0)*0.475*44/12</f>
        <v>1.9211534619875962E-14</v>
      </c>
      <c r="AX194" s="23">
        <f t="shared" si="166"/>
        <v>28.635916187697159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-5.6843418860808015E-13</v>
      </c>
      <c r="BE194" s="14">
        <f>BD194*VLOOKUP('Données projet'!$B$11,Paramètres!$A$1:$I$89,3,0)*VLOOKUP('Données projet'!$B$11,Paramètres!$A$1:$I$89,5,0)</f>
        <v>-3.39923644787632E-13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361.81625684745416</v>
      </c>
      <c r="BJ194" s="62">
        <f t="shared" si="146"/>
        <v>302.25424592654684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28.585243204956399</v>
      </c>
      <c r="BQ194" s="23">
        <f>EXP(-LN(2)/25)*BQ193+(1-EXP(-LN(2)/25))/(LN(2)/25)*Calculateur!BL194*Calculateur!BN194*VLOOKUP('Données projet'!$B$11,Paramètres!$A$1:$I$89,3,0)*0.475*44/12</f>
        <v>1.0915743314566728</v>
      </c>
      <c r="BR194" s="23">
        <f>EXP(-LN(2)/2)*BR193+(1-EXP(-LN(2)/2))/(LN(2)/2)*BL194*BO194*VLOOKUP('Données projet'!$B$11,Paramètres!$A$1:$I$89,3,0)*0.475*44/12</f>
        <v>8.9613315897008421E-17</v>
      </c>
      <c r="BS194" s="24">
        <f t="shared" si="169"/>
        <v>29.676817536413072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-1.1368683772161603E-12</v>
      </c>
      <c r="O195" s="14">
        <f>N195*VLOOKUP('Données projet'!$B$9,Paramètres!$A$1:$I$89,3,0)*VLOOKUP('Données projet'!$B$9,Paramètres!$A$1:$I$89,5,0)</f>
        <v>-6.3550942286383359E-13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500.52921520843432</v>
      </c>
      <c r="T195" s="62">
        <f t="shared" si="142"/>
        <v>430.43167430170087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47.071305020618915</v>
      </c>
      <c r="AA195" s="23">
        <f>EXP(-LN(2)/25)*AA194+(1-EXP(-LN(2)/25))/(LN(2)/25)*Calculateur!V195*Calculateur!X195*VLOOKUP('Données projet'!$B$9,Paramètres!$A$1:$I$89,3,0)*0.475*44/12</f>
        <v>1.9455637904905489</v>
      </c>
      <c r="AB195" s="23">
        <f>EXP(-LN(2)/2)*AB194+(1-EXP(-LN(2)/2))/(LN(2)/2)*V195*Y195*VLOOKUP('Données projet'!$B$9,Paramètres!$A$1:$I$89,3,0)*0.475*44/12</f>
        <v>3.143399063182284E-16</v>
      </c>
      <c r="AC195" s="24">
        <f t="shared" si="163"/>
        <v>49.016868811109461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265.57412766850422</v>
      </c>
      <c r="AO195" s="62">
        <f t="shared" si="144"/>
        <v>179.39213799913273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26.003631076517795</v>
      </c>
      <c r="AV195" s="23">
        <f>EXP(-LN(2)/25)*AV194+(1-EXP(-LN(2)/25))/(LN(2)/25)*Calculateur!AQ195*Calculateur!AS195*VLOOKUP('Données projet'!$B$10,Paramètres!$A$1:$I$89,3,0)*0.475*44/12</f>
        <v>2.0544132216601949</v>
      </c>
      <c r="AW195" s="23">
        <f>EXP(-LN(2)/2)*AW194+(1-EXP(-LN(2)/2))/(LN(2)/2)*AQ195*AT195*VLOOKUP('Données projet'!$B$10,Paramètres!$A$1:$I$89,3,0)*0.475*44/12</f>
        <v>1.3584606406714414E-14</v>
      </c>
      <c r="AX195" s="23">
        <f t="shared" si="166"/>
        <v>28.058044298178004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-5.6843418860808015E-13</v>
      </c>
      <c r="BE195" s="14">
        <f>BD195*VLOOKUP('Données projet'!$B$11,Paramètres!$A$1:$I$89,3,0)*VLOOKUP('Données projet'!$B$11,Paramètres!$A$1:$I$89,5,0)</f>
        <v>-3.39923644787632E-13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361.81625684745416</v>
      </c>
      <c r="BJ195" s="62">
        <f t="shared" si="146"/>
        <v>302.25424592654684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28.024704020983968</v>
      </c>
      <c r="BQ195" s="23">
        <f>EXP(-LN(2)/25)*BQ194+(1-EXP(-LN(2)/25))/(LN(2)/25)*Calculateur!BL195*Calculateur!BN195*VLOOKUP('Données projet'!$B$11,Paramètres!$A$1:$I$89,3,0)*0.475*44/12</f>
        <v>1.0617251739595908</v>
      </c>
      <c r="BR195" s="23">
        <f>EXP(-LN(2)/2)*BR194+(1-EXP(-LN(2)/2))/(LN(2)/2)*BL195*BO195*VLOOKUP('Données projet'!$B$11,Paramètres!$A$1:$I$89,3,0)*0.475*44/12</f>
        <v>6.3366183355386893E-17</v>
      </c>
      <c r="BS195" s="24">
        <f t="shared" si="169"/>
        <v>29.086429194943559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-1.1368683772161603E-12</v>
      </c>
      <c r="O196" s="14">
        <f>N196*VLOOKUP('Données projet'!$B$9,Paramètres!$A$1:$I$89,3,0)*VLOOKUP('Données projet'!$B$9,Paramètres!$A$1:$I$89,5,0)</f>
        <v>-6.3550942286383359E-13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500.52921520843432</v>
      </c>
      <c r="T196" s="62">
        <f t="shared" si="142"/>
        <v>430.43167430170087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46.1482654398257</v>
      </c>
      <c r="AA196" s="23">
        <f>EXP(-LN(2)/25)*AA195+(1-EXP(-LN(2)/25))/(LN(2)/25)*Calculateur!V196*Calculateur!X196*VLOOKUP('Données projet'!$B$9,Paramètres!$A$1:$I$89,3,0)*0.475*44/12</f>
        <v>1.8923622463268317</v>
      </c>
      <c r="AB196" s="23">
        <f>EXP(-LN(2)/2)*AB195+(1-EXP(-LN(2)/2))/(LN(2)/2)*V196*Y196*VLOOKUP('Données projet'!$B$9,Paramètres!$A$1:$I$89,3,0)*0.475*44/12</f>
        <v>2.2227187935516337E-16</v>
      </c>
      <c r="AC196" s="24">
        <f t="shared" si="163"/>
        <v>48.040627686152533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265.57412766850422</v>
      </c>
      <c r="AO196" s="62">
        <f t="shared" si="144"/>
        <v>179.39213799913273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25.493715731756129</v>
      </c>
      <c r="AV196" s="23">
        <f>EXP(-LN(2)/25)*AV195+(1-EXP(-LN(2)/25))/(LN(2)/25)*Calculateur!AQ196*Calculateur!AS196*VLOOKUP('Données projet'!$B$10,Paramètres!$A$1:$I$89,3,0)*0.475*44/12</f>
        <v>1.998235184077001</v>
      </c>
      <c r="AW196" s="23">
        <f>EXP(-LN(2)/2)*AW195+(1-EXP(-LN(2)/2))/(LN(2)/2)*AQ196*AT196*VLOOKUP('Données projet'!$B$10,Paramètres!$A$1:$I$89,3,0)*0.475*44/12</f>
        <v>9.6057673099379809E-15</v>
      </c>
      <c r="AX196" s="23">
        <f t="shared" si="166"/>
        <v>27.49195091583314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-5.6843418860808015E-13</v>
      </c>
      <c r="BE196" s="14">
        <f>BD196*VLOOKUP('Données projet'!$B$11,Paramètres!$A$1:$I$89,3,0)*VLOOKUP('Données projet'!$B$11,Paramètres!$A$1:$I$89,5,0)</f>
        <v>-3.39923644787632E-13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361.81625684745416</v>
      </c>
      <c r="BJ196" s="62">
        <f t="shared" si="146"/>
        <v>302.25424592654684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27.475156668514096</v>
      </c>
      <c r="BQ196" s="23">
        <f>EXP(-LN(2)/25)*BQ195+(1-EXP(-LN(2)/25))/(LN(2)/25)*Calculateur!BL196*Calculateur!BN196*VLOOKUP('Données projet'!$B$11,Paramètres!$A$1:$I$89,3,0)*0.475*44/12</f>
        <v>1.0326922432439654</v>
      </c>
      <c r="BR196" s="23">
        <f>EXP(-LN(2)/2)*BR195+(1-EXP(-LN(2)/2))/(LN(2)/2)*BL196*BO196*VLOOKUP('Données projet'!$B$11,Paramètres!$A$1:$I$89,3,0)*0.475*44/12</f>
        <v>4.480665794850421E-17</v>
      </c>
      <c r="BS196" s="24">
        <f t="shared" si="169"/>
        <v>28.50784891175806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-1.1368683772161603E-12</v>
      </c>
      <c r="O197" s="14">
        <f>N197*VLOOKUP('Données projet'!$B$9,Paramètres!$A$1:$I$89,3,0)*VLOOKUP('Données projet'!$B$9,Paramètres!$A$1:$I$89,5,0)</f>
        <v>-6.3550942286383359E-13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500.52921520843432</v>
      </c>
      <c r="T197" s="62">
        <f t="shared" ref="T197:T203" si="204">$T$3</f>
        <v>430.43167430170087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45.243326102213288</v>
      </c>
      <c r="AA197" s="23">
        <f>EXP(-LN(2)/25)*AA196+(1-EXP(-LN(2)/25))/(LN(2)/25)*Calculateur!V197*Calculateur!X197*VLOOKUP('Données projet'!$B$9,Paramètres!$A$1:$I$89,3,0)*0.475*44/12</f>
        <v>1.840615501186019</v>
      </c>
      <c r="AB197" s="23">
        <f>EXP(-LN(2)/2)*AB196+(1-EXP(-LN(2)/2))/(LN(2)/2)*V197*Y197*VLOOKUP('Données projet'!$B$9,Paramètres!$A$1:$I$89,3,0)*0.475*44/12</f>
        <v>1.571699531591142E-16</v>
      </c>
      <c r="AC197" s="24">
        <f t="shared" si="163"/>
        <v>47.08394160339931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265.57412766850422</v>
      </c>
      <c r="AO197" s="62">
        <f t="shared" ref="AO197:AO203" si="205">$AO$3</f>
        <v>179.39213799913273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24.993799515887588</v>
      </c>
      <c r="AV197" s="23">
        <f>EXP(-LN(2)/25)*AV196+(1-EXP(-LN(2)/25))/(LN(2)/25)*Calculateur!AQ197*Calculateur!AS197*VLOOKUP('Données projet'!$B$10,Paramètres!$A$1:$I$89,3,0)*0.475*44/12</f>
        <v>1.9435933378857941</v>
      </c>
      <c r="AW197" s="23">
        <f>EXP(-LN(2)/2)*AW196+(1-EXP(-LN(2)/2))/(LN(2)/2)*AQ197*AT197*VLOOKUP('Données projet'!$B$10,Paramètres!$A$1:$I$89,3,0)*0.475*44/12</f>
        <v>6.7923032033572072E-15</v>
      </c>
      <c r="AX197" s="23">
        <f t="shared" si="166"/>
        <v>26.937392853773389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-5.6843418860808015E-13</v>
      </c>
      <c r="BE197" s="14">
        <f>BD197*VLOOKUP('Données projet'!$B$11,Paramètres!$A$1:$I$89,3,0)*VLOOKUP('Données projet'!$B$11,Paramètres!$A$1:$I$89,5,0)</f>
        <v>-3.39923644787632E-13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361.81625684745416</v>
      </c>
      <c r="BJ197" s="62">
        <f t="shared" ref="BJ197:BJ203" si="206">$BJ$3</f>
        <v>302.25424592654684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26.936385604435369</v>
      </c>
      <c r="BQ197" s="23">
        <f>EXP(-LN(2)/25)*BQ196+(1-EXP(-LN(2)/25))/(LN(2)/25)*Calculateur!BL197*Calculateur!BN197*VLOOKUP('Données projet'!$B$11,Paramètres!$A$1:$I$89,3,0)*0.475*44/12</f>
        <v>1.0044532195455342</v>
      </c>
      <c r="BR197" s="23">
        <f>EXP(-LN(2)/2)*BR196+(1-EXP(-LN(2)/2))/(LN(2)/2)*BL197*BO197*VLOOKUP('Données projet'!$B$11,Paramètres!$A$1:$I$89,3,0)*0.475*44/12</f>
        <v>3.1683091677693447E-17</v>
      </c>
      <c r="BS197" s="24">
        <f t="shared" si="169"/>
        <v>27.940838823980904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-1.1368683772161603E-12</v>
      </c>
      <c r="O198" s="14">
        <f>N198*VLOOKUP('Données projet'!$B$9,Paramètres!$A$1:$I$89,3,0)*VLOOKUP('Données projet'!$B$9,Paramètres!$A$1:$I$89,5,0)</f>
        <v>-6.3550942286383359E-13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500.52921520843432</v>
      </c>
      <c r="T198" s="62">
        <f t="shared" si="204"/>
        <v>430.43167430170087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44.356132073052962</v>
      </c>
      <c r="AA198" s="23">
        <f>EXP(-LN(2)/25)*AA197+(1-EXP(-LN(2)/25))/(LN(2)/25)*Calculateur!V198*Calculateur!X198*VLOOKUP('Données projet'!$B$9,Paramètres!$A$1:$I$89,3,0)*0.475*44/12</f>
        <v>1.7902837735123249</v>
      </c>
      <c r="AB198" s="23">
        <f>EXP(-LN(2)/2)*AB197+(1-EXP(-LN(2)/2))/(LN(2)/2)*V198*Y198*VLOOKUP('Données projet'!$B$9,Paramètres!$A$1:$I$89,3,0)*0.475*44/12</f>
        <v>1.1113593967758169E-16</v>
      </c>
      <c r="AC198" s="24">
        <f t="shared" si="163"/>
        <v>46.14641584656529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265.57412766850422</v>
      </c>
      <c r="AO198" s="62">
        <f t="shared" si="205"/>
        <v>179.39213799913273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24.503686352093446</v>
      </c>
      <c r="AV198" s="23">
        <f>EXP(-LN(2)/25)*AV197+(1-EXP(-LN(2)/25))/(LN(2)/25)*Calculateur!AQ198*Calculateur!AS198*VLOOKUP('Données projet'!$B$10,Paramètres!$A$1:$I$89,3,0)*0.475*44/12</f>
        <v>1.8904456758521755</v>
      </c>
      <c r="AW198" s="23">
        <f>EXP(-LN(2)/2)*AW197+(1-EXP(-LN(2)/2))/(LN(2)/2)*AQ198*AT198*VLOOKUP('Données projet'!$B$10,Paramètres!$A$1:$I$89,3,0)*0.475*44/12</f>
        <v>4.8028836549689905E-15</v>
      </c>
      <c r="AX198" s="23">
        <f t="shared" si="166"/>
        <v>26.394132027945624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-5.6843418860808015E-13</v>
      </c>
      <c r="BE198" s="14">
        <f>BD198*VLOOKUP('Données projet'!$B$11,Paramètres!$A$1:$I$89,3,0)*VLOOKUP('Données projet'!$B$11,Paramètres!$A$1:$I$89,5,0)</f>
        <v>-3.39923644787632E-13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361.81625684745416</v>
      </c>
      <c r="BJ198" s="62">
        <f t="shared" si="206"/>
        <v>302.25424592654684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26.408179512305324</v>
      </c>
      <c r="BQ198" s="23">
        <f>EXP(-LN(2)/25)*BQ197+(1-EXP(-LN(2)/25))/(LN(2)/25)*Calculateur!BL198*Calculateur!BN198*VLOOKUP('Données projet'!$B$11,Paramètres!$A$1:$I$89,3,0)*0.475*44/12</f>
        <v>0.97698639343516247</v>
      </c>
      <c r="BR198" s="23">
        <f>EXP(-LN(2)/2)*BR197+(1-EXP(-LN(2)/2))/(LN(2)/2)*BL198*BO198*VLOOKUP('Données projet'!$B$11,Paramètres!$A$1:$I$89,3,0)*0.475*44/12</f>
        <v>2.2403328974252105E-17</v>
      </c>
      <c r="BS198" s="24">
        <f t="shared" si="169"/>
        <v>27.385165905740486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-1.1368683772161603E-12</v>
      </c>
      <c r="O199" s="14">
        <f>N199*VLOOKUP('Données projet'!$B$9,Paramètres!$A$1:$I$89,3,0)*VLOOKUP('Données projet'!$B$9,Paramètres!$A$1:$I$89,5,0)</f>
        <v>-6.3550942286383359E-13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500.52921520843432</v>
      </c>
      <c r="T199" s="62">
        <f t="shared" si="204"/>
        <v>430.43167430170087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43.48633537766954</v>
      </c>
      <c r="AA199" s="23">
        <f>EXP(-LN(2)/25)*AA198+(1-EXP(-LN(2)/25))/(LN(2)/25)*Calculateur!V199*Calculateur!X199*VLOOKUP('Données projet'!$B$9,Paramètres!$A$1:$I$89,3,0)*0.475*44/12</f>
        <v>1.7413283695786985</v>
      </c>
      <c r="AB199" s="23">
        <f>EXP(-LN(2)/2)*AB198+(1-EXP(-LN(2)/2))/(LN(2)/2)*V199*Y199*VLOOKUP('Données projet'!$B$9,Paramètres!$A$1:$I$89,3,0)*0.475*44/12</f>
        <v>7.8584976579557099E-17</v>
      </c>
      <c r="AC199" s="24">
        <f t="shared" si="163"/>
        <v>45.227663747248236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265.57412766850422</v>
      </c>
      <c r="AO199" s="62">
        <f t="shared" si="205"/>
        <v>179.39213799913273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24.023184008501797</v>
      </c>
      <c r="AV199" s="23">
        <f>EXP(-LN(2)/25)*AV198+(1-EXP(-LN(2)/25))/(LN(2)/25)*Calculateur!AQ199*Calculateur!AS199*VLOOKUP('Données projet'!$B$10,Paramètres!$A$1:$I$89,3,0)*0.475*44/12</f>
        <v>1.8387513394317803</v>
      </c>
      <c r="AW199" s="23">
        <f>EXP(-LN(2)/2)*AW198+(1-EXP(-LN(2)/2))/(LN(2)/2)*AQ199*AT199*VLOOKUP('Données projet'!$B$10,Paramètres!$A$1:$I$89,3,0)*0.475*44/12</f>
        <v>3.3961516016786036E-15</v>
      </c>
      <c r="AX199" s="23">
        <f t="shared" si="166"/>
        <v>25.861935347933581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-5.6843418860808015E-13</v>
      </c>
      <c r="BE199" s="14">
        <f>BD199*VLOOKUP('Données projet'!$B$11,Paramètres!$A$1:$I$89,3,0)*VLOOKUP('Données projet'!$B$11,Paramètres!$A$1:$I$89,5,0)</f>
        <v>-3.39923644787632E-13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361.81625684745416</v>
      </c>
      <c r="BJ199" s="62">
        <f t="shared" si="206"/>
        <v>302.25424592654684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25.890331219468045</v>
      </c>
      <c r="BQ199" s="23">
        <f>EXP(-LN(2)/25)*BQ198+(1-EXP(-LN(2)/25))/(LN(2)/25)*Calculateur!BL199*Calculateur!BN199*VLOOKUP('Données projet'!$B$11,Paramètres!$A$1:$I$89,3,0)*0.475*44/12</f>
        <v>0.95027064912919645</v>
      </c>
      <c r="BR199" s="23">
        <f>EXP(-LN(2)/2)*BR198+(1-EXP(-LN(2)/2))/(LN(2)/2)*BL199*BO199*VLOOKUP('Données projet'!$B$11,Paramètres!$A$1:$I$89,3,0)*0.475*44/12</f>
        <v>1.5841545838846723E-17</v>
      </c>
      <c r="BS199" s="24">
        <f t="shared" si="169"/>
        <v>26.840601868597243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-1.1368683772161603E-12</v>
      </c>
      <c r="O200" s="14">
        <f>N200*VLOOKUP('Données projet'!$B$9,Paramètres!$A$1:$I$89,3,0)*VLOOKUP('Données projet'!$B$9,Paramètres!$A$1:$I$89,5,0)</f>
        <v>-6.3550942286383359E-13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500.52921520843432</v>
      </c>
      <c r="T200" s="62">
        <f t="shared" si="204"/>
        <v>430.43167430170087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42.633594864958987</v>
      </c>
      <c r="AA200" s="23">
        <f>EXP(-LN(2)/25)*AA199+(1-EXP(-LN(2)/25))/(LN(2)/25)*Calculateur!V200*Calculateur!X200*VLOOKUP('Données projet'!$B$9,Paramètres!$A$1:$I$89,3,0)*0.475*44/12</f>
        <v>1.6937116537400898</v>
      </c>
      <c r="AB200" s="23">
        <f>EXP(-LN(2)/2)*AB199+(1-EXP(-LN(2)/2))/(LN(2)/2)*V200*Y200*VLOOKUP('Données projet'!$B$9,Paramètres!$A$1:$I$89,3,0)*0.475*44/12</f>
        <v>5.5567969838790843E-17</v>
      </c>
      <c r="AC200" s="24">
        <f t="shared" si="163"/>
        <v>44.327306518699075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265.57412766850422</v>
      </c>
      <c r="AO200" s="62">
        <f t="shared" si="205"/>
        <v>179.39213799913273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23.552104022790488</v>
      </c>
      <c r="AV200" s="23">
        <f>EXP(-LN(2)/25)*AV199+(1-EXP(-LN(2)/25))/(LN(2)/25)*Calculateur!AQ200*Calculateur!AS200*VLOOKUP('Données projet'!$B$10,Paramètres!$A$1:$I$89,3,0)*0.475*44/12</f>
        <v>1.7884705873592879</v>
      </c>
      <c r="AW200" s="23">
        <f>EXP(-LN(2)/2)*AW199+(1-EXP(-LN(2)/2))/(LN(2)/2)*AQ200*AT200*VLOOKUP('Données projet'!$B$10,Paramètres!$A$1:$I$89,3,0)*0.475*44/12</f>
        <v>2.4014418274844952E-15</v>
      </c>
      <c r="AX200" s="23">
        <f t="shared" si="166"/>
        <v>25.34057461014978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-5.6843418860808015E-13</v>
      </c>
      <c r="BE200" s="14">
        <f>BD200*VLOOKUP('Données projet'!$B$11,Paramètres!$A$1:$I$89,3,0)*VLOOKUP('Données projet'!$B$11,Paramètres!$A$1:$I$89,5,0)</f>
        <v>-3.39923644787632E-13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361.81625684745416</v>
      </c>
      <c r="BJ200" s="62">
        <f t="shared" si="206"/>
        <v>302.25424592654684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25.382637615797034</v>
      </c>
      <c r="BQ200" s="23">
        <f>EXP(-LN(2)/25)*BQ199+(1-EXP(-LN(2)/25))/(LN(2)/25)*Calculateur!BL200*Calculateur!BN200*VLOOKUP('Données projet'!$B$11,Paramètres!$A$1:$I$89,3,0)*0.475*44/12</f>
        <v>0.92428544825619696</v>
      </c>
      <c r="BR200" s="23">
        <f>EXP(-LN(2)/2)*BR199+(1-EXP(-LN(2)/2))/(LN(2)/2)*BL200*BO200*VLOOKUP('Données projet'!$B$11,Paramètres!$A$1:$I$89,3,0)*0.475*44/12</f>
        <v>1.1201664487126053E-17</v>
      </c>
      <c r="BS200" s="24">
        <f t="shared" si="169"/>
        <v>26.30692306405323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-1.1368683772161603E-12</v>
      </c>
      <c r="O201" s="14">
        <f>N201*VLOOKUP('Données projet'!$B$9,Paramètres!$A$1:$I$89,3,0)*VLOOKUP('Données projet'!$B$9,Paramètres!$A$1:$I$89,5,0)</f>
        <v>-6.3550942286383359E-13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500.52921520843432</v>
      </c>
      <c r="T201" s="62">
        <f t="shared" si="204"/>
        <v>430.43167430170087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41.797576073582334</v>
      </c>
      <c r="AA201" s="23">
        <f>EXP(-LN(2)/25)*AA200+(1-EXP(-LN(2)/25))/(LN(2)/25)*Calculateur!V201*Calculateur!X201*VLOOKUP('Données projet'!$B$9,Paramètres!$A$1:$I$89,3,0)*0.475*44/12</f>
        <v>1.6473970195001422</v>
      </c>
      <c r="AB201" s="23">
        <f>EXP(-LN(2)/2)*AB200+(1-EXP(-LN(2)/2))/(LN(2)/2)*V201*Y201*VLOOKUP('Données projet'!$B$9,Paramètres!$A$1:$I$89,3,0)*0.475*44/12</f>
        <v>3.9292488289778549E-17</v>
      </c>
      <c r="AC201" s="24">
        <f t="shared" si="163"/>
        <v>43.444973093082474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265.57412766850422</v>
      </c>
      <c r="AO201" s="62">
        <f t="shared" si="205"/>
        <v>179.39213799913273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23.090261628268557</v>
      </c>
      <c r="AV201" s="23">
        <f>EXP(-LN(2)/25)*AV200+(1-EXP(-LN(2)/25))/(LN(2)/25)*Calculateur!AQ201*Calculateur!AS201*VLOOKUP('Données projet'!$B$10,Paramètres!$A$1:$I$89,3,0)*0.475*44/12</f>
        <v>1.7395647650963675</v>
      </c>
      <c r="AW201" s="23">
        <f>EXP(-LN(2)/2)*AW200+(1-EXP(-LN(2)/2))/(LN(2)/2)*AQ201*AT201*VLOOKUP('Données projet'!$B$10,Paramètres!$A$1:$I$89,3,0)*0.475*44/12</f>
        <v>1.6980758008393018E-15</v>
      </c>
      <c r="AX201" s="23">
        <f t="shared" si="166"/>
        <v>24.829826393364925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-5.6843418860808015E-13</v>
      </c>
      <c r="BE201" s="14">
        <f>BD201*VLOOKUP('Données projet'!$B$11,Paramètres!$A$1:$I$89,3,0)*VLOOKUP('Données projet'!$B$11,Paramètres!$A$1:$I$89,5,0)</f>
        <v>-3.39923644787632E-13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361.81625684745416</v>
      </c>
      <c r="BJ201" s="62">
        <f t="shared" si="206"/>
        <v>302.25424592654684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24.88489957403149</v>
      </c>
      <c r="BQ201" s="23">
        <f>EXP(-LN(2)/25)*BQ200+(1-EXP(-LN(2)/25))/(LN(2)/25)*Calculateur!BL201*Calculateur!BN201*VLOOKUP('Données projet'!$B$11,Paramètres!$A$1:$I$89,3,0)*0.475*44/12</f>
        <v>0.89901081406757199</v>
      </c>
      <c r="BR201" s="23">
        <f>EXP(-LN(2)/2)*BR200+(1-EXP(-LN(2)/2))/(LN(2)/2)*BL201*BO201*VLOOKUP('Données projet'!$B$11,Paramètres!$A$1:$I$89,3,0)*0.475*44/12</f>
        <v>7.9207729194233616E-18</v>
      </c>
      <c r="BS201" s="24">
        <f t="shared" si="169"/>
        <v>25.783910388099063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-1.1368683772161603E-12</v>
      </c>
      <c r="O202" s="14">
        <f>N202*VLOOKUP('Données projet'!$B$9,Paramètres!$A$1:$I$89,3,0)*VLOOKUP('Données projet'!$B$9,Paramètres!$A$1:$I$89,5,0)</f>
        <v>-6.3550942286383359E-13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500.52921520843432</v>
      </c>
      <c r="T202" s="62">
        <f t="shared" si="204"/>
        <v>430.43167430170087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40.977951100783464</v>
      </c>
      <c r="AA202" s="23">
        <f>EXP(-LN(2)/25)*AA201+(1-EXP(-LN(2)/25))/(LN(2)/25)*Calculateur!V202*Calculateur!X202*VLOOKUP('Données projet'!$B$9,Paramètres!$A$1:$I$89,3,0)*0.475*44/12</f>
        <v>1.6023488613690666</v>
      </c>
      <c r="AB202" s="23">
        <f>EXP(-LN(2)/2)*AB201+(1-EXP(-LN(2)/2))/(LN(2)/2)*V202*Y202*VLOOKUP('Données projet'!$B$9,Paramètres!$A$1:$I$89,3,0)*0.475*44/12</f>
        <v>2.7783984919395421E-17</v>
      </c>
      <c r="AC202" s="24">
        <f t="shared" si="163"/>
        <v>42.58029996215253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265.57412766850422</v>
      </c>
      <c r="AO202" s="62">
        <f t="shared" si="205"/>
        <v>179.39213799913273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22.637475681407157</v>
      </c>
      <c r="AV202" s="23">
        <f>EXP(-LN(2)/25)*AV201+(1-EXP(-LN(2)/25))/(LN(2)/25)*Calculateur!AQ202*Calculateur!AS202*VLOOKUP('Données projet'!$B$10,Paramètres!$A$1:$I$89,3,0)*0.475*44/12</f>
        <v>1.6919962751150721</v>
      </c>
      <c r="AW202" s="23">
        <f>EXP(-LN(2)/2)*AW201+(1-EXP(-LN(2)/2))/(LN(2)/2)*AQ202*AT202*VLOOKUP('Données projet'!$B$10,Paramètres!$A$1:$I$89,3,0)*0.475*44/12</f>
        <v>1.2007209137422476E-15</v>
      </c>
      <c r="AX202" s="23">
        <f t="shared" si="166"/>
        <v>24.32947195652223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-5.6843418860808015E-13</v>
      </c>
      <c r="BE202" s="14">
        <f>BD202*VLOOKUP('Données projet'!$B$11,Paramètres!$A$1:$I$89,3,0)*VLOOKUP('Données projet'!$B$11,Paramètres!$A$1:$I$89,5,0)</f>
        <v>-3.39923644787632E-13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361.81625684745416</v>
      </c>
      <c r="BJ202" s="62">
        <f t="shared" si="206"/>
        <v>302.25424592654684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24.396921871674742</v>
      </c>
      <c r="BQ202" s="23">
        <f>EXP(-LN(2)/25)*BQ201+(1-EXP(-LN(2)/25))/(LN(2)/25)*Calculateur!BL202*Calculateur!BN202*VLOOKUP('Données projet'!$B$11,Paramètres!$A$1:$I$89,3,0)*0.475*44/12</f>
        <v>0.87442731607997026</v>
      </c>
      <c r="BR202" s="23">
        <f>EXP(-LN(2)/2)*BR201+(1-EXP(-LN(2)/2))/(LN(2)/2)*BL202*BO202*VLOOKUP('Données projet'!$B$11,Paramètres!$A$1:$I$89,3,0)*0.475*44/12</f>
        <v>5.6008322435630263E-18</v>
      </c>
      <c r="BS202" s="24">
        <f t="shared" si="169"/>
        <v>25.271349187754712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-1.1368683772161603E-12</v>
      </c>
      <c r="O203" s="14">
        <f>N203*VLOOKUP('Données projet'!$B$9,Paramètres!$A$1:$I$89,3,0)*VLOOKUP('Données projet'!$B$9,Paramètres!$A$1:$I$89,5,0)</f>
        <v>-6.3550942286383359E-13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500.52921520843432</v>
      </c>
      <c r="T203" s="62">
        <f t="shared" si="204"/>
        <v>430.43167430170087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40.174398473779313</v>
      </c>
      <c r="AA203" s="23">
        <f>EXP(-LN(2)/25)*AA202+(1-EXP(-LN(2)/25))/(LN(2)/25)*Calculateur!V203*Calculateur!X203*VLOOKUP('Données projet'!$B$9,Paramètres!$A$1:$I$89,3,0)*0.475*44/12</f>
        <v>1.5585325474910652</v>
      </c>
      <c r="AB203" s="23">
        <f>EXP(-LN(2)/2)*AB202+(1-EXP(-LN(2)/2))/(LN(2)/2)*V203*Y203*VLOOKUP('Données projet'!$B$9,Paramètres!$A$1:$I$89,3,0)*0.475*44/12</f>
        <v>1.9646244144889275E-17</v>
      </c>
      <c r="AC203" s="24">
        <f t="shared" si="163"/>
        <v>41.732931021270375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265.57412766850422</v>
      </c>
      <c r="AO203" s="62">
        <f t="shared" si="205"/>
        <v>179.39213799913273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22.19356859079155</v>
      </c>
      <c r="AV203" s="23">
        <f>EXP(-LN(2)/25)*AV202+(1-EXP(-LN(2)/25))/(LN(2)/25)*Calculateur!AQ203*Calculateur!AS203*VLOOKUP('Données projet'!$B$10,Paramètres!$A$1:$I$89,3,0)*0.475*44/12</f>
        <v>1.6457285479938335</v>
      </c>
      <c r="AW203" s="23">
        <f>EXP(-LN(2)/2)*AW202+(1-EXP(-LN(2)/2))/(LN(2)/2)*AQ203*AT203*VLOOKUP('Données projet'!$B$10,Paramètres!$A$1:$I$89,3,0)*0.475*44/12</f>
        <v>8.490379004196509E-16</v>
      </c>
      <c r="AX203" s="23">
        <f t="shared" si="166"/>
        <v>23.839297138785383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-5.6843418860808015E-13</v>
      </c>
      <c r="BE203" s="14">
        <f>BD203*VLOOKUP('Données projet'!$B$11,Paramètres!$A$1:$I$89,3,0)*VLOOKUP('Données projet'!$B$11,Paramètres!$A$1:$I$89,5,0)</f>
        <v>-3.39923644787632E-13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361.81625684745416</v>
      </c>
      <c r="BJ203" s="62">
        <f t="shared" si="206"/>
        <v>302.25424592654684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23.918513114424201</v>
      </c>
      <c r="BQ203" s="23">
        <f>EXP(-LN(2)/25)*BQ202+(1-EXP(-LN(2)/25))/(LN(2)/25)*Calculateur!BL203*Calculateur!BN203*VLOOKUP('Données projet'!$B$11,Paramètres!$A$1:$I$89,3,0)*0.475*44/12</f>
        <v>0.8505160551376294</v>
      </c>
      <c r="BR203" s="23">
        <f>EXP(-LN(2)/2)*BR202+(1-EXP(-LN(2)/2))/(LN(2)/2)*BL203*BO203*VLOOKUP('Données projet'!$B$11,Paramètres!$A$1:$I$89,3,0)*0.475*44/12</f>
        <v>3.9603864597116808E-18</v>
      </c>
      <c r="BS203" s="24">
        <f t="shared" si="169"/>
        <v>24.769029169561829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1.466478780211681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1.2802842468510145</v>
      </c>
      <c r="BA205" s="88">
        <f>EXP(LN('Données projet'!B88)/'Données projet'!A88)</f>
        <v>1.2954438051451196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23" sqref="I2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20.400000000000002</v>
      </c>
      <c r="C6" s="156">
        <f ca="1">IF(OR('Données projet'!B9="",'Données projet'!C9="",'Données projet'!C9=0%),0,Calculateur!S3)</f>
        <v>500.52921520843432</v>
      </c>
      <c r="D6" s="156">
        <f>IF(OR('Données projet'!B9="",'Données projet'!C9="",'Données projet'!C9=0%),0,Calculateur!T3)</f>
        <v>430.43167430170087</v>
      </c>
      <c r="E6" s="156">
        <f ca="1">MIN(C6,D6)</f>
        <v>430.43167430170087</v>
      </c>
      <c r="F6" s="156">
        <f ca="1">E6*B6</f>
        <v>8780.8061557546989</v>
      </c>
      <c r="G6" s="156">
        <f ca="1">F6*(100%-'Données projet'!$C$24)*(100%-'Données projet'!$C$25)*(100%-'Données projet'!$C$26)*(100%-'Données projet'!$C$27)</f>
        <v>7902.725540179229</v>
      </c>
      <c r="H6" s="157">
        <f>IF(OR('Données projet'!B9="",'Données projet'!C9="",'Données projet'!C9=0%),0,AVERAGE(Calculateur!$AC$3:$AC$33)*B6)</f>
        <v>424.52046075994917</v>
      </c>
      <c r="I6" s="158">
        <f>H6*(100%-'Données projet'!$C$24)*(100%-'Données projet'!$C$25)*(100%-'Données projet'!$C$26)*(100%-'Données projet'!$C$27)</f>
        <v>382.06841468395424</v>
      </c>
      <c r="J6" s="159">
        <f>IF(OR('Données projet'!B9="",'Données projet'!C9="",'Données projet'!C9=0%),0,SUM(Calculateur!$V$3:$V$33)*VLOOKUP('Données projet'!$B$9,Paramètres!$A$1:$I$89,9,0)*B6)</f>
        <v>2447.3880000000004</v>
      </c>
      <c r="K6" s="160">
        <f>J6*(100%-'Données projet'!$C$24)*(100%-'Données projet'!$C$25)*(100%-'Données projet'!$C$26)*(100%-'Données projet'!$C$27)</f>
        <v>2202.6492000000003</v>
      </c>
      <c r="L6" s="161">
        <f ca="1">G6+I6+K6</f>
        <v>10487.443154863184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Cèdre de l'Atlas</v>
      </c>
      <c r="B7" s="163">
        <f>'Données projet'!D10</f>
        <v>2.5500000000000003</v>
      </c>
      <c r="C7" s="156">
        <f ca="1">IF(OR('Données projet'!B10="",'Données projet'!C10="",'Données projet'!C10=0%),0,Calculateur!AN3)</f>
        <v>265.57412766850422</v>
      </c>
      <c r="D7" s="156">
        <f>IF(OR('Données projet'!B10="",'Données projet'!C10="",'Données projet'!C10=0%),0,Calculateur!AO3)</f>
        <v>179.39213799913273</v>
      </c>
      <c r="E7" s="156">
        <f t="shared" ref="E7:E15" ca="1" si="0">MIN(C7,D7)</f>
        <v>179.39213799913273</v>
      </c>
      <c r="F7" s="156">
        <f t="shared" ref="F7:F15" ca="1" si="1">E7*B7</f>
        <v>457.44995189778848</v>
      </c>
      <c r="G7" s="156">
        <f ca="1">F7*(100%-'Données projet'!$C$24)*(100%-'Données projet'!$C$25)*(100%-'Données projet'!$C$26)*(100%-'Données projet'!$C$27)</f>
        <v>411.70495670800966</v>
      </c>
      <c r="H7" s="164">
        <f>IF(OR('Données projet'!B10="",'Données projet'!C10="",'Données projet'!C10=0%),0,AVERAGE(Calculateur!$AX$3:$AX$33)*B7)</f>
        <v>10.258702823064452</v>
      </c>
      <c r="I7" s="158">
        <f>H7*(100%-'Données projet'!$C$24)*(100%-'Données projet'!$C$25)*(100%-'Données projet'!$C$26)*(100%-'Données projet'!$C$27)</f>
        <v>9.2328325407580074</v>
      </c>
      <c r="J7" s="159">
        <f>IF(OR('Données projet'!B10="",'Données projet'!C10="",'Données projet'!C10=0%),0,SUM(Calculateur!$AQ$3:$AQ$33)*VLOOKUP('Données projet'!$B$10,Paramètres!$A$1:$I$89,9,0)*B7)</f>
        <v>98.685000000000016</v>
      </c>
      <c r="K7" s="160">
        <f>J7*(100%-'Données projet'!$C$24)*(100%-'Données projet'!$C$25)*(100%-'Données projet'!$C$26)*(100%-'Données projet'!$C$27)</f>
        <v>88.816500000000019</v>
      </c>
      <c r="L7" s="161">
        <f t="shared" ref="L7:L15" ca="1" si="2">G7+I7+K7</f>
        <v>509.75428924876769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Pin laricio</v>
      </c>
      <c r="B8" s="163">
        <f>'Données projet'!D11</f>
        <v>2.5500000000000003</v>
      </c>
      <c r="C8" s="156">
        <f ca="1">IF(OR('Données projet'!B11="",'Données projet'!C11="",'Données projet'!C11=0%),0,Calculateur!BI3)</f>
        <v>361.81625684745416</v>
      </c>
      <c r="D8" s="156">
        <f>IF(OR('Données projet'!B11="",'Données projet'!C11="",'Données projet'!C11=0%),0,Calculateur!BJ3)</f>
        <v>302.25424592654684</v>
      </c>
      <c r="E8" s="156">
        <f t="shared" ca="1" si="0"/>
        <v>302.25424592654684</v>
      </c>
      <c r="F8" s="156">
        <f t="shared" ca="1" si="1"/>
        <v>770.74832711269448</v>
      </c>
      <c r="G8" s="156">
        <f ca="1">F8*(100%-'Données projet'!$C$24)*(100%-'Données projet'!$C$25)*(100%-'Données projet'!$C$26)*(100%-'Données projet'!$C$27)</f>
        <v>693.67349440142505</v>
      </c>
      <c r="H8" s="164">
        <f>IF(OR('Données projet'!B11="",'Données projet'!C11="",'Données projet'!C11=0%),0,AVERAGE(Calculateur!$BS$3:$BS$33)*B8)</f>
        <v>22.992553281055269</v>
      </c>
      <c r="I8" s="158">
        <f>H8*(100%-'Données projet'!$C$24)*(100%-'Données projet'!$C$25)*(100%-'Données projet'!$C$26)*(100%-'Données projet'!$C$27)</f>
        <v>20.693297952949742</v>
      </c>
      <c r="J8" s="159">
        <f>IF(OR('Données projet'!B11="",'Données projet'!C11="",'Données projet'!C11=0%),0,SUM(Calculateur!$BL$3:$BL$33)*VLOOKUP('Données projet'!$B$11,Paramètres!$A$1:$I$89,9,0)*B8)</f>
        <v>173.56498500000004</v>
      </c>
      <c r="K8" s="160">
        <f>J8*(100%-'Données projet'!$C$24)*(100%-'Données projet'!$C$25)*(100%-'Données projet'!$C$26)*(100%-'Données projet'!$C$27)</f>
        <v>156.20848650000005</v>
      </c>
      <c r="L8" s="161">
        <f t="shared" ca="1" si="2"/>
        <v>870.5752788543748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10009.004434765182</v>
      </c>
      <c r="G16" s="175">
        <f t="shared" ca="1" si="3"/>
        <v>9008.1039912886627</v>
      </c>
      <c r="H16" s="176">
        <f t="shared" si="3"/>
        <v>457.77171686406888</v>
      </c>
      <c r="I16" s="176">
        <f t="shared" si="3"/>
        <v>411.99454517766202</v>
      </c>
      <c r="J16" s="177">
        <f t="shared" si="3"/>
        <v>2719.6379850000003</v>
      </c>
      <c r="K16" s="177">
        <f t="shared" si="3"/>
        <v>2447.6741865000004</v>
      </c>
      <c r="L16" s="178">
        <f t="shared" ca="1" si="3"/>
        <v>11867.772722966325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B1" zoomScaleNormal="80" workbookViewId="0">
      <selection activeCell="T44" sqref="T44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5373.2197715784532</v>
      </c>
      <c r="U10" s="190">
        <f>'Données projet'!D9</f>
        <v>20.400000000000002</v>
      </c>
      <c r="V10" s="189">
        <f>U10*T10</f>
        <v>109613.68334020046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Cèdre de l'Atlas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-2940.6111949938595</v>
      </c>
      <c r="U11" s="190">
        <f>'Données projet'!D10</f>
        <v>2.5500000000000003</v>
      </c>
      <c r="V11" s="189">
        <f t="shared" ref="V11" si="0">U11*T11</f>
        <v>-7498.5585472343428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Pin laricio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415.05585537282104</v>
      </c>
      <c r="U12" s="190">
        <f>'Données projet'!D11</f>
        <v>2.5500000000000003</v>
      </c>
      <c r="V12" s="189">
        <f t="shared" ref="V12:V19" si="1">U12*T12</f>
        <v>1058.3924312006939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>
        <v>1</v>
      </c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>
        <v>30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2821.94</v>
      </c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>
        <v>10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299.99999999999994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>
        <f>3238.84+123.84</f>
        <v>3362.6800000000003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f>1555.4+420</f>
        <v>1975.4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f>1555.4+450</f>
        <v>2005.4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10</v>
      </c>
      <c r="B23" s="193">
        <f>'Données projet'!D36</f>
        <v>0</v>
      </c>
      <c r="C23" s="206">
        <f>90*'Données projet'!E36+19.4*('Données projet'!F36+'Données projet'!G36)+10*'Données projet'!G36</f>
        <v>23.799999999999997</v>
      </c>
      <c r="D23" s="194">
        <f>B23*C23</f>
        <v>0</v>
      </c>
      <c r="E23" s="206"/>
      <c r="F23" s="260"/>
      <c r="H23" s="203">
        <v>3</v>
      </c>
      <c r="I23" s="204">
        <f>1555.4+450</f>
        <v>2005.4</v>
      </c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-217708.09397252853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15</v>
      </c>
      <c r="B24" s="193">
        <f>'Données projet'!D37</f>
        <v>48</v>
      </c>
      <c r="C24" s="206">
        <f>67*'Données projet'!E37+19.4*('Données projet'!F37+'Données projet'!G37)+10*'Données projet'!G37</f>
        <v>23.799999999999997</v>
      </c>
      <c r="D24" s="194">
        <f t="shared" ref="D24:D42" si="2">B24*C24</f>
        <v>1142.3999999999999</v>
      </c>
      <c r="E24" s="206"/>
      <c r="F24" s="263"/>
      <c r="H24" s="203">
        <v>4</v>
      </c>
      <c r="I24" s="204">
        <f>1777.6+480</f>
        <v>2257.6</v>
      </c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2042.5501186285728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20</v>
      </c>
      <c r="B25" s="193">
        <f>'Données projet'!D38</f>
        <v>77</v>
      </c>
      <c r="C25" s="206">
        <f>67*'Données projet'!E38+19.4*('Données projet'!F38+'Données projet'!G38)+10*'Données projet'!G38</f>
        <v>32.42</v>
      </c>
      <c r="D25" s="194">
        <f t="shared" si="2"/>
        <v>2496.34</v>
      </c>
      <c r="E25" s="206"/>
      <c r="F25" s="263"/>
      <c r="G25" s="1"/>
      <c r="H25" s="203">
        <v>5</v>
      </c>
      <c r="I25" s="204">
        <f>1777.6+520</f>
        <v>2297.6</v>
      </c>
      <c r="K25" s="224"/>
      <c r="L25" s="270" t="s">
        <v>285</v>
      </c>
      <c r="M25" s="270"/>
      <c r="N25" s="270"/>
      <c r="O25" s="270"/>
      <c r="P25" s="205">
        <v>0</v>
      </c>
      <c r="Q25" s="264"/>
      <c r="R25" s="25"/>
      <c r="S25" s="198" t="s">
        <v>266</v>
      </c>
      <c r="T25" s="335">
        <f ca="1">T23-T24</f>
        <v>-219750.6440911571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25</v>
      </c>
      <c r="B26" s="193">
        <f>'Données projet'!D39</f>
        <v>77</v>
      </c>
      <c r="C26" s="206">
        <f>67*'Données projet'!E39+19.4*('Données projet'!F39+'Données projet'!G39)+10*'Données projet'!G39</f>
        <v>32.42</v>
      </c>
      <c r="D26" s="194">
        <f t="shared" si="2"/>
        <v>2496.34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30</v>
      </c>
      <c r="B27" s="193">
        <f>'Données projet'!D40</f>
        <v>77</v>
      </c>
      <c r="C27" s="206">
        <f>67*'Données projet'!E40+19.4*('Données projet'!F40+'Données projet'!G40)+10*'Données projet'!G40</f>
        <v>41.04</v>
      </c>
      <c r="D27" s="194">
        <f t="shared" si="2"/>
        <v>3160.08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35</v>
      </c>
      <c r="B28" s="193">
        <f>'Données projet'!D41</f>
        <v>77</v>
      </c>
      <c r="C28" s="206">
        <f>67*'Données projet'!E41+19.4*('Données projet'!F41+'Données projet'!G41)+10*'Données projet'!G41</f>
        <v>45.400000000000006</v>
      </c>
      <c r="D28" s="194">
        <f t="shared" si="2"/>
        <v>3495.8000000000006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40</v>
      </c>
      <c r="B29" s="193">
        <f>'Données projet'!D42</f>
        <v>77</v>
      </c>
      <c r="C29" s="206">
        <f>67*'Données projet'!E42+19.4*('Données projet'!F42+'Données projet'!G42)+10*'Données projet'!G42</f>
        <v>49.759999999999991</v>
      </c>
      <c r="D29" s="194">
        <f t="shared" si="2"/>
        <v>3831.5199999999995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45</v>
      </c>
      <c r="B30" s="193">
        <f>'Données projet'!D43</f>
        <v>76</v>
      </c>
      <c r="C30" s="206">
        <f>67*'Données projet'!E43+19.4*('Données projet'!F43+'Données projet'!G43)+10*'Données projet'!G43</f>
        <v>54.019999999999996</v>
      </c>
      <c r="D30" s="194">
        <f t="shared" si="2"/>
        <v>4105.5199999999995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50</v>
      </c>
      <c r="B31" s="193">
        <f>'Données projet'!D44</f>
        <v>62</v>
      </c>
      <c r="C31" s="206">
        <f>67*'Données projet'!E44+19.4*('Données projet'!F44+'Données projet'!G44)+10*'Données projet'!G44</f>
        <v>58.38</v>
      </c>
      <c r="D31" s="194">
        <f t="shared" si="2"/>
        <v>3619.56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55</v>
      </c>
      <c r="B32" s="193">
        <f>'Données projet'!D45</f>
        <v>53</v>
      </c>
      <c r="C32" s="206">
        <f>67*'Données projet'!E45+19.4*('Données projet'!F45+'Données projet'!G45)+10*'Données projet'!G45</f>
        <v>62.64</v>
      </c>
      <c r="D32" s="194">
        <f t="shared" si="2"/>
        <v>3319.92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60</v>
      </c>
      <c r="B33" s="193">
        <f>'Données projet'!D46</f>
        <v>48</v>
      </c>
      <c r="C33" s="206">
        <f>67*'Données projet'!E46+19.4*('Données projet'!F46+'Données projet'!G46)+10*'Données projet'!G46</f>
        <v>62.64</v>
      </c>
      <c r="D33" s="194">
        <f t="shared" si="2"/>
        <v>3006.7200000000003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65</v>
      </c>
      <c r="B34" s="193">
        <f>'Données projet'!D47</f>
        <v>44</v>
      </c>
      <c r="C34" s="206">
        <f>67*'Données projet'!E47+19.4*('Données projet'!F47+'Données projet'!G47)+10*'Données projet'!G47</f>
        <v>62.64</v>
      </c>
      <c r="D34" s="194">
        <f t="shared" si="2"/>
        <v>2756.16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70</v>
      </c>
      <c r="B35" s="193">
        <f>'Données projet'!D48</f>
        <v>42</v>
      </c>
      <c r="C35" s="206">
        <f>67*'Données projet'!E48+19.4*('Données projet'!F48+'Données projet'!G48)+10*'Données projet'!G48</f>
        <v>62.64</v>
      </c>
      <c r="D35" s="194">
        <f t="shared" si="2"/>
        <v>2630.88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75</v>
      </c>
      <c r="B36" s="193">
        <f>'Données projet'!D49</f>
        <v>40</v>
      </c>
      <c r="C36" s="206">
        <f>67*'Données projet'!E49+19.4*('Données projet'!F49+'Données projet'!G49)+10*'Données projet'!G49</f>
        <v>62.64</v>
      </c>
      <c r="D36" s="194">
        <f t="shared" si="2"/>
        <v>2505.6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80</v>
      </c>
      <c r="B37" s="193">
        <f>'Données projet'!D50</f>
        <v>886</v>
      </c>
      <c r="C37" s="206">
        <f>67*'Données projet'!E50+19.4*('Données projet'!F50+'Données projet'!G50)+10*'Données projet'!G50</f>
        <v>62.64</v>
      </c>
      <c r="D37" s="194">
        <f t="shared" si="2"/>
        <v>55499.040000000001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67*'Données projet'!E51+19.4*('Données projet'!F51+'Données projet'!G51)+10*'Données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67*'Données projet'!E52+19.4*('Données projet'!F52+'Données projet'!G52)+10*'Données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67*'Données projet'!E53+19.4*('Données projet'!F53+'Données projet'!G53)+10*'Données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67*'Données projet'!E54+19.4*('Données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67*'Données projet'!E55+19.4*('Données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4510.66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20</v>
      </c>
      <c r="B54" s="193">
        <f>'Données projet'!D62</f>
        <v>40</v>
      </c>
      <c r="C54" s="204">
        <f>55*'Données projet'!E62+19.4*('Données projet'!F62+'Données projet'!G62)+10*'Données projet'!H62</f>
        <v>19.399999999999999</v>
      </c>
      <c r="D54" s="191">
        <f>B54*C54</f>
        <v>776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30</v>
      </c>
      <c r="B55" s="193">
        <f>'Données projet'!D63</f>
        <v>50</v>
      </c>
      <c r="C55" s="204">
        <f>55*'Données projet'!E63+19.4*('Données projet'!F63+'Données projet'!G63)+10*'Données projet'!H63</f>
        <v>26.52</v>
      </c>
      <c r="D55" s="191">
        <f t="shared" ref="D55:D73" si="4">B55*C55</f>
        <v>1326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40</v>
      </c>
      <c r="B56" s="193">
        <f>'Données projet'!D64</f>
        <v>50</v>
      </c>
      <c r="C56" s="204">
        <f>55*'Données projet'!E64+19.4*('Données projet'!F64+'Données projet'!G64)+10*'Données projet'!H64</f>
        <v>30.08</v>
      </c>
      <c r="D56" s="191">
        <f t="shared" si="4"/>
        <v>1504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50</v>
      </c>
      <c r="B57" s="193">
        <f>'Données projet'!D65</f>
        <v>50</v>
      </c>
      <c r="C57" s="204">
        <f>55*'Données projet'!E65+19.4*('Données projet'!F65+'Données projet'!G65)+10*'Données projet'!H65</f>
        <v>33.64</v>
      </c>
      <c r="D57" s="191">
        <f t="shared" si="4"/>
        <v>1682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60</v>
      </c>
      <c r="B58" s="193">
        <f>'Données projet'!D66</f>
        <v>40</v>
      </c>
      <c r="C58" s="204">
        <f>55*'Données projet'!E66+19.4*('Données projet'!F66+'Données projet'!G66)+10*'Données projet'!H66</f>
        <v>37.200000000000003</v>
      </c>
      <c r="D58" s="191">
        <f t="shared" si="4"/>
        <v>1488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70</v>
      </c>
      <c r="B59" s="193">
        <f>'Données projet'!D67</f>
        <v>40</v>
      </c>
      <c r="C59" s="204">
        <f>55*'Données projet'!E67+19.4*('Données projet'!F67+'Données projet'!G67)+10*'Données projet'!H67</f>
        <v>40.76</v>
      </c>
      <c r="D59" s="191">
        <f t="shared" si="4"/>
        <v>1630.3999999999999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80</v>
      </c>
      <c r="B60" s="193">
        <f>'Données projet'!D68</f>
        <v>30</v>
      </c>
      <c r="C60" s="204">
        <f>55*'Données projet'!E68+19.4*('Données projet'!F68+'Données projet'!G68)+10*'Données projet'!H68</f>
        <v>44.32</v>
      </c>
      <c r="D60" s="191">
        <f t="shared" si="4"/>
        <v>1329.6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90</v>
      </c>
      <c r="B61" s="193">
        <f>'Données projet'!D69</f>
        <v>640</v>
      </c>
      <c r="C61" s="204">
        <f>55*'Données projet'!E69+19.4*('Données projet'!F69+'Données projet'!G69)+10*'Données projet'!H69</f>
        <v>47.88</v>
      </c>
      <c r="D61" s="191">
        <f t="shared" si="4"/>
        <v>30643.200000000001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55*'Données projet'!E70+19.4*('Données projet'!F70+'Données projet'!G70)+10*'Données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55*'Données projet'!E71+19.4*('Données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55*'Données projet'!E72+19.4*('Données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55*'Données projet'!E73+19.4*('Données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55*'Données projet'!E74+19.4*('Données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55*'Données projet'!E75+19.4*('Données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55*'Données projet'!E76+19.4*('Données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55*'Données projet'!E77+19.4*('Données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55*'Données projet'!E78+19.4*('Données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55*'Données projet'!E79+19.4*('Données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55*'Données projet'!E80+19.4*('Données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55*'Données projet'!E81+19.4*('Données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2444.1999999999998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15</v>
      </c>
      <c r="B85" s="193">
        <f>'Données projet'!D88</f>
        <v>0</v>
      </c>
      <c r="C85" s="204">
        <f>31*'Données projet'!E88+19.4*('Données projet'!F88+'Données projet'!G88)+10*'Données projet'!H88</f>
        <v>19.399999999999999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19</v>
      </c>
      <c r="B86" s="193">
        <f>'Données projet'!D89</f>
        <v>46.3</v>
      </c>
      <c r="C86" s="204">
        <f>31*'Données projet'!E89+19.4*('Données projet'!F89+'Données projet'!G89)+10*'Données projet'!H89</f>
        <v>21.72</v>
      </c>
      <c r="D86" s="191">
        <f t="shared" ref="D86:D104" si="6">B86*C86</f>
        <v>1005.6359999999999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24</v>
      </c>
      <c r="B87" s="193">
        <f>'Données projet'!D90</f>
        <v>45</v>
      </c>
      <c r="C87" s="204">
        <f>31*'Données projet'!E90+19.4*('Données projet'!F90+'Données projet'!G90)+10*'Données projet'!H90</f>
        <v>21.72</v>
      </c>
      <c r="D87" s="191">
        <f t="shared" si="6"/>
        <v>977.4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30</v>
      </c>
      <c r="B88" s="193">
        <f>'Données projet'!D91</f>
        <v>66.989999999999995</v>
      </c>
      <c r="C88" s="204">
        <f>31*'Données projet'!E91+19.4*('Données projet'!F91+'Données projet'!G91)+10*'Données projet'!H91</f>
        <v>24.04</v>
      </c>
      <c r="D88" s="191">
        <f t="shared" si="6"/>
        <v>1610.4395999999999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32</v>
      </c>
      <c r="B89" s="193">
        <f>'Données projet'!D92</f>
        <v>0</v>
      </c>
      <c r="C89" s="204">
        <f>31*'Données projet'!E92+19.4*('Données projet'!F92+'Données projet'!G92)+10*'Données projet'!H92</f>
        <v>24.04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37</v>
      </c>
      <c r="B90" s="193">
        <f>'Données projet'!D93</f>
        <v>55</v>
      </c>
      <c r="C90" s="204">
        <f>31*'Données projet'!E93+19.4*('Données projet'!F93+'Données projet'!G93)+10*'Données projet'!H93</f>
        <v>25.2</v>
      </c>
      <c r="D90" s="191">
        <f t="shared" si="6"/>
        <v>1386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41</v>
      </c>
      <c r="B91" s="193">
        <f>'Données projet'!D94</f>
        <v>0</v>
      </c>
      <c r="C91" s="204">
        <f>31*'Données projet'!E94+19.4*('Données projet'!F94+'Données projet'!G94)+10*'Données projet'!H94</f>
        <v>26.36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46</v>
      </c>
      <c r="B92" s="193">
        <f>'Données projet'!D95</f>
        <v>93</v>
      </c>
      <c r="C92" s="204">
        <f>31*'Données projet'!E95+19.4*('Données projet'!F95+'Données projet'!G95)+10*'Données projet'!H95</f>
        <v>27.52</v>
      </c>
      <c r="D92" s="191">
        <f t="shared" si="6"/>
        <v>2559.36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50</v>
      </c>
      <c r="B93" s="193">
        <f>'Données projet'!D96</f>
        <v>0</v>
      </c>
      <c r="C93" s="204">
        <f>31*'Données projet'!E96+19.4*('Données projet'!F96+'Données projet'!G96)+10*'Données projet'!H96</f>
        <v>28.68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56</v>
      </c>
      <c r="B94" s="193">
        <f>'Données projet'!D97</f>
        <v>77</v>
      </c>
      <c r="C94" s="204">
        <f>31*'Données projet'!E97+19.4*('Données projet'!F97+'Données projet'!G97)+10*'Données projet'!H97</f>
        <v>29.840000000000003</v>
      </c>
      <c r="D94" s="191">
        <f t="shared" si="6"/>
        <v>2297.6800000000003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59</v>
      </c>
      <c r="B95" s="193">
        <f>'Données projet'!D98</f>
        <v>0</v>
      </c>
      <c r="C95" s="204">
        <f>31*'Données projet'!E98+19.4*('Données projet'!F98+'Données projet'!G98)+10*'Données projet'!H98</f>
        <v>29.840000000000003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66</v>
      </c>
      <c r="B96" s="193">
        <f>'Données projet'!D99</f>
        <v>87</v>
      </c>
      <c r="C96" s="204">
        <f>31*'Données projet'!E99+19.4*('Données projet'!F99+'Données projet'!G99)+10*'Données projet'!H99</f>
        <v>29.840000000000003</v>
      </c>
      <c r="D96" s="191">
        <f t="shared" si="6"/>
        <v>2596.0800000000004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68</v>
      </c>
      <c r="B97" s="193">
        <f>'Données projet'!D100</f>
        <v>0</v>
      </c>
      <c r="C97" s="204">
        <f>31*'Données projet'!E100+19.4*('Données projet'!F100+'Données projet'!G100)+10*'Données projet'!H100</f>
        <v>29.840000000000003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76</v>
      </c>
      <c r="B98" s="193">
        <f>'Données projet'!D101</f>
        <v>671.57</v>
      </c>
      <c r="C98" s="204">
        <f>31*'Données projet'!E101+19.4*('Données projet'!F101+'Données projet'!G101)+10*'Données projet'!H101</f>
        <v>29.840000000000003</v>
      </c>
      <c r="D98" s="191">
        <f t="shared" si="6"/>
        <v>20039.648800000003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31*'Données projet'!E102+19.4*('Données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31*'Données projet'!E103+19.4*('Données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31*'Données projet'!E104+19.4*('Données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31*'Données projet'!E105+19.4*('Données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31*'Données projet'!E106+19.4*('Données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31*'Données projet'!E107+19.4*('Données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str">
        <f>IF(O109+1&lt;=MIN('Données projet'!$E$9:$E$18),O109+1,"STOP")</f>
        <v>STOP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42*'Données projet'!E114+19.5*('Données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42*'Données projet'!E115+19.5*('Données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42*'Données projet'!E116+19.5*('Données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42*'Données projet'!E117+19.5*('Données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42*'Données projet'!E118+19.5*('Données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42*'Données projet'!E119+19.5*('Données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42*'Données projet'!E120+19.5*('Données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42*'Données projet'!E121+19.5*('Données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42*'Données projet'!E122+19.5*('Données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42*'Données projet'!E123+19.5*('Données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42*'Données projet'!E124+19.5*('Données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42*'Données projet'!E125+19.5*('Données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42*'Données projet'!E126+19.5*('Données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42*'Données projet'!E127+19.5*('Données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42*'Données projet'!E128+19.5*('Données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42*'Données projet'!E129+19.5*('Données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42*'Données projet'!E130+19.5*('Données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42*'Données projet'!E131+19.5*('Données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42*'Données projet'!E132+19.5*('Données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42*'Données projet'!E133+19.5*('Données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150*'Données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150*'Données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150*'Données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150*'Données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150*'Données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150*'Données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150*'Données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150*'Données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150*'Données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150*'Données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150*'Données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150*'Données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150*'Données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150*'Données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150*'Données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150*'Données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150*'Données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150*'Données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150*'Données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150*'Données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300*'Données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300*'Données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300*'Données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300*'Données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300*'Données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300*'Données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300*'Données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300*'Données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300*'Données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300*'Données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300*'Données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300*'Données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300*'Données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300*'Données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300*'Données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300*'Données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300*'Données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300*'Données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300*'Données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300*'Données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150*'Données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150*'Données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150*'Données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150*'Données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150*'Données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150*'Données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150*'Données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150*'Données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150*'Données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150*'Données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150*'Données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150*'Données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150*'Données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150*'Données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150*'Données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150*'Données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150*'Données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150*'Données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150*'Données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150*'Données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60*'Données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60*'Données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60*'Données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60*'Données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60*'Données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60*'Données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60*'Données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60*'Données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60*'Données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60*'Données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60*'Données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60*'Données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60*'Données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60*'Données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60*'Données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60*'Données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60*'Données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60*'Données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60*'Données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60*'Données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60*'Données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60*'Données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60*'Données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60*'Données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60*'Données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60*'Données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60*'Données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60*'Données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60*'Données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60*'Données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60*'Données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60*'Données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60*'Données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60*'Données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60*'Données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60*'Données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60*'Données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60*'Données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60*'Données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60*'Données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80*'Données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80*'Données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80*'Données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80*'Données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80*'Données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80*'Données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80*'Données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80*'Données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80*'Données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80*'Données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80*'Données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80*'Données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80*'Données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80*'Données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80*'Données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80*'Données projet'!E285+13.8*('Données projet'!F285+'Données projet'!G285)+10*'Données projet'!H285</f>
        <v>0</v>
      </c>
      <c r="D317" s="194">
        <f>B317*C317</f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80*'Données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80*'Données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80*'Données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80*'Données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2023-12-21T12:59:50Z</dcterms:modified>
</cp:coreProperties>
</file>