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oulven Kersante\Downloads\"/>
    </mc:Choice>
  </mc:AlternateContent>
  <xr:revisionPtr revIDLastSave="0" documentId="13_ncr:1_{5EFF9E39-50F4-47AD-A08D-8423794DF056}" xr6:coauthVersionLast="47" xr6:coauthVersionMax="47" xr10:uidLastSave="{00000000-0000-0000-0000-000000000000}"/>
  <bookViews>
    <workbookView xWindow="28680" yWindow="-120" windowWidth="29040" windowHeight="1584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EA155" i="2" l="1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DH156" i="2" l="1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AB161" i="2"/>
  <c r="HG161" i="2"/>
  <c r="FS161" i="2"/>
  <c r="EB161" i="2"/>
  <c r="EA161" i="2"/>
  <c r="ED161" i="2" s="1"/>
  <c r="HH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H163" i="2" l="1"/>
  <c r="EV163" i="2"/>
  <c r="EB163" i="2"/>
  <c r="HG163" i="2"/>
  <c r="HI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W172" i="2"/>
  <c r="HG172" i="2"/>
  <c r="HI172" i="2"/>
  <c r="EA172" i="2"/>
  <c r="ED172" i="2" s="1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C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W175" i="2"/>
  <c r="EB175" i="2"/>
  <c r="HI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HI179" i="2"/>
  <c r="EV179" i="2"/>
  <c r="EA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W185" i="2" l="1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B189" i="2" l="1"/>
  <c r="AA189" i="2"/>
  <c r="EV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V190" i="2" l="1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G191" i="2" l="1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H192" i="2" l="1"/>
  <c r="HG192" i="2"/>
  <c r="EA192" i="2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DI200" i="2"/>
  <c r="FS201" i="2" l="1"/>
  <c r="HH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G202" i="2" l="1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32" i="2" a="1"/>
  <c r="BC32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FR203" i="2" l="1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<sst xmlns="http://schemas.openxmlformats.org/spreadsheetml/2006/main" count="1173" uniqueCount="325">
  <si>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</si>
  <si>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</si>
  <si>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</si>
  <si>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</si>
  <si>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</si>
  <si>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</si>
  <si>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</si>
  <si>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</si>
  <si>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</si>
  <si>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</si>
  <si>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</si>
  <si>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</si>
  <si>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</si>
  <si>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</si>
  <si>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</si>
  <si>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</si>
  <si>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</si>
  <si>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</si>
  <si>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</si>
  <si>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</si>
  <si>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</si>
  <si>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</si>
  <si>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</si>
  <si>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</si>
  <si>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</si>
  <si>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</si>
  <si>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</si>
  <si>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</si>
  <si>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</si>
  <si>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</si>
  <si>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</si>
  <si>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</si>
  <si>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</si>
  <si>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</si>
  <si>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</si>
  <si>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</si>
  <si>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</si>
  <si>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</si>
  <si>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</si>
  <si>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</si>
  <si>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</si>
  <si>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</si>
  <si>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</si>
  <si>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</si>
  <si>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</si>
  <si>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</si>
  <si>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</si>
  <si>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</si>
  <si>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</si>
  <si>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</si>
  <si>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</si>
  <si>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</si>
  <si>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</si>
  <si>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</si>
  <si>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</si>
  <si>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</si>
  <si>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</si>
  <si>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</si>
  <si>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</si>
  <si>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</si>
  <si>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</si>
  <si>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</si>
  <si>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</si>
  <si>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</si>
  <si>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</si>
  <si>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</si>
  <si>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</si>
  <si>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</si>
  <si>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</si>
  <si>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</si>
  <si>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</si>
  <si>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</si>
  <si>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</si>
  <si>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</si>
  <si>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</si>
  <si>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</si>
  <si>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</si>
  <si>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</si>
  <si>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</si>
  <si>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</si>
  <si>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</si>
  <si>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</si>
  <si>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</si>
  <si>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</si>
  <si>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</si>
  <si>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</si>
  <si>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</si>
  <si>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</si>
  <si>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</si>
  <si>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</si>
  <si>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</si>
  <si>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</si>
  <si>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</si>
  <si>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</si>
  <si>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</si>
  <si>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</si>
  <si>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</si>
  <si>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</si>
  <si>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</si>
  <si>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</si>
  <si>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</si>
  <si>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</si>
  <si>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</si>
  <si>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</si>
  <si>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</si>
  <si>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</si>
  <si>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</si>
  <si>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</si>
  <si>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</si>
  <si>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</si>
  <si>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</si>
  <si>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</si>
  <si>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</si>
  <si>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</si>
  <si>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</si>
  <si>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</si>
  <si>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</si>
  <si>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</si>
  <si>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</si>
  <si>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</si>
  <si>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</si>
  <si>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</si>
  <si>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</si>
  <si>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</si>
  <si>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</si>
  <si>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</si>
  <si>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</si>
  <si>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</si>
  <si>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</si>
  <si>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</si>
  <si>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</si>
  <si>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</si>
  <si>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</si>
  <si>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</si>
  <si>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</si>
  <si>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</si>
  <si>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</si>
  <si>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</si>
  <si>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</si>
  <si>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</si>
  <si>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</si>
  <si>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</si>
  <si>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</si>
  <si>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</si>
  <si>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</si>
  <si>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</si>
  <si>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</si>
  <si>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</si>
  <si>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</si>
  <si>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</si>
  <si>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</si>
  <si>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</si>
  <si>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</si>
  <si>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</si>
  <si>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</si>
  <si>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</si>
  <si>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</si>
  <si>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</si>
  <si>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</si>
  <si>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</si>
  <si>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</si>
  <si>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</si>
  <si>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</si>
  <si>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</si>
  <si>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</si>
  <si>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</si>
  <si>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</si>
  <si>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</si>
  <si>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</si>
  <si>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</si>
  <si>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</si>
  <si>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</si>
  <si>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</si>
  <si>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</si>
  <si>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</si>
  <si>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</si>
  <si>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</si>
  <si>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</si>
  <si>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</si>
  <si>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</si>
  <si>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</si>
  <si>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</si>
  <si>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</si>
  <si>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</si>
  <si>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</si>
  <si>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</si>
  <si>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</si>
  <si>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</si>
  <si>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</si>
  <si>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</si>
  <si>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</si>
  <si>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</si>
  <si>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</si>
  <si>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</si>
  <si>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</si>
  <si>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</si>
  <si>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</si>
  <si>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</si>
  <si>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</si>
  <si>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</si>
  <si>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</si>
  <si>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</si>
  <si>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</si>
  <si>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</si>
  <si>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</si>
  <si>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</si>
  <si>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</si>
  <si>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</si>
  <si>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</si>
  <si>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</si>
  <si>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</si>
  <si>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</si>
  <si>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</si>
  <si>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</si>
  <si>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</si>
  <si>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</si>
  <si>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</si>
  <si>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</si>
  <si>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</si>
  <si>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</si>
  <si>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</si>
  <si>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</si>
  <si>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</si>
  <si>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</si>
  <si>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</si>
  <si>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</si>
  <si>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</si>
  <si>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</si>
  <si>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</si>
  <si>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</si>
  <si>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</si>
  <si>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</si>
  <si>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</si>
  <si>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</si>
  <si>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</si>
  <si>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</si>
  <si>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</si>
  <si>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</si>
  <si>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</si>
  <si>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</si>
  <si>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</si>
  <si>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</si>
  <si>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</si>
  <si>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</si>
  <si>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</si>
  <si>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</si>
  <si>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</si>
  <si>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</si>
  <si>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</si>
  <si>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</si>
  <si>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</si>
  <si>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</si>
  <si>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</si>
  <si>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</si>
  <si>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</si>
  <si>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</si>
  <si>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</si>
  <si>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</si>
  <si>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</si>
  <si>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</si>
  <si>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</si>
  <si>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</si>
  <si>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</si>
  <si>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</si>
  <si>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</si>
  <si>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</si>
  <si>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</si>
  <si>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</si>
  <si>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</si>
  <si>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</si>
  <si>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</si>
  <si>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</si>
  <si>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</si>
  <si>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</si>
  <si>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</si>
  <si>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</si>
  <si>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</si>
  <si>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</si>
  <si>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</si>
  <si>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</si>
  <si>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</si>
  <si>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</si>
  <si>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</si>
  <si>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</si>
  <si>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</si>
  <si>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</si>
  <si>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</si>
  <si>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</si>
  <si>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</si>
  <si>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</si>
  <si>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</si>
  <si>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</si>
  <si>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</si>
  <si>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</si>
  <si>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</si>
  <si>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</si>
  <si>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</si>
  <si>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</si>
  <si>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</si>
  <si>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</si>
  <si>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</si>
  <si>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</si>
  <si>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</si>
  <si>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</si>
  <si>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</si>
  <si>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</si>
  <si>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</si>
  <si>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</si>
  <si>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</si>
  <si>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</si>
  <si>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</si>
  <si>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</si>
  <si>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</si>
  <si>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</si>
  <si>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</si>
  <si>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</si>
  <si>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</si>
  <si>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</si>
  <si>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</si>
  <si>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</si>
  <si>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</si>
  <si>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</si>
  <si>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</si>
  <si>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</si>
  <si>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Classe 1/5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</si>
</sst>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  <font>
      <b/>
      <sz val="11"/>
      <color rgb="FFFF0000"/>
      <name val="Calibri"/>
      <family val="2"/>
    </font>
    <font>
      <sz val="11"/>
      <color theme="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2.2831395831066059</c:v>
                </c:pt>
                <c:pt idx="2">
                  <c:v>3.3622715131356418</c:v>
                </c:pt>
                <c:pt idx="3">
                  <c:v>4.9537668206699985</c:v>
                </c:pt>
                <c:pt idx="4">
                  <c:v>7.3019206751682626</c:v>
                </c:pt>
                <c:pt idx="5">
                  <c:v>10.76796491885821</c:v>
                </c:pt>
                <c:pt idx="6">
                  <c:v>15.886243830543714</c:v>
                </c:pt>
                <c:pt idx="7">
                  <c:v>23.447465214308199</c:v>
                </c:pt>
                <c:pt idx="8">
                  <c:v>34.622115381339128</c:v>
                </c:pt>
                <c:pt idx="9">
                  <c:v>51.143470796173354</c:v>
                </c:pt>
                <c:pt idx="10">
                  <c:v>75.579065897063757</c:v>
                </c:pt>
                <c:pt idx="11">
                  <c:v>111.73348684590691</c:v>
                </c:pt>
                <c:pt idx="12">
                  <c:v>141.78926461478019</c:v>
                </c:pt>
                <c:pt idx="13">
                  <c:v>119.59120534711991</c:v>
                </c:pt>
                <c:pt idx="14">
                  <c:v>146.99966348541213</c:v>
                </c:pt>
                <c:pt idx="15">
                  <c:v>174.28565960860999</c:v>
                </c:pt>
                <c:pt idx="16">
                  <c:v>202.76343275622813</c:v>
                </c:pt>
                <c:pt idx="17">
                  <c:v>232.43676367300131</c:v>
                </c:pt>
                <c:pt idx="18">
                  <c:v>200.17860042757502</c:v>
                </c:pt>
                <c:pt idx="19">
                  <c:v>225.99384895175194</c:v>
                </c:pt>
                <c:pt idx="20">
                  <c:v>253.02728945651543</c:v>
                </c:pt>
                <c:pt idx="21">
                  <c:v>278.7124764590701</c:v>
                </c:pt>
                <c:pt idx="22">
                  <c:v>304.34456023906205</c:v>
                </c:pt>
                <c:pt idx="23">
                  <c:v>253.02728945651543</c:v>
                </c:pt>
                <c:pt idx="24">
                  <c:v>274.86322161173604</c:v>
                </c:pt>
                <c:pt idx="25">
                  <c:v>296.66018896478852</c:v>
                </c:pt>
                <c:pt idx="26">
                  <c:v>319.70048005131179</c:v>
                </c:pt>
                <c:pt idx="27">
                  <c:v>341.42696956725416</c:v>
                </c:pt>
                <c:pt idx="28">
                  <c:v>361.84763005162068</c:v>
                </c:pt>
                <c:pt idx="29">
                  <c:v>382.24310448239459</c:v>
                </c:pt>
                <c:pt idx="30">
                  <c:v>402.61492499148608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3.4242706845924036</c:v>
                </c:pt>
                <c:pt idx="2">
                  <c:v>4.23452449562091</c:v>
                </c:pt>
                <c:pt idx="3">
                  <c:v>5.2372269257242623</c:v>
                </c:pt>
                <c:pt idx="4">
                  <c:v>6.4782499519449681</c:v>
                </c:pt>
                <c:pt idx="5">
                  <c:v>8.0144357225519247</c:v>
                </c:pt>
                <c:pt idx="6">
                  <c:v>9.9162280696988869</c:v>
                </c:pt>
                <c:pt idx="7">
                  <c:v>12.270937041445288</c:v>
                </c:pt>
                <c:pt idx="8">
                  <c:v>15.186789119606113</c:v>
                </c:pt>
                <c:pt idx="9">
                  <c:v>18.79795269486274</c:v>
                </c:pt>
                <c:pt idx="10">
                  <c:v>23.270774215677008</c:v>
                </c:pt>
                <c:pt idx="11">
                  <c:v>31.518753946594902</c:v>
                </c:pt>
                <c:pt idx="12">
                  <c:v>39.706482868625891</c:v>
                </c:pt>
                <c:pt idx="13">
                  <c:v>47.84827160928824</c:v>
                </c:pt>
                <c:pt idx="14">
                  <c:v>55.953091820831666</c:v>
                </c:pt>
                <c:pt idx="15">
                  <c:v>64.027078344584183</c:v>
                </c:pt>
                <c:pt idx="16">
                  <c:v>74.740571321461616</c:v>
                </c:pt>
                <c:pt idx="17">
                  <c:v>85.414838717639938</c:v>
                </c:pt>
                <c:pt idx="18">
                  <c:v>96.055486975944646</c:v>
                </c:pt>
                <c:pt idx="19">
                  <c:v>106.66677313283269</c:v>
                </c:pt>
                <c:pt idx="20">
                  <c:v>117.25203493241003</c:v>
                </c:pt>
                <c:pt idx="21">
                  <c:v>128.60606626278192</c:v>
                </c:pt>
                <c:pt idx="22">
                  <c:v>139.93583483199009</c:v>
                </c:pt>
                <c:pt idx="23">
                  <c:v>151.24358407394661</c:v>
                </c:pt>
                <c:pt idx="24">
                  <c:v>162.53119392159729</c:v>
                </c:pt>
                <c:pt idx="25">
                  <c:v>173.80026143008649</c:v>
                </c:pt>
                <c:pt idx="26">
                  <c:v>188.25923296962108</c:v>
                </c:pt>
                <c:pt idx="27">
                  <c:v>202.69231236394327</c:v>
                </c:pt>
                <c:pt idx="28">
                  <c:v>217.10160367824651</c:v>
                </c:pt>
                <c:pt idx="29">
                  <c:v>231.48890861551695</c:v>
                </c:pt>
                <c:pt idx="30">
                  <c:v>245.85578646746384</c:v>
                </c:pt>
                <c:pt idx="31">
                  <c:v>257.03704614482399</c:v>
                </c:pt>
                <c:pt idx="32">
                  <c:v>268.20730855723895</c:v>
                </c:pt>
                <c:pt idx="33">
                  <c:v>279.3670965260568</c:v>
                </c:pt>
                <c:pt idx="34">
                  <c:v>290.51688766596311</c:v>
                </c:pt>
                <c:pt idx="35">
                  <c:v>301.65711991620759</c:v>
                </c:pt>
                <c:pt idx="36">
                  <c:v>322.06286737399427</c:v>
                </c:pt>
                <c:pt idx="37">
                  <c:v>342.44002941216337</c:v>
                </c:pt>
                <c:pt idx="38">
                  <c:v>362.7905454552515</c:v>
                </c:pt>
                <c:pt idx="39">
                  <c:v>383.11611965019011</c:v>
                </c:pt>
                <c:pt idx="40">
                  <c:v>403.41826063463105</c:v>
                </c:pt>
                <c:pt idx="41">
                  <c:v>418.72872304876546</c:v>
                </c:pt>
                <c:pt idx="42">
                  <c:v>434.02712680945439</c:v>
                </c:pt>
                <c:pt idx="43">
                  <c:v>449.31395670395949</c:v>
                </c:pt>
                <c:pt idx="44">
                  <c:v>464.58966184983018</c:v>
                </c:pt>
                <c:pt idx="45">
                  <c:v>479.85465943031477</c:v>
                </c:pt>
                <c:pt idx="46">
                  <c:v>496.90719017346538</c:v>
                </c:pt>
                <c:pt idx="47">
                  <c:v>513.94732915628754</c:v>
                </c:pt>
                <c:pt idx="48">
                  <c:v>530.97554485774538</c:v>
                </c:pt>
                <c:pt idx="49">
                  <c:v>547.9922732753929</c:v>
                </c:pt>
                <c:pt idx="50">
                  <c:v>564.99792113684691</c:v>
                </c:pt>
                <c:pt idx="51">
                  <c:v>583.88236119142482</c:v>
                </c:pt>
                <c:pt idx="52">
                  <c:v>602.75407507458453</c:v>
                </c:pt>
                <c:pt idx="53">
                  <c:v>621.61351699776333</c:v>
                </c:pt>
                <c:pt idx="54">
                  <c:v>640.46111138759613</c:v>
                </c:pt>
                <c:pt idx="55">
                  <c:v>659.29725567586672</c:v>
                </c:pt>
                <c:pt idx="56">
                  <c:v>680.1032788839193</c:v>
                </c:pt>
                <c:pt idx="57">
                  <c:v>700.89624142155355</c:v>
                </c:pt>
                <c:pt idx="58">
                  <c:v>721.67658486944367</c:v>
                </c:pt>
                <c:pt idx="59">
                  <c:v>742.44472333348619</c:v>
                </c:pt>
                <c:pt idx="60">
                  <c:v>763.20104589040227</c:v>
                </c:pt>
                <c:pt idx="61">
                  <c:v>763.20104589040227</c:v>
                </c:pt>
                <c:pt idx="62">
                  <c:v>763.20104589040227</c:v>
                </c:pt>
                <c:pt idx="63">
                  <c:v>763.20104589040227</c:v>
                </c:pt>
                <c:pt idx="64">
                  <c:v>763.20104589040227</c:v>
                </c:pt>
                <c:pt idx="65">
                  <c:v>763.20104589040227</c:v>
                </c:pt>
                <c:pt idx="66">
                  <c:v>763.20104589040227</c:v>
                </c:pt>
                <c:pt idx="67">
                  <c:v>763.20104589040227</c:v>
                </c:pt>
                <c:pt idx="68">
                  <c:v>763.20104589040227</c:v>
                </c:pt>
                <c:pt idx="69">
                  <c:v>763.20104589040227</c:v>
                </c:pt>
                <c:pt idx="70">
                  <c:v>763.20104589040227</c:v>
                </c:pt>
                <c:pt idx="71">
                  <c:v>763.20104589040227</c:v>
                </c:pt>
                <c:pt idx="72">
                  <c:v>763.20104589040227</c:v>
                </c:pt>
                <c:pt idx="73">
                  <c:v>763.20104589040227</c:v>
                </c:pt>
                <c:pt idx="74">
                  <c:v>763.20104589040227</c:v>
                </c:pt>
                <c:pt idx="75">
                  <c:v>763.20104589040227</c:v>
                </c:pt>
                <c:pt idx="76">
                  <c:v>763.20104589040227</c:v>
                </c:pt>
                <c:pt idx="77">
                  <c:v>763.20104589040227</c:v>
                </c:pt>
                <c:pt idx="78">
                  <c:v>763.20104589040227</c:v>
                </c:pt>
                <c:pt idx="79">
                  <c:v>763.20104589040227</c:v>
                </c:pt>
                <c:pt idx="80">
                  <c:v>763.20104589040227</c:v>
                </c:pt>
                <c:pt idx="81">
                  <c:v>763.20104589040227</c:v>
                </c:pt>
                <c:pt idx="82">
                  <c:v>763.20104589040227</c:v>
                </c:pt>
                <c:pt idx="83">
                  <c:v>763.20104589040227</c:v>
                </c:pt>
                <c:pt idx="84">
                  <c:v>763.20104589040227</c:v>
                </c:pt>
                <c:pt idx="85">
                  <c:v>763.20104589040227</c:v>
                </c:pt>
                <c:pt idx="86">
                  <c:v>763.20104589040227</c:v>
                </c:pt>
                <c:pt idx="87">
                  <c:v>763.20104589040227</c:v>
                </c:pt>
                <c:pt idx="88">
                  <c:v>763.20104589040227</c:v>
                </c:pt>
                <c:pt idx="89">
                  <c:v>763.20104589040227</c:v>
                </c:pt>
                <c:pt idx="90">
                  <c:v>763.20104589040227</c:v>
                </c:pt>
                <c:pt idx="91">
                  <c:v>763.20104589040227</c:v>
                </c:pt>
                <c:pt idx="92">
                  <c:v>763.20104589040227</c:v>
                </c:pt>
                <c:pt idx="93">
                  <c:v>763.20104589040227</c:v>
                </c:pt>
                <c:pt idx="94">
                  <c:v>763.20104589040227</c:v>
                </c:pt>
                <c:pt idx="95">
                  <c:v>763.20104589040227</c:v>
                </c:pt>
                <c:pt idx="96">
                  <c:v>763.20104589040227</c:v>
                </c:pt>
                <c:pt idx="97">
                  <c:v>763.20104589040227</c:v>
                </c:pt>
                <c:pt idx="98">
                  <c:v>763.20104589040227</c:v>
                </c:pt>
                <c:pt idx="99">
                  <c:v>763.20104589040227</c:v>
                </c:pt>
                <c:pt idx="100">
                  <c:v>763.20104589040227</c:v>
                </c:pt>
                <c:pt idx="101">
                  <c:v>763.20104589040227</c:v>
                </c:pt>
                <c:pt idx="102">
                  <c:v>763.20104589040227</c:v>
                </c:pt>
                <c:pt idx="103">
                  <c:v>763.20104589040227</c:v>
                </c:pt>
                <c:pt idx="104">
                  <c:v>763.20104589040227</c:v>
                </c:pt>
                <c:pt idx="105">
                  <c:v>763.20104589040227</c:v>
                </c:pt>
                <c:pt idx="106">
                  <c:v>763.20104589040227</c:v>
                </c:pt>
                <c:pt idx="107">
                  <c:v>763.20104589040227</c:v>
                </c:pt>
                <c:pt idx="108">
                  <c:v>763.20104589040227</c:v>
                </c:pt>
                <c:pt idx="109">
                  <c:v>763.20104589040227</c:v>
                </c:pt>
                <c:pt idx="110">
                  <c:v>763.20104589040227</c:v>
                </c:pt>
                <c:pt idx="111">
                  <c:v>763.20104589040227</c:v>
                </c:pt>
                <c:pt idx="112">
                  <c:v>763.20104589040227</c:v>
                </c:pt>
                <c:pt idx="113">
                  <c:v>763.20104589040227</c:v>
                </c:pt>
                <c:pt idx="114">
                  <c:v>763.20104589040227</c:v>
                </c:pt>
                <c:pt idx="115">
                  <c:v>763.20104589040227</c:v>
                </c:pt>
                <c:pt idx="116">
                  <c:v>763.20104589040227</c:v>
                </c:pt>
                <c:pt idx="117">
                  <c:v>763.20104589040227</c:v>
                </c:pt>
                <c:pt idx="118">
                  <c:v>763.20104589040227</c:v>
                </c:pt>
                <c:pt idx="119">
                  <c:v>763.20104589040227</c:v>
                </c:pt>
                <c:pt idx="120">
                  <c:v>763.20104589040227</c:v>
                </c:pt>
                <c:pt idx="121">
                  <c:v>763.20104589040227</c:v>
                </c:pt>
                <c:pt idx="122">
                  <c:v>763.20104589040227</c:v>
                </c:pt>
                <c:pt idx="123">
                  <c:v>763.20104589040227</c:v>
                </c:pt>
                <c:pt idx="124">
                  <c:v>763.20104589040227</c:v>
                </c:pt>
                <c:pt idx="125">
                  <c:v>763.20104589040227</c:v>
                </c:pt>
                <c:pt idx="126">
                  <c:v>763.20104589040227</c:v>
                </c:pt>
                <c:pt idx="127">
                  <c:v>763.20104589040227</c:v>
                </c:pt>
                <c:pt idx="128">
                  <c:v>763.20104589040227</c:v>
                </c:pt>
                <c:pt idx="129">
                  <c:v>763.20104589040227</c:v>
                </c:pt>
                <c:pt idx="130">
                  <c:v>763.20104589040227</c:v>
                </c:pt>
                <c:pt idx="131">
                  <c:v>763.20104589040227</c:v>
                </c:pt>
                <c:pt idx="132">
                  <c:v>763.20104589040227</c:v>
                </c:pt>
                <c:pt idx="133">
                  <c:v>763.20104589040227</c:v>
                </c:pt>
                <c:pt idx="134">
                  <c:v>763.20104589040227</c:v>
                </c:pt>
                <c:pt idx="135">
                  <c:v>763.20104589040227</c:v>
                </c:pt>
                <c:pt idx="136">
                  <c:v>763.20104589040227</c:v>
                </c:pt>
                <c:pt idx="137">
                  <c:v>763.20104589040227</c:v>
                </c:pt>
                <c:pt idx="138">
                  <c:v>763.20104589040227</c:v>
                </c:pt>
                <c:pt idx="139">
                  <c:v>763.20104589040227</c:v>
                </c:pt>
                <c:pt idx="140">
                  <c:v>763.20104589040227</c:v>
                </c:pt>
                <c:pt idx="141">
                  <c:v>763.20104589040227</c:v>
                </c:pt>
                <c:pt idx="142">
                  <c:v>763.20104589040227</c:v>
                </c:pt>
                <c:pt idx="143">
                  <c:v>763.20104589040227</c:v>
                </c:pt>
                <c:pt idx="144">
                  <c:v>763.20104589040227</c:v>
                </c:pt>
                <c:pt idx="145">
                  <c:v>763.20104589040227</c:v>
                </c:pt>
                <c:pt idx="146">
                  <c:v>763.20104589040227</c:v>
                </c:pt>
                <c:pt idx="147">
                  <c:v>763.20104589040227</c:v>
                </c:pt>
                <c:pt idx="148">
                  <c:v>763.20104589040227</c:v>
                </c:pt>
                <c:pt idx="149">
                  <c:v>763.20104589040227</c:v>
                </c:pt>
                <c:pt idx="150">
                  <c:v>763.20104589040227</c:v>
                </c:pt>
                <c:pt idx="151">
                  <c:v>763.20104589040227</c:v>
                </c:pt>
                <c:pt idx="152">
                  <c:v>763.20104589040227</c:v>
                </c:pt>
                <c:pt idx="153">
                  <c:v>763.20104589040227</c:v>
                </c:pt>
                <c:pt idx="154">
                  <c:v>763.20104589040227</c:v>
                </c:pt>
                <c:pt idx="155">
                  <c:v>763.20104589040227</c:v>
                </c:pt>
                <c:pt idx="156">
                  <c:v>763.20104589040227</c:v>
                </c:pt>
                <c:pt idx="157">
                  <c:v>763.20104589040227</c:v>
                </c:pt>
                <c:pt idx="158">
                  <c:v>763.20104589040227</c:v>
                </c:pt>
                <c:pt idx="159">
                  <c:v>763.20104589040227</c:v>
                </c:pt>
                <c:pt idx="160">
                  <c:v>763.20104589040227</c:v>
                </c:pt>
                <c:pt idx="161">
                  <c:v>763.20104589040227</c:v>
                </c:pt>
                <c:pt idx="162">
                  <c:v>763.20104589040227</c:v>
                </c:pt>
                <c:pt idx="163">
                  <c:v>763.20104589040227</c:v>
                </c:pt>
                <c:pt idx="164">
                  <c:v>763.20104589040227</c:v>
                </c:pt>
                <c:pt idx="165">
                  <c:v>763.20104589040227</c:v>
                </c:pt>
                <c:pt idx="166">
                  <c:v>763.20104589040227</c:v>
                </c:pt>
                <c:pt idx="167">
                  <c:v>763.20104589040227</c:v>
                </c:pt>
                <c:pt idx="168">
                  <c:v>763.20104589040227</c:v>
                </c:pt>
                <c:pt idx="169">
                  <c:v>763.20104589040227</c:v>
                </c:pt>
                <c:pt idx="170">
                  <c:v>763.20104589040227</c:v>
                </c:pt>
                <c:pt idx="171">
                  <c:v>763.20104589040227</c:v>
                </c:pt>
                <c:pt idx="172">
                  <c:v>763.20104589040227</c:v>
                </c:pt>
                <c:pt idx="173">
                  <c:v>763.20104589040227</c:v>
                </c:pt>
                <c:pt idx="174">
                  <c:v>763.20104589040227</c:v>
                </c:pt>
                <c:pt idx="175">
                  <c:v>763.20104589040227</c:v>
                </c:pt>
                <c:pt idx="176">
                  <c:v>763.20104589040227</c:v>
                </c:pt>
                <c:pt idx="177">
                  <c:v>763.20104589040227</c:v>
                </c:pt>
                <c:pt idx="178">
                  <c:v>763.20104589040227</c:v>
                </c:pt>
                <c:pt idx="179">
                  <c:v>763.20104589040227</c:v>
                </c:pt>
                <c:pt idx="180">
                  <c:v>763.20104589040227</c:v>
                </c:pt>
                <c:pt idx="181">
                  <c:v>763.20104589040227</c:v>
                </c:pt>
                <c:pt idx="182">
                  <c:v>763.20104589040227</c:v>
                </c:pt>
                <c:pt idx="183">
                  <c:v>763.20104589040227</c:v>
                </c:pt>
                <c:pt idx="184">
                  <c:v>763.20104589040227</c:v>
                </c:pt>
                <c:pt idx="185">
                  <c:v>763.20104589040227</c:v>
                </c:pt>
                <c:pt idx="186">
                  <c:v>763.20104589040227</c:v>
                </c:pt>
                <c:pt idx="187">
                  <c:v>763.20104589040227</c:v>
                </c:pt>
                <c:pt idx="188">
                  <c:v>763.20104589040227</c:v>
                </c:pt>
                <c:pt idx="189">
                  <c:v>763.20104589040227</c:v>
                </c:pt>
                <c:pt idx="190">
                  <c:v>763.20104589040227</c:v>
                </c:pt>
                <c:pt idx="191">
                  <c:v>763.20104589040227</c:v>
                </c:pt>
                <c:pt idx="192">
                  <c:v>763.20104589040227</c:v>
                </c:pt>
                <c:pt idx="193">
                  <c:v>763.20104589040227</c:v>
                </c:pt>
                <c:pt idx="194">
                  <c:v>763.20104589040227</c:v>
                </c:pt>
                <c:pt idx="195">
                  <c:v>763.20104589040227</c:v>
                </c:pt>
                <c:pt idx="196">
                  <c:v>763.20104589040227</c:v>
                </c:pt>
                <c:pt idx="197">
                  <c:v>763.20104589040227</c:v>
                </c:pt>
                <c:pt idx="198">
                  <c:v>763.20104589040227</c:v>
                </c:pt>
                <c:pt idx="199">
                  <c:v>763.20104589040227</c:v>
                </c:pt>
                <c:pt idx="200">
                  <c:v>763.20104589040227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5" x14ac:dyDescent="0.35"/>
  <cols>
    <col min="1" max="1" width="6.6328125" customWidth="1"/>
    <col min="2" max="13" width="15.81640625" customWidth="1"/>
  </cols>
  <sheetData>
    <row r="12" spans="2:13" ht="15" customHeight="1" x14ac:dyDescent="0.35">
      <c r="B12" s="266" t="s">
        <v>291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</row>
    <row r="13" spans="2:13" ht="15" customHeight="1" x14ac:dyDescent="0.35"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</row>
    <row r="14" spans="2:13" ht="15" customHeight="1" x14ac:dyDescent="0.35"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</row>
    <row r="15" spans="2:13" ht="18.75" customHeight="1" x14ac:dyDescent="0.35"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</row>
    <row r="16" spans="2:13" ht="18.75" customHeight="1" x14ac:dyDescent="0.35"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</row>
    <row r="18" spans="2:13" ht="12" customHeight="1" x14ac:dyDescent="0.35">
      <c r="B18" s="266" t="s">
        <v>292</v>
      </c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</row>
    <row r="19" spans="2:13" ht="12" customHeight="1" x14ac:dyDescent="0.35"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</row>
    <row r="20" spans="2:13" ht="12" customHeight="1" x14ac:dyDescent="0.35"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</row>
    <row r="21" spans="2:13" ht="12" customHeight="1" x14ac:dyDescent="0.35"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</row>
    <row r="22" spans="2:13" ht="12" customHeight="1" x14ac:dyDescent="0.35"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</row>
    <row r="23" spans="2:13" ht="12" customHeight="1" x14ac:dyDescent="0.35">
      <c r="B23" s="266"/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6"/>
    </row>
    <row r="24" spans="2:13" ht="12" customHeight="1" x14ac:dyDescent="0.35"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</row>
    <row r="25" spans="2:13" ht="12" customHeight="1" x14ac:dyDescent="0.35"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</row>
    <row r="26" spans="2:13" ht="12" customHeight="1" x14ac:dyDescent="0.35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</row>
    <row r="27" spans="2:13" ht="12" customHeight="1" x14ac:dyDescent="0.35"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</row>
    <row r="28" spans="2:13" ht="12" customHeight="1" x14ac:dyDescent="0.35"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</row>
    <row r="29" spans="2:13" ht="12" customHeight="1" x14ac:dyDescent="0.35">
      <c r="B29" s="266"/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</row>
    <row r="30" spans="2:13" ht="12" customHeight="1" x14ac:dyDescent="0.35"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</row>
    <row r="31" spans="2:13" ht="12" customHeight="1" x14ac:dyDescent="0.35">
      <c r="B31" s="266"/>
      <c r="C31" s="266"/>
      <c r="D31" s="266"/>
      <c r="E31" s="266"/>
      <c r="F31" s="266"/>
      <c r="G31" s="266"/>
      <c r="H31" s="266"/>
      <c r="I31" s="266"/>
      <c r="J31" s="266"/>
      <c r="K31" s="266"/>
      <c r="L31" s="266"/>
      <c r="M31" s="26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80" zoomScaleNormal="80" workbookViewId="0">
      <selection activeCell="C11" sqref="C11"/>
    </sheetView>
  </sheetViews>
  <sheetFormatPr baseColWidth="10" defaultColWidth="11.453125" defaultRowHeight="14.5" x14ac:dyDescent="0.35"/>
  <cols>
    <col min="1" max="1" width="13.6328125" style="23" customWidth="1"/>
    <col min="2" max="2" width="36.08984375" style="23" customWidth="1"/>
    <col min="3" max="3" width="14.81640625" style="23" bestFit="1" customWidth="1"/>
    <col min="4" max="4" width="16.453125" style="23" customWidth="1"/>
    <col min="5" max="5" width="23.36328125" style="23" customWidth="1"/>
    <col min="6" max="6" width="28.81640625" style="23" bestFit="1" customWidth="1"/>
    <col min="7" max="8" width="14.63281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67" t="s">
        <v>190</v>
      </c>
      <c r="D1" s="267"/>
      <c r="E1" s="267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72" t="s">
        <v>192</v>
      </c>
      <c r="C3" s="273"/>
      <c r="D3" s="273"/>
      <c r="E3" s="273"/>
      <c r="F3" s="274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77" t="s">
        <v>231</v>
      </c>
      <c r="B5" s="277"/>
      <c r="C5" s="24">
        <v>2.86</v>
      </c>
      <c r="D5" s="278" t="s">
        <v>229</v>
      </c>
      <c r="E5" s="279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76" t="s">
        <v>226</v>
      </c>
      <c r="B7" s="276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G8" s="23" t="s">
        <v>324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165</v>
      </c>
      <c r="B9" s="261" t="s">
        <v>36</v>
      </c>
      <c r="C9" s="262">
        <v>0.9798</v>
      </c>
      <c r="D9" s="33">
        <f t="shared" ref="D9:D18" si="0">C9*$C$5</f>
        <v>2.8022279999999999</v>
      </c>
      <c r="E9" s="263">
        <v>30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166</v>
      </c>
      <c r="B10" s="261" t="s">
        <v>10</v>
      </c>
      <c r="C10" s="262">
        <v>2.0199999999999999E-2</v>
      </c>
      <c r="D10" s="33">
        <f t="shared" si="0"/>
        <v>5.7771999999999997E-2</v>
      </c>
      <c r="E10" s="263">
        <v>60</v>
      </c>
      <c r="F10" s="35" t="str">
        <f t="array" ref="F10">IF(E10="","",IF(INDEX(A:A,MAX(IF(ISNUMBER($A$62:$A$81),ROW($A$62:$A$81),"")))&lt;&gt;E10,"Corrigez : révolution incorrecte","OK"))</f>
        <v>OK</v>
      </c>
      <c r="G10" s="23" t="s">
        <v>324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167</v>
      </c>
      <c r="B11" s="261"/>
      <c r="C11" s="262"/>
      <c r="D11" s="33">
        <f t="shared" si="0"/>
        <v>0</v>
      </c>
      <c r="E11" s="263"/>
      <c r="F11" s="35" t="str">
        <f t="array" ref="F11">IF(E11="","",IF(INDEX(A:A,MAX(IF(ISNUMBER($A$88:$A$107),ROW($A$88:$A$107),"")))&lt;&gt;E11,"Corrigez : révolution incorrecte","OK"))</f>
        <v/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168</v>
      </c>
      <c r="B12" s="261"/>
      <c r="C12" s="262"/>
      <c r="D12" s="33">
        <f t="shared" si="0"/>
        <v>0</v>
      </c>
      <c r="E12" s="263"/>
      <c r="F12" s="35" t="str">
        <f t="array" ref="F12">IF(E12="","",IF(INDEX(A:A,MAX(IF(ISNUMBER($A$114:$A$133),ROW($A$114:$A$133),"")))&lt;&gt;E12,"Corrigez : révolution incorrecte","OK"))</f>
        <v/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7"/>
      <c r="B19" s="36" t="s">
        <v>175</v>
      </c>
      <c r="C19" s="37">
        <f>SUM(C9:C18)</f>
        <v>1</v>
      </c>
      <c r="D19" s="38">
        <f>SUM(D9:D18)</f>
        <v>2.86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75" t="s">
        <v>232</v>
      </c>
      <c r="B22" s="27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218</v>
      </c>
      <c r="B24" s="42" t="s">
        <v>224</v>
      </c>
      <c r="C24" s="43">
        <v>0.2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222</v>
      </c>
      <c r="B26" s="42" t="s">
        <v>221</v>
      </c>
      <c r="C26" s="43">
        <v>0.15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76" t="s">
        <v>227</v>
      </c>
      <c r="B30" s="276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165</v>
      </c>
      <c r="B32" s="47" t="str">
        <f>IF(B9="","",B9)</f>
        <v>Pin maritime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4" t="s">
        <v>185</v>
      </c>
      <c r="C34" s="268" t="s">
        <v>186</v>
      </c>
      <c r="D34" s="268"/>
      <c r="E34" s="269" t="s">
        <v>187</v>
      </c>
      <c r="F34" s="270"/>
      <c r="G34" s="270"/>
      <c r="H34" s="271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264">
        <v>11</v>
      </c>
      <c r="B36" s="264">
        <v>83</v>
      </c>
      <c r="C36" s="264"/>
      <c r="D36" s="264"/>
      <c r="E36" s="259"/>
      <c r="F36" s="259"/>
      <c r="G36" s="259"/>
      <c r="H36" s="259"/>
      <c r="I36" s="49">
        <f>IFERROR(B36/A36,"")</f>
        <v>7.5454545454545459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264">
        <v>12</v>
      </c>
      <c r="B37" s="264">
        <v>106</v>
      </c>
      <c r="C37" s="264">
        <v>1</v>
      </c>
      <c r="D37" s="264">
        <v>34</v>
      </c>
      <c r="E37" s="259"/>
      <c r="F37" s="259"/>
      <c r="G37" s="259">
        <v>1</v>
      </c>
      <c r="H37" s="259"/>
      <c r="I37" s="53">
        <f t="shared" ref="I37:I55" si="1">IF(A37&lt;&gt;0,(B37-(B36-D36))/(A37-A36),"")</f>
        <v>23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264">
        <v>13</v>
      </c>
      <c r="B38" s="264">
        <v>89</v>
      </c>
      <c r="C38" s="264"/>
      <c r="D38" s="264"/>
      <c r="E38" s="259"/>
      <c r="F38" s="259"/>
      <c r="G38" s="259"/>
      <c r="H38" s="259"/>
      <c r="I38" s="53">
        <f t="shared" si="1"/>
        <v>17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264">
        <v>14</v>
      </c>
      <c r="B39" s="264">
        <v>110</v>
      </c>
      <c r="C39" s="264"/>
      <c r="D39" s="264"/>
      <c r="E39" s="259"/>
      <c r="F39" s="259"/>
      <c r="G39" s="259"/>
      <c r="H39" s="259"/>
      <c r="I39" s="49">
        <f t="shared" si="1"/>
        <v>21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264">
        <v>15</v>
      </c>
      <c r="B40" s="264">
        <v>131</v>
      </c>
      <c r="C40" s="264"/>
      <c r="D40" s="264"/>
      <c r="E40" s="259"/>
      <c r="F40" s="259"/>
      <c r="G40" s="259"/>
      <c r="H40" s="259"/>
      <c r="I40" s="49">
        <f t="shared" si="1"/>
        <v>21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264">
        <v>16</v>
      </c>
      <c r="B41" s="264">
        <v>153</v>
      </c>
      <c r="C41" s="264"/>
      <c r="D41" s="264"/>
      <c r="E41" s="259"/>
      <c r="F41" s="259"/>
      <c r="G41" s="259"/>
      <c r="H41" s="259"/>
      <c r="I41" s="53">
        <f t="shared" si="1"/>
        <v>22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264">
        <v>17</v>
      </c>
      <c r="B42" s="264">
        <v>176</v>
      </c>
      <c r="C42" s="264">
        <v>2</v>
      </c>
      <c r="D42" s="264">
        <v>43</v>
      </c>
      <c r="E42" s="259">
        <v>0.25</v>
      </c>
      <c r="F42" s="259">
        <v>0.75</v>
      </c>
      <c r="G42" s="259"/>
      <c r="H42" s="259"/>
      <c r="I42" s="53">
        <f t="shared" si="1"/>
        <v>23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264">
        <v>18</v>
      </c>
      <c r="B43" s="264">
        <v>151</v>
      </c>
      <c r="C43" s="264"/>
      <c r="D43" s="264"/>
      <c r="E43" s="259"/>
      <c r="F43" s="259"/>
      <c r="G43" s="259"/>
      <c r="H43" s="259"/>
      <c r="I43" s="49">
        <f t="shared" si="1"/>
        <v>18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264">
        <v>19</v>
      </c>
      <c r="B44" s="264">
        <v>171</v>
      </c>
      <c r="C44" s="264"/>
      <c r="D44" s="264"/>
      <c r="E44" s="259"/>
      <c r="F44" s="259"/>
      <c r="G44" s="259"/>
      <c r="H44" s="259"/>
      <c r="I44" s="49">
        <f t="shared" si="1"/>
        <v>20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264">
        <v>20</v>
      </c>
      <c r="B45" s="260">
        <v>192</v>
      </c>
      <c r="C45" s="264"/>
      <c r="D45" s="260"/>
      <c r="E45" s="259"/>
      <c r="F45" s="259"/>
      <c r="G45" s="259"/>
      <c r="H45" s="259"/>
      <c r="I45" s="49">
        <f t="shared" si="1"/>
        <v>21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264">
        <v>21</v>
      </c>
      <c r="B46" s="265">
        <v>212</v>
      </c>
      <c r="C46" s="264"/>
      <c r="D46" s="265"/>
      <c r="E46" s="259"/>
      <c r="F46" s="259"/>
      <c r="G46" s="259"/>
      <c r="H46" s="259"/>
      <c r="I46" s="49">
        <f t="shared" si="1"/>
        <v>20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264">
        <v>22</v>
      </c>
      <c r="B47" s="260">
        <v>232</v>
      </c>
      <c r="C47" s="264">
        <v>3</v>
      </c>
      <c r="D47" s="260">
        <v>56</v>
      </c>
      <c r="E47" s="259">
        <v>0.6</v>
      </c>
      <c r="F47" s="259">
        <v>0.4</v>
      </c>
      <c r="G47" s="259"/>
      <c r="H47" s="259"/>
      <c r="I47" s="49">
        <f t="shared" si="1"/>
        <v>20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264">
        <v>23</v>
      </c>
      <c r="B48" s="260">
        <v>192</v>
      </c>
      <c r="C48" s="264"/>
      <c r="D48" s="260"/>
      <c r="E48" s="259"/>
      <c r="F48" s="259"/>
      <c r="G48" s="259"/>
      <c r="H48" s="259"/>
      <c r="I48" s="49">
        <f t="shared" si="1"/>
        <v>16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264">
        <v>24</v>
      </c>
      <c r="B49" s="260">
        <v>209</v>
      </c>
      <c r="C49" s="264"/>
      <c r="D49" s="260"/>
      <c r="E49" s="259"/>
      <c r="F49" s="259"/>
      <c r="G49" s="259"/>
      <c r="H49" s="259"/>
      <c r="I49" s="49">
        <f t="shared" si="1"/>
        <v>17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260">
        <v>25</v>
      </c>
      <c r="B50" s="260">
        <v>226</v>
      </c>
      <c r="C50" s="260"/>
      <c r="D50" s="260"/>
      <c r="E50" s="259"/>
      <c r="F50" s="259"/>
      <c r="G50" s="259"/>
      <c r="H50" s="259"/>
      <c r="I50" s="49">
        <f t="shared" si="1"/>
        <v>17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260">
        <v>26</v>
      </c>
      <c r="B51" s="260">
        <v>244</v>
      </c>
      <c r="C51" s="260"/>
      <c r="D51" s="260"/>
      <c r="E51" s="259"/>
      <c r="F51" s="259"/>
      <c r="G51" s="259"/>
      <c r="H51" s="259"/>
      <c r="I51" s="49">
        <f t="shared" si="1"/>
        <v>18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260">
        <v>27</v>
      </c>
      <c r="B52" s="260">
        <v>261</v>
      </c>
      <c r="C52" s="260"/>
      <c r="D52" s="260"/>
      <c r="E52" s="259"/>
      <c r="F52" s="259"/>
      <c r="G52" s="259"/>
      <c r="H52" s="259"/>
      <c r="I52" s="49">
        <f t="shared" si="1"/>
        <v>17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260">
        <v>28</v>
      </c>
      <c r="B53" s="260">
        <v>277</v>
      </c>
      <c r="C53" s="260"/>
      <c r="D53" s="260"/>
      <c r="E53" s="259"/>
      <c r="F53" s="259"/>
      <c r="G53" s="259"/>
      <c r="H53" s="259"/>
      <c r="I53" s="49">
        <f t="shared" si="1"/>
        <v>16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260">
        <v>29</v>
      </c>
      <c r="B54" s="260">
        <v>293</v>
      </c>
      <c r="C54" s="260"/>
      <c r="D54" s="260"/>
      <c r="E54" s="259"/>
      <c r="F54" s="259"/>
      <c r="G54" s="259"/>
      <c r="H54" s="259"/>
      <c r="I54" s="49">
        <f t="shared" si="1"/>
        <v>16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260">
        <v>30</v>
      </c>
      <c r="B55" s="260">
        <v>309</v>
      </c>
      <c r="C55" s="260">
        <v>4</v>
      </c>
      <c r="D55" s="260">
        <v>309</v>
      </c>
      <c r="E55" s="259">
        <v>1</v>
      </c>
      <c r="F55" s="259"/>
      <c r="G55" s="259"/>
      <c r="H55" s="259"/>
      <c r="I55" s="49">
        <f t="shared" si="1"/>
        <v>16</v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166</v>
      </c>
      <c r="B58" s="52" t="str">
        <f>IF(B10="","",B10)</f>
        <v>Chêne-liège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4" t="s">
        <v>185</v>
      </c>
      <c r="C60" s="268" t="s">
        <v>186</v>
      </c>
      <c r="D60" s="268"/>
      <c r="E60" s="269" t="s">
        <v>187</v>
      </c>
      <c r="F60" s="270"/>
      <c r="G60" s="270"/>
      <c r="H60" s="271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50">
        <v>10</v>
      </c>
      <c r="B62" s="60">
        <v>9.0432000000000006</v>
      </c>
      <c r="C62" s="260"/>
      <c r="D62" s="260"/>
      <c r="E62" s="259"/>
      <c r="F62" s="259"/>
      <c r="G62" s="259"/>
      <c r="H62" s="259"/>
      <c r="I62" s="53">
        <f>IFERROR(B62/A62,"")</f>
        <v>0.90432000000000001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50">
        <v>15</v>
      </c>
      <c r="B63" s="60">
        <v>25.645950000000006</v>
      </c>
      <c r="C63" s="260"/>
      <c r="D63" s="260"/>
      <c r="E63" s="259"/>
      <c r="F63" s="259"/>
      <c r="G63" s="259"/>
      <c r="H63" s="259"/>
      <c r="I63" s="49">
        <f>IF(A63&lt;&gt;0,(B63-(B62-D62))/(A63-A62),"")</f>
        <v>3.3205500000000017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50">
        <v>20</v>
      </c>
      <c r="B64" s="60">
        <v>47.759399999999999</v>
      </c>
      <c r="C64" s="260"/>
      <c r="D64" s="260"/>
      <c r="E64" s="259"/>
      <c r="F64" s="259"/>
      <c r="G64" s="259"/>
      <c r="H64" s="259"/>
      <c r="I64" s="49">
        <f>IF(A64&lt;&gt;0,(B64-(B63-D63))/(A64-A63),"")</f>
        <v>4.4226899999999985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50">
        <v>25</v>
      </c>
      <c r="B65" s="60">
        <v>71.533124999999984</v>
      </c>
      <c r="C65" s="260"/>
      <c r="D65" s="260"/>
      <c r="E65" s="259"/>
      <c r="F65" s="259"/>
      <c r="G65" s="259"/>
      <c r="H65" s="259"/>
      <c r="I65" s="49">
        <f>IF(A65&lt;&gt;0,(B65-(B64-D64))/(A65-A64),"")</f>
        <v>4.7547449999999971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50">
        <v>30</v>
      </c>
      <c r="B66" s="60">
        <v>102.08925000000002</v>
      </c>
      <c r="C66" s="260"/>
      <c r="D66" s="260"/>
      <c r="E66" s="259"/>
      <c r="F66" s="259"/>
      <c r="G66" s="259"/>
      <c r="H66" s="259"/>
      <c r="I66" s="49">
        <f t="shared" ref="I66:I81" si="2">IF(A66&lt;&gt;0,(B66-(B65-D65))/(A66-A65),"")</f>
        <v>6.1112250000000072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50">
        <v>35</v>
      </c>
      <c r="B67" s="60">
        <v>125.89830000000001</v>
      </c>
      <c r="C67" s="260"/>
      <c r="D67" s="260"/>
      <c r="E67" s="259"/>
      <c r="F67" s="259"/>
      <c r="G67" s="259"/>
      <c r="H67" s="259"/>
      <c r="I67" s="49">
        <f t="shared" si="2"/>
        <v>4.761809999999997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50">
        <v>40</v>
      </c>
      <c r="B68" s="60">
        <v>169.56</v>
      </c>
      <c r="C68" s="260"/>
      <c r="D68" s="260"/>
      <c r="E68" s="259"/>
      <c r="F68" s="259"/>
      <c r="G68" s="259"/>
      <c r="H68" s="259"/>
      <c r="I68" s="49">
        <f t="shared" si="2"/>
        <v>8.7323399999999989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50">
        <v>45</v>
      </c>
      <c r="B69" s="60">
        <v>202.51822499999997</v>
      </c>
      <c r="C69" s="260"/>
      <c r="D69" s="260"/>
      <c r="E69" s="259"/>
      <c r="F69" s="259"/>
      <c r="G69" s="259"/>
      <c r="H69" s="259"/>
      <c r="I69" s="49">
        <f t="shared" si="2"/>
        <v>6.5916449999999944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50">
        <v>50</v>
      </c>
      <c r="B70" s="60">
        <v>239.36220000000003</v>
      </c>
      <c r="C70" s="260"/>
      <c r="D70" s="260"/>
      <c r="E70" s="259"/>
      <c r="F70" s="259"/>
      <c r="G70" s="259"/>
      <c r="H70" s="259"/>
      <c r="I70" s="49">
        <f t="shared" si="2"/>
        <v>7.3687950000000111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>
        <v>55</v>
      </c>
      <c r="B71" s="60">
        <v>280.30387500000006</v>
      </c>
      <c r="C71" s="260"/>
      <c r="D71" s="260"/>
      <c r="E71" s="259"/>
      <c r="F71" s="259"/>
      <c r="G71" s="259"/>
      <c r="H71" s="259"/>
      <c r="I71" s="49">
        <f t="shared" si="2"/>
        <v>8.1883350000000057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>
        <v>60</v>
      </c>
      <c r="B72" s="60">
        <v>325.55520000000001</v>
      </c>
      <c r="C72" s="260"/>
      <c r="D72" s="260"/>
      <c r="E72" s="259"/>
      <c r="F72" s="259"/>
      <c r="G72" s="259"/>
      <c r="H72" s="259"/>
      <c r="I72" s="49">
        <f t="shared" si="2"/>
        <v>9.0502649999999907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260"/>
      <c r="B73" s="260"/>
      <c r="C73" s="260"/>
      <c r="D73" s="260"/>
      <c r="E73" s="259"/>
      <c r="F73" s="259"/>
      <c r="G73" s="259"/>
      <c r="H73" s="259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260"/>
      <c r="B74" s="260"/>
      <c r="C74" s="260"/>
      <c r="D74" s="260"/>
      <c r="E74" s="259"/>
      <c r="F74" s="259"/>
      <c r="G74" s="259"/>
      <c r="H74" s="259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260"/>
      <c r="B75" s="260"/>
      <c r="C75" s="260"/>
      <c r="D75" s="260"/>
      <c r="E75" s="259"/>
      <c r="F75" s="259"/>
      <c r="G75" s="259"/>
      <c r="H75" s="259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260"/>
      <c r="B76" s="260"/>
      <c r="C76" s="260"/>
      <c r="D76" s="260"/>
      <c r="E76" s="259"/>
      <c r="F76" s="259"/>
      <c r="G76" s="259"/>
      <c r="H76" s="259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256"/>
      <c r="B77" s="257"/>
      <c r="C77" s="256"/>
      <c r="D77" s="256"/>
      <c r="E77" s="255"/>
      <c r="F77" s="255"/>
      <c r="G77" s="255"/>
      <c r="H77" s="255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256"/>
      <c r="B78" s="257"/>
      <c r="C78" s="256"/>
      <c r="D78" s="256"/>
      <c r="E78" s="255"/>
      <c r="F78" s="255"/>
      <c r="G78" s="255"/>
      <c r="H78" s="255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256"/>
      <c r="B79" s="257"/>
      <c r="C79" s="256"/>
      <c r="D79" s="256"/>
      <c r="E79" s="255"/>
      <c r="F79" s="255"/>
      <c r="G79" s="255"/>
      <c r="H79" s="255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256"/>
      <c r="B80" s="257"/>
      <c r="C80" s="256"/>
      <c r="D80" s="256"/>
      <c r="E80" s="255"/>
      <c r="F80" s="255"/>
      <c r="G80" s="255"/>
      <c r="H80" s="255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256"/>
      <c r="B81" s="257"/>
      <c r="C81" s="256"/>
      <c r="D81" s="258"/>
      <c r="E81" s="255"/>
      <c r="F81" s="255"/>
      <c r="G81" s="255"/>
      <c r="H81" s="255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167</v>
      </c>
      <c r="B84" s="52" t="str">
        <f>IF(B11="","",B11)</f>
        <v/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4" t="s">
        <v>185</v>
      </c>
      <c r="C86" s="268" t="s">
        <v>186</v>
      </c>
      <c r="D86" s="268"/>
      <c r="E86" s="269" t="s">
        <v>187</v>
      </c>
      <c r="F86" s="270"/>
      <c r="G86" s="270"/>
      <c r="H86" s="271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260"/>
      <c r="B88" s="260"/>
      <c r="C88" s="260"/>
      <c r="D88" s="260"/>
      <c r="E88" s="259"/>
      <c r="F88" s="259"/>
      <c r="G88" s="259"/>
      <c r="H88" s="259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260"/>
      <c r="B89" s="260"/>
      <c r="C89" s="260"/>
      <c r="D89" s="260"/>
      <c r="E89" s="259"/>
      <c r="F89" s="259"/>
      <c r="G89" s="259"/>
      <c r="H89" s="259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260"/>
      <c r="B90" s="260"/>
      <c r="C90" s="260"/>
      <c r="D90" s="260"/>
      <c r="E90" s="259"/>
      <c r="F90" s="259"/>
      <c r="G90" s="259"/>
      <c r="H90" s="259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260"/>
      <c r="B91" s="260"/>
      <c r="C91" s="260"/>
      <c r="D91" s="260"/>
      <c r="E91" s="259"/>
      <c r="F91" s="259"/>
      <c r="G91" s="259"/>
      <c r="H91" s="259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260"/>
      <c r="B92" s="260"/>
      <c r="C92" s="260"/>
      <c r="D92" s="260"/>
      <c r="E92" s="259"/>
      <c r="F92" s="259"/>
      <c r="G92" s="259"/>
      <c r="H92" s="259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260"/>
      <c r="B93" s="260"/>
      <c r="C93" s="260"/>
      <c r="D93" s="260"/>
      <c r="E93" s="259"/>
      <c r="F93" s="259"/>
      <c r="G93" s="259"/>
      <c r="H93" s="259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260"/>
      <c r="B94" s="260"/>
      <c r="C94" s="260"/>
      <c r="D94" s="260"/>
      <c r="E94" s="259"/>
      <c r="F94" s="259"/>
      <c r="G94" s="259"/>
      <c r="H94" s="259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260"/>
      <c r="B95" s="260"/>
      <c r="C95" s="260"/>
      <c r="D95" s="260"/>
      <c r="E95" s="259"/>
      <c r="F95" s="259"/>
      <c r="G95" s="259"/>
      <c r="H95" s="259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260"/>
      <c r="B96" s="260"/>
      <c r="C96" s="260"/>
      <c r="D96" s="260"/>
      <c r="E96" s="259"/>
      <c r="F96" s="259"/>
      <c r="G96" s="259"/>
      <c r="H96" s="259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260"/>
      <c r="B97" s="260"/>
      <c r="C97" s="260"/>
      <c r="D97" s="260"/>
      <c r="E97" s="259"/>
      <c r="F97" s="259"/>
      <c r="G97" s="259"/>
      <c r="H97" s="259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260"/>
      <c r="B98" s="260"/>
      <c r="C98" s="260"/>
      <c r="D98" s="260"/>
      <c r="E98" s="259"/>
      <c r="F98" s="259"/>
      <c r="G98" s="259"/>
      <c r="H98" s="259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260"/>
      <c r="B99" s="260"/>
      <c r="C99" s="260"/>
      <c r="D99" s="260"/>
      <c r="E99" s="259"/>
      <c r="F99" s="259"/>
      <c r="G99" s="259"/>
      <c r="H99" s="259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260"/>
      <c r="B100" s="260"/>
      <c r="C100" s="260"/>
      <c r="D100" s="260"/>
      <c r="E100" s="259"/>
      <c r="F100" s="259"/>
      <c r="G100" s="259"/>
      <c r="H100" s="259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260"/>
      <c r="B101" s="260"/>
      <c r="C101" s="260"/>
      <c r="D101" s="260"/>
      <c r="E101" s="259"/>
      <c r="F101" s="259"/>
      <c r="G101" s="259"/>
      <c r="H101" s="259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260"/>
      <c r="B102" s="260"/>
      <c r="C102" s="260"/>
      <c r="D102" s="260"/>
      <c r="E102" s="259"/>
      <c r="F102" s="259"/>
      <c r="G102" s="259"/>
      <c r="H102" s="259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256"/>
      <c r="B103" s="257"/>
      <c r="C103" s="256"/>
      <c r="D103" s="256"/>
      <c r="E103" s="255"/>
      <c r="F103" s="255"/>
      <c r="G103" s="255"/>
      <c r="H103" s="255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256"/>
      <c r="B104" s="257"/>
      <c r="C104" s="256"/>
      <c r="D104" s="256"/>
      <c r="E104" s="255"/>
      <c r="F104" s="255"/>
      <c r="G104" s="255"/>
      <c r="H104" s="255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256"/>
      <c r="B105" s="257"/>
      <c r="C105" s="256"/>
      <c r="D105" s="256"/>
      <c r="E105" s="255"/>
      <c r="F105" s="255"/>
      <c r="G105" s="255"/>
      <c r="H105" s="255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256"/>
      <c r="B106" s="257"/>
      <c r="C106" s="256"/>
      <c r="D106" s="256"/>
      <c r="E106" s="255"/>
      <c r="F106" s="255"/>
      <c r="G106" s="255"/>
      <c r="H106" s="255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256"/>
      <c r="B107" s="257"/>
      <c r="C107" s="256"/>
      <c r="D107" s="258"/>
      <c r="E107" s="255"/>
      <c r="F107" s="255"/>
      <c r="G107" s="255"/>
      <c r="H107" s="255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168</v>
      </c>
      <c r="B110" s="52" t="str">
        <f>IF(B12="","",B12)</f>
        <v/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4" t="s">
        <v>185</v>
      </c>
      <c r="C112" s="268" t="s">
        <v>186</v>
      </c>
      <c r="D112" s="268"/>
      <c r="E112" s="269" t="s">
        <v>187</v>
      </c>
      <c r="F112" s="270"/>
      <c r="G112" s="270"/>
      <c r="H112" s="271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260"/>
      <c r="B114" s="260"/>
      <c r="C114" s="260"/>
      <c r="D114" s="260"/>
      <c r="E114" s="259"/>
      <c r="F114" s="259"/>
      <c r="G114" s="259"/>
      <c r="H114" s="259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260"/>
      <c r="B115" s="260"/>
      <c r="C115" s="260"/>
      <c r="D115" s="260"/>
      <c r="E115" s="259"/>
      <c r="F115" s="259"/>
      <c r="G115" s="259"/>
      <c r="H115" s="259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260"/>
      <c r="B116" s="260"/>
      <c r="C116" s="260"/>
      <c r="D116" s="260"/>
      <c r="E116" s="259"/>
      <c r="F116" s="259"/>
      <c r="G116" s="259"/>
      <c r="H116" s="259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260"/>
      <c r="B117" s="260"/>
      <c r="C117" s="260"/>
      <c r="D117" s="260"/>
      <c r="E117" s="259"/>
      <c r="F117" s="259"/>
      <c r="G117" s="259"/>
      <c r="H117" s="259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260"/>
      <c r="B118" s="260"/>
      <c r="C118" s="260"/>
      <c r="D118" s="260"/>
      <c r="E118" s="259"/>
      <c r="F118" s="259"/>
      <c r="G118" s="259"/>
      <c r="H118" s="259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260"/>
      <c r="B119" s="260"/>
      <c r="C119" s="260"/>
      <c r="D119" s="260"/>
      <c r="E119" s="259"/>
      <c r="F119" s="259"/>
      <c r="G119" s="259"/>
      <c r="H119" s="259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260"/>
      <c r="B120" s="260"/>
      <c r="C120" s="260"/>
      <c r="D120" s="260"/>
      <c r="E120" s="259"/>
      <c r="F120" s="259"/>
      <c r="G120" s="259"/>
      <c r="H120" s="259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260"/>
      <c r="B121" s="260"/>
      <c r="C121" s="260"/>
      <c r="D121" s="260"/>
      <c r="E121" s="259"/>
      <c r="F121" s="259"/>
      <c r="G121" s="259"/>
      <c r="H121" s="259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260"/>
      <c r="B122" s="260"/>
      <c r="C122" s="260"/>
      <c r="D122" s="260"/>
      <c r="E122" s="259"/>
      <c r="F122" s="259"/>
      <c r="G122" s="259"/>
      <c r="H122" s="259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260"/>
      <c r="B123" s="260"/>
      <c r="C123" s="260"/>
      <c r="D123" s="260"/>
      <c r="E123" s="259"/>
      <c r="F123" s="259"/>
      <c r="G123" s="259"/>
      <c r="H123" s="259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260"/>
      <c r="B124" s="260"/>
      <c r="C124" s="260"/>
      <c r="D124" s="260"/>
      <c r="E124" s="259"/>
      <c r="F124" s="259"/>
      <c r="G124" s="259"/>
      <c r="H124" s="259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260"/>
      <c r="B125" s="260"/>
      <c r="C125" s="260"/>
      <c r="D125" s="260"/>
      <c r="E125" s="259"/>
      <c r="F125" s="259"/>
      <c r="G125" s="259"/>
      <c r="H125" s="259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260"/>
      <c r="B126" s="260"/>
      <c r="C126" s="260"/>
      <c r="D126" s="260"/>
      <c r="E126" s="259"/>
      <c r="F126" s="259"/>
      <c r="G126" s="259"/>
      <c r="H126" s="259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260"/>
      <c r="B127" s="260"/>
      <c r="C127" s="260"/>
      <c r="D127" s="260"/>
      <c r="E127" s="259"/>
      <c r="F127" s="259"/>
      <c r="G127" s="259"/>
      <c r="H127" s="259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260"/>
      <c r="B128" s="260"/>
      <c r="C128" s="260"/>
      <c r="D128" s="260"/>
      <c r="E128" s="259"/>
      <c r="F128" s="259"/>
      <c r="G128" s="259"/>
      <c r="H128" s="259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260"/>
      <c r="B129" s="260"/>
      <c r="C129" s="260"/>
      <c r="D129" s="260"/>
      <c r="E129" s="259"/>
      <c r="F129" s="259"/>
      <c r="G129" s="259"/>
      <c r="H129" s="259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260"/>
      <c r="B130" s="260"/>
      <c r="C130" s="260"/>
      <c r="D130" s="260"/>
      <c r="E130" s="259"/>
      <c r="F130" s="259"/>
      <c r="G130" s="259"/>
      <c r="H130" s="259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260"/>
      <c r="B131" s="260"/>
      <c r="C131" s="260"/>
      <c r="D131" s="260"/>
      <c r="E131" s="259"/>
      <c r="F131" s="259"/>
      <c r="G131" s="259"/>
      <c r="H131" s="259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260"/>
      <c r="B132" s="260"/>
      <c r="C132" s="260"/>
      <c r="D132" s="260"/>
      <c r="E132" s="259"/>
      <c r="F132" s="259"/>
      <c r="G132" s="259"/>
      <c r="H132" s="259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260"/>
      <c r="B133" s="260"/>
      <c r="C133" s="260"/>
      <c r="D133" s="260"/>
      <c r="E133" s="259"/>
      <c r="F133" s="259"/>
      <c r="G133" s="259"/>
      <c r="H133" s="259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169</v>
      </c>
      <c r="B136" s="52" t="str">
        <f>IF(B13="","",B13)</f>
        <v/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4" t="s">
        <v>185</v>
      </c>
      <c r="C138" s="268" t="s">
        <v>186</v>
      </c>
      <c r="D138" s="268"/>
      <c r="E138" s="269" t="s">
        <v>187</v>
      </c>
      <c r="F138" s="270"/>
      <c r="G138" s="270"/>
      <c r="H138" s="271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170</v>
      </c>
      <c r="B162" s="52" t="str">
        <f>IF(B14="","",B14)</f>
        <v/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4" t="s">
        <v>185</v>
      </c>
      <c r="C164" s="268" t="s">
        <v>186</v>
      </c>
      <c r="D164" s="268"/>
      <c r="E164" s="269" t="s">
        <v>187</v>
      </c>
      <c r="F164" s="270"/>
      <c r="G164" s="270"/>
      <c r="H164" s="271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171</v>
      </c>
      <c r="B188" s="52" t="str">
        <f>IF(B15="","",B15)</f>
        <v/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4" t="s">
        <v>185</v>
      </c>
      <c r="C190" s="268" t="s">
        <v>186</v>
      </c>
      <c r="D190" s="268"/>
      <c r="E190" s="269" t="s">
        <v>187</v>
      </c>
      <c r="F190" s="270"/>
      <c r="G190" s="270"/>
      <c r="H190" s="271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172</v>
      </c>
      <c r="B214" s="52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4" t="s">
        <v>185</v>
      </c>
      <c r="C216" s="268" t="s">
        <v>186</v>
      </c>
      <c r="D216" s="268"/>
      <c r="E216" s="269" t="s">
        <v>187</v>
      </c>
      <c r="F216" s="270"/>
      <c r="G216" s="270"/>
      <c r="H216" s="271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4" t="s">
        <v>185</v>
      </c>
      <c r="C242" s="268" t="s">
        <v>186</v>
      </c>
      <c r="D242" s="268"/>
      <c r="E242" s="269" t="s">
        <v>187</v>
      </c>
      <c r="F242" s="270"/>
      <c r="G242" s="270"/>
      <c r="H242" s="271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4" t="s">
        <v>185</v>
      </c>
      <c r="C268" s="268" t="s">
        <v>186</v>
      </c>
      <c r="D268" s="268"/>
      <c r="E268" s="269" t="s">
        <v>187</v>
      </c>
      <c r="F268" s="270"/>
      <c r="G268" s="270"/>
      <c r="H268" s="271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0" zoomScaleNormal="110" workbookViewId="0">
      <selection activeCell="G23" sqref="G23"/>
    </sheetView>
  </sheetViews>
  <sheetFormatPr baseColWidth="10" defaultColWidth="11.453125" defaultRowHeight="14.5" x14ac:dyDescent="0.35"/>
  <cols>
    <col min="1" max="1" width="5.81640625" style="1" customWidth="1"/>
    <col min="2" max="2" width="14.08984375" style="1" customWidth="1"/>
    <col min="3" max="3" width="62.08984375" style="1" customWidth="1"/>
    <col min="4" max="5" width="4.36328125" style="1" customWidth="1"/>
    <col min="6" max="6" width="14.36328125" style="1" customWidth="1"/>
    <col min="7" max="7" width="73.36328125" style="1" bestFit="1" customWidth="1"/>
    <col min="8" max="10" width="11.453125" style="1"/>
    <col min="11" max="11" width="12.45312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81" t="s">
        <v>191</v>
      </c>
      <c r="C2" s="282"/>
      <c r="D2" s="282"/>
      <c r="E2" s="282"/>
      <c r="F2" s="282"/>
      <c r="G2" s="28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80"/>
      <c r="C4" s="280"/>
      <c r="D4" s="280"/>
      <c r="E4" s="280"/>
      <c r="F4" s="280"/>
      <c r="G4" s="28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5">
      <c r="A8" s="103">
        <v>1</v>
      </c>
      <c r="B8" s="61">
        <v>0</v>
      </c>
      <c r="C8" s="49" t="s">
        <v>177</v>
      </c>
      <c r="D8" s="23"/>
      <c r="E8" s="103">
        <v>4</v>
      </c>
      <c r="F8" s="61">
        <v>1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1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5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5">
      <c r="A15" s="23"/>
      <c r="B15" s="26" t="s">
        <v>295</v>
      </c>
      <c r="C15" s="4"/>
      <c r="D15" s="23"/>
      <c r="E15" s="4"/>
      <c r="F15" s="4"/>
      <c r="G15" s="2" t="s">
        <v>36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0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4">
        <f>SUM(B16:B18)</f>
        <v>0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453125" style="4" customWidth="1"/>
    <col min="6" max="7" width="11.453125" style="4"/>
    <col min="8" max="8" width="10.6328125" style="4" customWidth="1"/>
    <col min="9" max="9" width="9.453125" style="4" customWidth="1"/>
    <col min="10" max="11" width="10.45312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6328125" style="4" bestFit="1" customWidth="1"/>
    <col min="25" max="25" width="14.453125" style="4" bestFit="1" customWidth="1"/>
    <col min="26" max="26" width="12.453125" style="4" bestFit="1" customWidth="1"/>
    <col min="27" max="27" width="9.63281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453125" style="4" bestFit="1" customWidth="1"/>
    <col min="36" max="36" width="9.453125" style="4" bestFit="1" customWidth="1"/>
    <col min="37" max="38" width="10.453125" style="4" bestFit="1" customWidth="1"/>
    <col min="39" max="41" width="10.453125" style="4" customWidth="1"/>
    <col min="42" max="42" width="9" style="4" bestFit="1" customWidth="1"/>
    <col min="43" max="43" width="10.453125" style="4" bestFit="1" customWidth="1"/>
    <col min="44" max="44" width="9.36328125" style="4" bestFit="1" customWidth="1"/>
    <col min="45" max="45" width="11.6328125" style="4" bestFit="1" customWidth="1"/>
    <col min="46" max="46" width="8.453125" style="4" bestFit="1" customWidth="1"/>
    <col min="47" max="47" width="9.453125" style="4" bestFit="1" customWidth="1"/>
    <col min="48" max="48" width="9.63281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453125" style="4" bestFit="1" customWidth="1"/>
    <col min="54" max="54" width="14.36328125" style="4" customWidth="1"/>
    <col min="55" max="55" width="14" style="4" customWidth="1"/>
    <col min="56" max="56" width="10.453125" style="4" bestFit="1" customWidth="1"/>
    <col min="57" max="57" width="9.453125" style="4" bestFit="1" customWidth="1"/>
    <col min="58" max="59" width="10.453125" style="4" bestFit="1" customWidth="1"/>
    <col min="60" max="62" width="10.453125" style="4" customWidth="1"/>
    <col min="63" max="63" width="9" style="4" bestFit="1" customWidth="1"/>
    <col min="64" max="64" width="10.453125" style="4" bestFit="1" customWidth="1"/>
    <col min="65" max="65" width="9.36328125" style="4" bestFit="1" customWidth="1"/>
    <col min="66" max="66" width="11.6328125" style="4" bestFit="1" customWidth="1"/>
    <col min="67" max="67" width="8.453125" style="4" bestFit="1" customWidth="1"/>
    <col min="68" max="68" width="9.453125" style="4" bestFit="1" customWidth="1"/>
    <col min="69" max="69" width="9.63281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453125" style="4" bestFit="1" customWidth="1"/>
    <col min="75" max="75" width="14" style="4" bestFit="1" customWidth="1"/>
    <col min="76" max="76" width="13.81640625" style="4" customWidth="1"/>
    <col min="77" max="77" width="10.453125" style="4" bestFit="1" customWidth="1"/>
    <col min="78" max="78" width="9.453125" style="4" bestFit="1" customWidth="1"/>
    <col min="79" max="80" width="10.453125" style="4" bestFit="1" customWidth="1"/>
    <col min="81" max="83" width="10.453125" style="4" customWidth="1"/>
    <col min="84" max="84" width="11.453125" style="4"/>
    <col min="85" max="85" width="10.453125" style="4" bestFit="1" customWidth="1"/>
    <col min="86" max="86" width="9.36328125" style="4" bestFit="1" customWidth="1"/>
    <col min="87" max="87" width="11.6328125" style="4" bestFit="1" customWidth="1"/>
    <col min="88" max="88" width="8.453125" style="4" bestFit="1" customWidth="1"/>
    <col min="89" max="89" width="9.453125" style="4" bestFit="1" customWidth="1"/>
    <col min="90" max="90" width="9.63281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453125" style="4" bestFit="1" customWidth="1"/>
    <col min="99" max="99" width="9.453125" style="4" bestFit="1" customWidth="1"/>
    <col min="100" max="101" width="10.453125" style="4" bestFit="1" customWidth="1"/>
    <col min="102" max="104" width="10.453125" style="4" customWidth="1"/>
    <col min="105" max="105" width="9" style="4" bestFit="1" customWidth="1"/>
    <col min="106" max="106" width="10.453125" style="4" bestFit="1" customWidth="1"/>
    <col min="107" max="107" width="9.36328125" style="4" bestFit="1" customWidth="1"/>
    <col min="108" max="108" width="11.6328125" style="4" bestFit="1" customWidth="1"/>
    <col min="109" max="109" width="8.453125" style="4" bestFit="1" customWidth="1"/>
    <col min="110" max="110" width="9.453125" style="4" bestFit="1" customWidth="1"/>
    <col min="111" max="111" width="9.63281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453125" style="4" bestFit="1" customWidth="1"/>
    <col min="117" max="117" width="14.36328125" style="4" customWidth="1"/>
    <col min="118" max="118" width="14" style="4" bestFit="1" customWidth="1"/>
    <col min="119" max="119" width="10.453125" style="4" bestFit="1" customWidth="1"/>
    <col min="120" max="120" width="9.453125" style="4" bestFit="1" customWidth="1"/>
    <col min="121" max="122" width="10.453125" style="4" bestFit="1" customWidth="1"/>
    <col min="123" max="125" width="10.453125" style="4" customWidth="1"/>
    <col min="126" max="126" width="9" style="4" bestFit="1" customWidth="1"/>
    <col min="127" max="127" width="10.453125" style="4" bestFit="1" customWidth="1"/>
    <col min="128" max="128" width="9.36328125" style="4" bestFit="1" customWidth="1"/>
    <col min="129" max="129" width="11.6328125" style="4" bestFit="1" customWidth="1"/>
    <col min="130" max="130" width="8.453125" style="4" bestFit="1" customWidth="1"/>
    <col min="131" max="131" width="9.453125" style="4" bestFit="1" customWidth="1"/>
    <col min="132" max="132" width="9.63281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453125" style="4" bestFit="1" customWidth="1"/>
    <col min="138" max="139" width="14" style="4" customWidth="1"/>
    <col min="140" max="140" width="10.453125" style="4" bestFit="1" customWidth="1"/>
    <col min="141" max="141" width="9.453125" style="4" bestFit="1" customWidth="1"/>
    <col min="142" max="143" width="10.453125" style="4" bestFit="1" customWidth="1"/>
    <col min="144" max="146" width="10.453125" style="4" customWidth="1"/>
    <col min="147" max="147" width="9" style="4" bestFit="1" customWidth="1"/>
    <col min="148" max="148" width="10.453125" style="4" bestFit="1" customWidth="1"/>
    <col min="149" max="149" width="9.36328125" style="4" bestFit="1" customWidth="1"/>
    <col min="150" max="150" width="11.6328125" style="4" bestFit="1" customWidth="1"/>
    <col min="151" max="151" width="8.453125" style="4" bestFit="1" customWidth="1"/>
    <col min="152" max="152" width="9.453125" style="4" bestFit="1" customWidth="1"/>
    <col min="153" max="153" width="9.63281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453125" style="4" bestFit="1" customWidth="1"/>
    <col min="162" max="162" width="9.453125" style="4" bestFit="1" customWidth="1"/>
    <col min="163" max="164" width="10.453125" style="4" bestFit="1" customWidth="1"/>
    <col min="165" max="167" width="10.453125" style="4" customWidth="1"/>
    <col min="168" max="168" width="9" style="4" bestFit="1" customWidth="1"/>
    <col min="169" max="169" width="10.453125" style="4" bestFit="1" customWidth="1"/>
    <col min="170" max="170" width="9.36328125" style="4" bestFit="1" customWidth="1"/>
    <col min="171" max="171" width="11.6328125" style="4" bestFit="1" customWidth="1"/>
    <col min="172" max="172" width="8.08984375" style="4" bestFit="1" customWidth="1"/>
    <col min="173" max="173" width="9.453125" style="4" bestFit="1" customWidth="1"/>
    <col min="174" max="174" width="9.63281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453125" style="4" bestFit="1" customWidth="1"/>
    <col min="180" max="181" width="14" style="4" bestFit="1" customWidth="1"/>
    <col min="182" max="182" width="10.453125" style="4" bestFit="1" customWidth="1"/>
    <col min="183" max="183" width="9.453125" style="4" bestFit="1" customWidth="1"/>
    <col min="184" max="185" width="10.453125" style="4" bestFit="1" customWidth="1"/>
    <col min="186" max="188" width="10.453125" style="4" customWidth="1"/>
    <col min="189" max="189" width="9" style="4" bestFit="1" customWidth="1"/>
    <col min="190" max="190" width="10.453125" style="4" bestFit="1" customWidth="1"/>
    <col min="191" max="191" width="9.36328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63281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453125" style="4" bestFit="1" customWidth="1"/>
    <col min="201" max="201" width="14" style="4" customWidth="1"/>
    <col min="202" max="202" width="14.36328125" style="4" customWidth="1"/>
    <col min="203" max="203" width="10.453125" style="4" bestFit="1" customWidth="1"/>
    <col min="204" max="204" width="9.453125" style="4" bestFit="1" customWidth="1"/>
    <col min="205" max="206" width="10.453125" style="4" bestFit="1" customWidth="1"/>
    <col min="207" max="209" width="10.453125" style="4" customWidth="1"/>
    <col min="210" max="210" width="9" style="4" bestFit="1" customWidth="1"/>
    <col min="211" max="211" width="10.453125" style="4" bestFit="1" customWidth="1"/>
    <col min="212" max="212" width="9.36328125" style="4" bestFit="1" customWidth="1"/>
    <col min="213" max="213" width="11.6328125" style="4" bestFit="1" customWidth="1"/>
    <col min="214" max="214" width="8.453125" style="4" bestFit="1" customWidth="1"/>
    <col min="215" max="215" width="9.453125" style="4" bestFit="1" customWidth="1"/>
    <col min="216" max="216" width="9.63281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87" t="s">
        <v>176</v>
      </c>
      <c r="C1" s="288"/>
      <c r="D1" s="288"/>
      <c r="E1" s="288"/>
      <c r="F1" s="288"/>
      <c r="G1" s="288"/>
      <c r="H1" s="289"/>
      <c r="I1" s="284" t="str">
        <f>IF('Données projet'!$B$9="","",'Données projet'!$B$9)</f>
        <v>Pin maritime</v>
      </c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6"/>
      <c r="AD1" s="285" t="str">
        <f>IF('Données projet'!$B$10="","",'Données projet'!$B$10)</f>
        <v>Chêne-liège</v>
      </c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  <c r="AX1" s="286"/>
      <c r="AY1" s="284" t="str">
        <f>IF('Données projet'!$B$11="","",'Données projet'!$B$11)</f>
        <v/>
      </c>
      <c r="AZ1" s="285"/>
      <c r="BA1" s="285"/>
      <c r="BB1" s="285"/>
      <c r="BC1" s="285"/>
      <c r="BD1" s="285"/>
      <c r="BE1" s="285"/>
      <c r="BF1" s="285"/>
      <c r="BG1" s="285"/>
      <c r="BH1" s="285"/>
      <c r="BI1" s="285"/>
      <c r="BJ1" s="285"/>
      <c r="BK1" s="285"/>
      <c r="BL1" s="285"/>
      <c r="BM1" s="285"/>
      <c r="BN1" s="285"/>
      <c r="BO1" s="285"/>
      <c r="BP1" s="285"/>
      <c r="BQ1" s="285"/>
      <c r="BR1" s="285"/>
      <c r="BS1" s="286"/>
      <c r="BT1" s="284" t="str">
        <f>IF('Données projet'!$B$12="","",'Données projet'!$B$12)</f>
        <v/>
      </c>
      <c r="BU1" s="285"/>
      <c r="BV1" s="285"/>
      <c r="BW1" s="285"/>
      <c r="BX1" s="285"/>
      <c r="BY1" s="285"/>
      <c r="BZ1" s="285"/>
      <c r="CA1" s="285"/>
      <c r="CB1" s="285"/>
      <c r="CC1" s="285"/>
      <c r="CD1" s="285"/>
      <c r="CE1" s="285"/>
      <c r="CF1" s="285"/>
      <c r="CG1" s="285"/>
      <c r="CH1" s="285"/>
      <c r="CI1" s="285"/>
      <c r="CJ1" s="285"/>
      <c r="CK1" s="285"/>
      <c r="CL1" s="285"/>
      <c r="CM1" s="285"/>
      <c r="CN1" s="286"/>
      <c r="CO1" s="284" t="str">
        <f>IF('Données projet'!$B$13="","",'Données projet'!$B$13)</f>
        <v/>
      </c>
      <c r="CP1" s="285"/>
      <c r="CQ1" s="285"/>
      <c r="CR1" s="285"/>
      <c r="CS1" s="285"/>
      <c r="CT1" s="285"/>
      <c r="CU1" s="285"/>
      <c r="CV1" s="285"/>
      <c r="CW1" s="285"/>
      <c r="CX1" s="285"/>
      <c r="CY1" s="285"/>
      <c r="CZ1" s="285"/>
      <c r="DA1" s="285"/>
      <c r="DB1" s="285"/>
      <c r="DC1" s="285"/>
      <c r="DD1" s="285"/>
      <c r="DE1" s="285"/>
      <c r="DF1" s="285"/>
      <c r="DG1" s="285"/>
      <c r="DH1" s="285"/>
      <c r="DI1" s="286"/>
      <c r="DJ1" s="284" t="str">
        <f>IF('Données projet'!$B$14="","",'Données projet'!$B$14)</f>
        <v/>
      </c>
      <c r="DK1" s="285"/>
      <c r="DL1" s="285"/>
      <c r="DM1" s="285"/>
      <c r="DN1" s="285"/>
      <c r="DO1" s="285"/>
      <c r="DP1" s="285"/>
      <c r="DQ1" s="285"/>
      <c r="DR1" s="285"/>
      <c r="DS1" s="285"/>
      <c r="DT1" s="285"/>
      <c r="DU1" s="285"/>
      <c r="DV1" s="285"/>
      <c r="DW1" s="285"/>
      <c r="DX1" s="285"/>
      <c r="DY1" s="285"/>
      <c r="DZ1" s="285"/>
      <c r="EA1" s="285"/>
      <c r="EB1" s="285"/>
      <c r="EC1" s="285"/>
      <c r="ED1" s="286"/>
      <c r="EE1" s="284" t="str">
        <f>IF('Données projet'!$B$15="","",'Données projet'!$B$15)</f>
        <v/>
      </c>
      <c r="EF1" s="285"/>
      <c r="EG1" s="285"/>
      <c r="EH1" s="285"/>
      <c r="EI1" s="285"/>
      <c r="EJ1" s="285"/>
      <c r="EK1" s="285"/>
      <c r="EL1" s="285"/>
      <c r="EM1" s="285"/>
      <c r="EN1" s="285"/>
      <c r="EO1" s="285"/>
      <c r="EP1" s="285"/>
      <c r="EQ1" s="285"/>
      <c r="ER1" s="285"/>
      <c r="ES1" s="285"/>
      <c r="ET1" s="285"/>
      <c r="EU1" s="285"/>
      <c r="EV1" s="285"/>
      <c r="EW1" s="285"/>
      <c r="EX1" s="285"/>
      <c r="EY1" s="286"/>
      <c r="EZ1" s="284" t="str">
        <f>IF('Données projet'!$B$16="","",'Données projet'!$B$16)</f>
        <v/>
      </c>
      <c r="FA1" s="285"/>
      <c r="FB1" s="285"/>
      <c r="FC1" s="285"/>
      <c r="FD1" s="285"/>
      <c r="FE1" s="285"/>
      <c r="FF1" s="285"/>
      <c r="FG1" s="285"/>
      <c r="FH1" s="285"/>
      <c r="FI1" s="285"/>
      <c r="FJ1" s="285"/>
      <c r="FK1" s="285"/>
      <c r="FL1" s="285"/>
      <c r="FM1" s="285"/>
      <c r="FN1" s="285"/>
      <c r="FO1" s="285"/>
      <c r="FP1" s="285"/>
      <c r="FQ1" s="285"/>
      <c r="FR1" s="285"/>
      <c r="FS1" s="285"/>
      <c r="FT1" s="286"/>
      <c r="FU1" s="284" t="str">
        <f>IF('Données projet'!$B$17="","",'Données projet'!$B$17)</f>
        <v/>
      </c>
      <c r="FV1" s="285"/>
      <c r="FW1" s="285"/>
      <c r="FX1" s="285"/>
      <c r="FY1" s="285"/>
      <c r="FZ1" s="285"/>
      <c r="GA1" s="285"/>
      <c r="GB1" s="285"/>
      <c r="GC1" s="285"/>
      <c r="GD1" s="285"/>
      <c r="GE1" s="285"/>
      <c r="GF1" s="285"/>
      <c r="GG1" s="285"/>
      <c r="GH1" s="285"/>
      <c r="GI1" s="285"/>
      <c r="GJ1" s="285"/>
      <c r="GK1" s="285"/>
      <c r="GL1" s="285"/>
      <c r="GM1" s="285"/>
      <c r="GN1" s="285"/>
      <c r="GO1" s="286"/>
      <c r="GP1" s="284" t="str">
        <f>IF('Données projet'!$B$18="","",'Données projet'!$B$18)</f>
        <v/>
      </c>
      <c r="GQ1" s="285"/>
      <c r="GR1" s="285"/>
      <c r="GS1" s="285"/>
      <c r="GT1" s="285"/>
      <c r="GU1" s="285"/>
      <c r="GV1" s="285"/>
      <c r="GW1" s="285"/>
      <c r="GX1" s="285"/>
      <c r="GY1" s="285"/>
      <c r="GZ1" s="285"/>
      <c r="HA1" s="285"/>
      <c r="HB1" s="285"/>
      <c r="HC1" s="285"/>
      <c r="HD1" s="285"/>
      <c r="HE1" s="285"/>
      <c r="HF1" s="285"/>
      <c r="HG1" s="285"/>
      <c r="HH1" s="285"/>
      <c r="HI1" s="285"/>
      <c r="HJ1" s="286"/>
    </row>
    <row r="2" spans="1:218" ht="58.5" thickBot="1" x14ac:dyDescent="0.4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5">
      <c r="A3" s="10">
        <v>0</v>
      </c>
      <c r="B3" s="72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6">
        <f>(B3+E3+F3)*44/12+(C3+D3)*0.475*44/12</f>
        <v>293.33333333333331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148.39628895278571</v>
      </c>
      <c r="T3" s="59">
        <f>IF('Données projet'!E9&gt;30,$R$33-$H$33,LOOKUP('Données projet'!$E$9,$A$3:$A$203,R3:R203)-LOOKUP('Données projet'!$E$9,$A$3:$A$203,$H$3:$H$203))</f>
        <v>361.07991692964788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245.5026179711341</v>
      </c>
      <c r="AO3" s="59">
        <f>IF('Données projet'!E10&gt;30,$AM$33-$H$33,LOOKUP('Données projet'!$E$10,$A$3:$A$203,AM3:AM203)-LOOKUP('Données projet'!$E$10,$A$3:$A$203,$H$3:$H$203))</f>
        <v>204.32077840562567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2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1">
        <f>IFERROR(EXP(-1.0587+0.8836*LN(C4)+0.284),0)</f>
        <v>0.29258040116091422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66">
        <f t="shared" ref="H4:H67" si="1">(B4+E4+F4)*44/12+(C4+D4)*0.475*44/12</f>
        <v>294.8844275320219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7.5454545454545459</v>
      </c>
      <c r="N4" s="13">
        <f>IF('Données projet'!$A$36&gt;35,N3+M4-V3,IF(A4&lt;'Données projet'!$A$36,$K$205^A4,IF(A4='Données projet'!$A$36,'Données projet'!$B$36,N3+M4-V3)))</f>
        <v>1.4943820583928935</v>
      </c>
      <c r="O4" s="13">
        <f>N4*VLOOKUP('Données projet'!$B$9,Paramètres!$A$1:$I$89,3,0)*VLOOKUP('Données projet'!$B$9,Paramètres!$A$1:$I$89,5,0)</f>
        <v>0.89364047091895038</v>
      </c>
      <c r="P4" s="13">
        <f>EXP(-1.0587+0.8836*LN(O4)+0.284)</f>
        <v>0.41725306962072783</v>
      </c>
      <c r="Q4" s="20">
        <f t="shared" ref="Q4:Q34" si="2">(O4+P4)*0.475*44/12</f>
        <v>2.2831395831066059</v>
      </c>
      <c r="R4" s="59">
        <f t="shared" si="0"/>
        <v>295.61647291643993</v>
      </c>
      <c r="S4" s="59">
        <f ca="1">AVERAGE(OFFSET($R$3,0,0,'Données projet'!$E$9+1,1))-AVERAGE(OFFSET($H$3,0,0,'Données projet'!$E$9+1,1))</f>
        <v>148.39628895278571</v>
      </c>
      <c r="T4" s="59">
        <f>$T$3</f>
        <v>361.07991692964788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0.90432000000000001</v>
      </c>
      <c r="AI4" s="13">
        <f>IF('Données projet'!$A$62&gt;35,AI3+AH4-AQ3,IF(A4&lt;'Données projet'!$A$62,$AF$205^A4,IF(A4='Données projet'!$A$62,'Données projet'!$B$62,AI3+AH4-AQ3)))</f>
        <v>1.2463276028054662</v>
      </c>
      <c r="AJ4" s="13">
        <f>AI4*VLOOKUP('Données projet'!$B$10,Paramètres!$A$1:$I$89,3,0)*VLOOKUP('Données projet'!$B$10,Paramètres!$A$1:$I$89,5,0)</f>
        <v>1.3609897422635691</v>
      </c>
      <c r="AK4" s="13">
        <f>EXP(-1.0587+0.8836*LN(AJ4)+0.284)</f>
        <v>0.60509868908135156</v>
      </c>
      <c r="AL4" s="20">
        <f t="shared" ref="AL4:AL67" si="4">(AJ4+AK4)*0.475*44/12</f>
        <v>3.4242706845924036</v>
      </c>
      <c r="AM4" s="59">
        <f t="shared" ref="AM4:AM67" si="5">AL4+(AD4+AE4)*44/12</f>
        <v>296.7576040179257</v>
      </c>
      <c r="AN4" s="59">
        <f ca="1">AVERAGE(OFFSET($AM$3,0,0,'Données projet'!$E$10+1,1))-AVERAGE(OFFSET($H$3,0,0,'Données projet'!$E$10+1,1))</f>
        <v>245.5026179711341</v>
      </c>
      <c r="AO4" s="59">
        <f>$AO$3</f>
        <v>204.32077840562567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2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1">
        <f t="shared" ref="D5:D68" si="32">IFERROR(EXP(-1.0587+0.8836*LN(C5)+0.284),0)</f>
        <v>0.53980305140256757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66">
        <f t="shared" si="1"/>
        <v>296.35652364785943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7.5454545454545459</v>
      </c>
      <c r="N5" s="13">
        <f>IF('Données projet'!$A$36&gt;35,N4+M5-V4,IF(A5&lt;'Données projet'!$A$36,$K$205^A5,IF(A5='Données projet'!$A$36,'Données projet'!$B$36,N4+M5-V4)))</f>
        <v>2.2331777364465815</v>
      </c>
      <c r="O5" s="13">
        <f>N5*VLOOKUP('Données projet'!$B$9,Paramètres!$A$1:$I$89,3,0)*VLOOKUP('Données projet'!$B$9,Paramètres!$A$1:$I$89,5,0)</f>
        <v>1.3354402863950559</v>
      </c>
      <c r="P5" s="13">
        <f t="shared" ref="P5:P68" si="33">EXP(-1.0587+0.8836*LN(O5)+0.284)</f>
        <v>0.59505053454406853</v>
      </c>
      <c r="Q5" s="20">
        <f t="shared" si="2"/>
        <v>3.3622715131356418</v>
      </c>
      <c r="R5" s="59">
        <f t="shared" si="0"/>
        <v>296.69560484646894</v>
      </c>
      <c r="S5" s="59">
        <f ca="1">AVERAGE(OFFSET($R$3,0,0,'Données projet'!$E$9+1,1))-AVERAGE(OFFSET($H$3,0,0,'Données projet'!$E$9+1,1))</f>
        <v>148.39628895278571</v>
      </c>
      <c r="T5" s="59">
        <f t="shared" ref="T5:T68" si="34">$T$3</f>
        <v>361.07991692964788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0.90432000000000001</v>
      </c>
      <c r="AI5" s="13">
        <f>IF('Données projet'!$A$62&gt;35,AI4+AH5-AQ4,IF(A5&lt;'Données projet'!$A$62,$AF$205^A5,IF(A5='Données projet'!$A$62,'Données projet'!$B$62,AI4+AH5-AQ4)))</f>
        <v>1.5533324935148198</v>
      </c>
      <c r="AJ5" s="13">
        <f>AI5*VLOOKUP('Données projet'!$B$10,Paramètres!$A$1:$I$89,3,0)*VLOOKUP('Données projet'!$B$10,Paramètres!$A$1:$I$89,5,0)</f>
        <v>1.6962390829181833</v>
      </c>
      <c r="AK5" s="13">
        <f t="shared" ref="AK5:AK68" si="35">EXP(-1.0587+0.8836*LN(AJ5)+0.284)</f>
        <v>0.73506684758186114</v>
      </c>
      <c r="AL5" s="20">
        <f t="shared" si="4"/>
        <v>4.23452449562091</v>
      </c>
      <c r="AM5" s="59">
        <f t="shared" si="5"/>
        <v>297.56785782895423</v>
      </c>
      <c r="AN5" s="59">
        <f ca="1">AVERAGE(OFFSET($AM$3,0,0,'Données projet'!$E$10+1,1))-AVERAGE(OFFSET($H$3,0,0,'Données projet'!$E$10+1,1))</f>
        <v>245.5026179711341</v>
      </c>
      <c r="AO5" s="59">
        <f t="shared" ref="AO5:AO68" si="36">$AO$3</f>
        <v>204.32077840562567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2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1">
        <f t="shared" si="32"/>
        <v>0.77237742491396744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66">
        <f t="shared" si="1"/>
        <v>297.80310734839179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7.5454545454545459</v>
      </c>
      <c r="N6" s="13">
        <f>IF('Données projet'!$A$36&gt;35,N5+M6-V5,IF(A6&lt;'Données projet'!$A$36,$K$205^A6,IF(A6='Données projet'!$A$36,'Données projet'!$B$36,N5+M6-V5)))</f>
        <v>3.337220742548225</v>
      </c>
      <c r="O6" s="13">
        <f>N6*VLOOKUP('Données projet'!$B$9,Paramètres!$A$1:$I$89,3,0)*VLOOKUP('Données projet'!$B$9,Paramètres!$A$1:$I$89,5,0)</f>
        <v>1.9956580040438385</v>
      </c>
      <c r="P6" s="13">
        <f t="shared" si="33"/>
        <v>0.84861002696285914</v>
      </c>
      <c r="Q6" s="20">
        <f t="shared" si="2"/>
        <v>4.9537668206699985</v>
      </c>
      <c r="R6" s="59">
        <f t="shared" si="0"/>
        <v>298.28710015400333</v>
      </c>
      <c r="S6" s="59">
        <f ca="1">AVERAGE(OFFSET($R$3,0,0,'Données projet'!$E$9+1,1))-AVERAGE(OFFSET($H$3,0,0,'Données projet'!$E$9+1,1))</f>
        <v>148.39628895278571</v>
      </c>
      <c r="T6" s="59">
        <f t="shared" si="34"/>
        <v>361.07991692964788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0.90432000000000001</v>
      </c>
      <c r="AI6" s="13">
        <f>IF('Données projet'!$A$62&gt;35,AI5+AH6-AQ5,IF(A6&lt;'Données projet'!$A$62,$AF$205^A6,IF(A6='Données projet'!$A$62,'Données projet'!$B$62,AI5+AH6-AQ5)))</f>
        <v>1.9359611630021627</v>
      </c>
      <c r="AJ6" s="13">
        <f>AI6*VLOOKUP('Données projet'!$B$10,Paramètres!$A$1:$I$89,3,0)*VLOOKUP('Données projet'!$B$10,Paramètres!$A$1:$I$89,5,0)</f>
        <v>2.1140695899983615</v>
      </c>
      <c r="AK6" s="13">
        <f t="shared" si="35"/>
        <v>0.89295065443662225</v>
      </c>
      <c r="AL6" s="20">
        <f t="shared" si="4"/>
        <v>5.2372269257242623</v>
      </c>
      <c r="AM6" s="59">
        <f t="shared" si="5"/>
        <v>298.57056025905757</v>
      </c>
      <c r="AN6" s="59">
        <f ca="1">AVERAGE(OFFSET($AM$3,0,0,'Données projet'!$E$10+1,1))-AVERAGE(OFFSET($H$3,0,0,'Données projet'!$E$10+1,1))</f>
        <v>245.5026179711341</v>
      </c>
      <c r="AO6" s="59">
        <f t="shared" si="36"/>
        <v>204.32077840562567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2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1">
        <f t="shared" si="32"/>
        <v>0.99592225982103644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66">
        <f t="shared" si="1"/>
        <v>299.23396460252161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7.5454545454545459</v>
      </c>
      <c r="N7" s="13">
        <f>IF('Données projet'!$A$36&gt;35,N6+M7-V6,IF(A7&lt;'Données projet'!$A$36,$K$205^A7,IF(A7='Données projet'!$A$36,'Données projet'!$B$36,N6+M7-V6)))</f>
        <v>4.9870828025606775</v>
      </c>
      <c r="O7" s="13">
        <f>N7*VLOOKUP('Données projet'!$B$9,Paramètres!$A$1:$I$89,3,0)*VLOOKUP('Données projet'!$B$9,Paramètres!$A$1:$I$89,5,0)</f>
        <v>2.9822755159312857</v>
      </c>
      <c r="P7" s="13">
        <f t="shared" si="33"/>
        <v>1.2102148238782438</v>
      </c>
      <c r="Q7" s="20">
        <f t="shared" si="2"/>
        <v>7.3019206751682626</v>
      </c>
      <c r="R7" s="59">
        <f t="shared" si="0"/>
        <v>300.63525400850159</v>
      </c>
      <c r="S7" s="59">
        <f ca="1">AVERAGE(OFFSET($R$3,0,0,'Données projet'!$E$9+1,1))-AVERAGE(OFFSET($H$3,0,0,'Données projet'!$E$9+1,1))</f>
        <v>148.39628895278571</v>
      </c>
      <c r="T7" s="59">
        <f t="shared" si="34"/>
        <v>361.07991692964788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0.90432000000000001</v>
      </c>
      <c r="AI7" s="13">
        <f>IF('Données projet'!$A$62&gt;35,AI6+AH7-AQ6,IF(A7&lt;'Données projet'!$A$62,$AF$205^A7,IF(A7='Données projet'!$A$62,'Données projet'!$B$62,AI6+AH7-AQ6)))</f>
        <v>2.412841835408968</v>
      </c>
      <c r="AJ7" s="13">
        <f>AI7*VLOOKUP('Données projet'!$B$10,Paramètres!$A$1:$I$89,3,0)*VLOOKUP('Données projet'!$B$10,Paramètres!$A$1:$I$89,5,0)</f>
        <v>2.6348232842665928</v>
      </c>
      <c r="AK7" s="13">
        <f t="shared" si="35"/>
        <v>1.0847460661324322</v>
      </c>
      <c r="AL7" s="20">
        <f t="shared" si="4"/>
        <v>6.4782499519449681</v>
      </c>
      <c r="AM7" s="59">
        <f t="shared" si="5"/>
        <v>299.81158328527829</v>
      </c>
      <c r="AN7" s="59">
        <f ca="1">AVERAGE(OFFSET($AM$3,0,0,'Données projet'!$E$10+1,1))-AVERAGE(OFFSET($H$3,0,0,'Données projet'!$E$10+1,1))</f>
        <v>245.5026179711341</v>
      </c>
      <c r="AO7" s="59">
        <f t="shared" si="36"/>
        <v>204.32077840562567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2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1">
        <f t="shared" si="32"/>
        <v>1.2129841524368585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66">
        <f t="shared" si="1"/>
        <v>300.65353073216085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7.5454545454545459</v>
      </c>
      <c r="N8" s="13">
        <f>IF('Données projet'!$A$36&gt;35,N7+M8-V7,IF(A8&lt;'Données projet'!$A$36,$K$205^A8,IF(A8='Données projet'!$A$36,'Données projet'!$B$36,N7+M8-V7)))</f>
        <v>7.4526070638664255</v>
      </c>
      <c r="O8" s="13">
        <f>N8*VLOOKUP('Données projet'!$B$9,Paramètres!$A$1:$I$89,3,0)*VLOOKUP('Données projet'!$B$9,Paramètres!$A$1:$I$89,5,0)</f>
        <v>4.4566590241921231</v>
      </c>
      <c r="P8" s="13">
        <f t="shared" si="33"/>
        <v>1.7259045655829262</v>
      </c>
      <c r="Q8" s="20">
        <f t="shared" si="2"/>
        <v>10.76796491885821</v>
      </c>
      <c r="R8" s="59">
        <f t="shared" si="0"/>
        <v>304.1012982521915</v>
      </c>
      <c r="S8" s="59">
        <f ca="1">AVERAGE(OFFSET($R$3,0,0,'Données projet'!$E$9+1,1))-AVERAGE(OFFSET($H$3,0,0,'Données projet'!$E$9+1,1))</f>
        <v>148.39628895278571</v>
      </c>
      <c r="T8" s="59">
        <f t="shared" si="34"/>
        <v>361.07991692964788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0.90432000000000001</v>
      </c>
      <c r="AI8" s="13">
        <f>IF('Données projet'!$A$62&gt;35,AI7+AH8-AQ7,IF(A8&lt;'Données projet'!$A$62,$AF$205^A8,IF(A8='Données projet'!$A$62,'Données projet'!$B$62,AI7+AH8-AQ7)))</f>
        <v>3.0071913806740005</v>
      </c>
      <c r="AJ8" s="13">
        <f>AI8*VLOOKUP('Données projet'!$B$10,Paramètres!$A$1:$I$89,3,0)*VLOOKUP('Données projet'!$B$10,Paramètres!$A$1:$I$89,5,0)</f>
        <v>3.2838529876960081</v>
      </c>
      <c r="AK8" s="13">
        <f t="shared" si="35"/>
        <v>1.3177369008505522</v>
      </c>
      <c r="AL8" s="20">
        <f t="shared" si="4"/>
        <v>8.0144357225519247</v>
      </c>
      <c r="AM8" s="59">
        <f t="shared" si="5"/>
        <v>301.34776905588524</v>
      </c>
      <c r="AN8" s="59">
        <f ca="1">AVERAGE(OFFSET($AM$3,0,0,'Données projet'!$E$10+1,1))-AVERAGE(OFFSET($H$3,0,0,'Données projet'!$E$10+1,1))</f>
        <v>245.5026179711341</v>
      </c>
      <c r="AO8" s="59">
        <f t="shared" si="36"/>
        <v>204.32077840562567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2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1">
        <f t="shared" si="32"/>
        <v>1.4250157876217819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66">
        <f t="shared" si="1"/>
        <v>302.06433583010789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7.5454545454545459</v>
      </c>
      <c r="N9" s="13">
        <f>IF('Données projet'!$A$36&gt;35,N8+M9-V8,IF(A9&lt;'Données projet'!$A$36,$K$205^A9,IF(A9='Données projet'!$A$36,'Données projet'!$B$36,N8+M9-V8)))</f>
        <v>11.137042284494127</v>
      </c>
      <c r="O9" s="13">
        <f>N9*VLOOKUP('Données projet'!$B$9,Paramètres!$A$1:$I$89,3,0)*VLOOKUP('Données projet'!$B$9,Paramètres!$A$1:$I$89,5,0)</f>
        <v>6.6599512861274883</v>
      </c>
      <c r="P9" s="13">
        <f t="shared" si="33"/>
        <v>2.461337037629669</v>
      </c>
      <c r="Q9" s="20">
        <f t="shared" si="2"/>
        <v>15.886243830543714</v>
      </c>
      <c r="R9" s="59">
        <f t="shared" si="0"/>
        <v>309.21957716387703</v>
      </c>
      <c r="S9" s="59">
        <f ca="1">AVERAGE(OFFSET($R$3,0,0,'Données projet'!$E$9+1,1))-AVERAGE(OFFSET($H$3,0,0,'Données projet'!$E$9+1,1))</f>
        <v>148.39628895278571</v>
      </c>
      <c r="T9" s="59">
        <f t="shared" si="34"/>
        <v>361.07991692964788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0.90432000000000001</v>
      </c>
      <c r="AI9" s="13">
        <f>IF('Données projet'!$A$62&gt;35,AI8+AH9-AQ8,IF(A9&lt;'Données projet'!$A$62,$AF$205^A9,IF(A9='Données projet'!$A$62,'Données projet'!$B$62,AI8+AH9-AQ8)))</f>
        <v>3.747945624652687</v>
      </c>
      <c r="AJ9" s="13">
        <f>AI9*VLOOKUP('Données projet'!$B$10,Paramètres!$A$1:$I$89,3,0)*VLOOKUP('Données projet'!$B$10,Paramètres!$A$1:$I$89,5,0)</f>
        <v>4.0927566221207341</v>
      </c>
      <c r="AK9" s="13">
        <f t="shared" si="35"/>
        <v>1.6007714561752782</v>
      </c>
      <c r="AL9" s="20">
        <f t="shared" si="4"/>
        <v>9.9162280696988869</v>
      </c>
      <c r="AM9" s="59">
        <f t="shared" si="5"/>
        <v>303.2495614030322</v>
      </c>
      <c r="AN9" s="59">
        <f ca="1">AVERAGE(OFFSET($AM$3,0,0,'Données projet'!$E$10+1,1))-AVERAGE(OFFSET($H$3,0,0,'Données projet'!$E$10+1,1))</f>
        <v>245.5026179711341</v>
      </c>
      <c r="AO9" s="59">
        <f t="shared" si="36"/>
        <v>204.32077840562567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2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1">
        <f t="shared" si="32"/>
        <v>1.6329536551363955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66">
        <f t="shared" si="1"/>
        <v>303.46801094936251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7.5454545454545459</v>
      </c>
      <c r="N10" s="13">
        <f>IF('Données projet'!$A$36&gt;35,N9+M10-V9,IF(A10&lt;'Données projet'!$A$36,$K$205^A10,IF(A10='Données projet'!$A$36,'Données projet'!$B$36,N9+M10-V9)))</f>
        <v>16.642996173511026</v>
      </c>
      <c r="O10" s="13">
        <f>N10*VLOOKUP('Données projet'!$B$9,Paramètres!$A$1:$I$89,3,0)*VLOOKUP('Données projet'!$B$9,Paramètres!$A$1:$I$89,5,0)</f>
        <v>9.9525117117595947</v>
      </c>
      <c r="P10" s="13">
        <f t="shared" si="33"/>
        <v>3.5101477414317164</v>
      </c>
      <c r="Q10" s="20">
        <f t="shared" si="2"/>
        <v>23.447465214308199</v>
      </c>
      <c r="R10" s="59">
        <f t="shared" si="0"/>
        <v>316.7807985476415</v>
      </c>
      <c r="S10" s="59">
        <f ca="1">AVERAGE(OFFSET($R$3,0,0,'Données projet'!$E$9+1,1))-AVERAGE(OFFSET($H$3,0,0,'Données projet'!$E$9+1,1))</f>
        <v>148.39628895278571</v>
      </c>
      <c r="T10" s="59">
        <f t="shared" si="34"/>
        <v>361.07991692964788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0.90432000000000001</v>
      </c>
      <c r="AI10" s="13">
        <f>IF('Données projet'!$A$62&gt;35,AI9+AH10-AQ9,IF(A10&lt;'Données projet'!$A$62,$AF$205^A10,IF(A10='Données projet'!$A$62,'Données projet'!$B$62,AI9+AH10-AQ9)))</f>
        <v>4.6711680858186186</v>
      </c>
      <c r="AJ10" s="13">
        <f>AI10*VLOOKUP('Données projet'!$B$10,Paramètres!$A$1:$I$89,3,0)*VLOOKUP('Données projet'!$B$10,Paramètres!$A$1:$I$89,5,0)</f>
        <v>5.1009155497139318</v>
      </c>
      <c r="AK10" s="13">
        <f t="shared" si="35"/>
        <v>1.9445985410680524</v>
      </c>
      <c r="AL10" s="20">
        <f t="shared" si="4"/>
        <v>12.270937041445288</v>
      </c>
      <c r="AM10" s="59">
        <f t="shared" si="5"/>
        <v>305.60427037477859</v>
      </c>
      <c r="AN10" s="59">
        <f ca="1">AVERAGE(OFFSET($AM$3,0,0,'Données projet'!$E$10+1,1))-AVERAGE(OFFSET($H$3,0,0,'Données projet'!$E$10+1,1))</f>
        <v>245.5026179711341</v>
      </c>
      <c r="AO10" s="59">
        <f t="shared" si="36"/>
        <v>204.32077840562567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2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1">
        <f t="shared" si="32"/>
        <v>1.8374500570715413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66">
        <f t="shared" si="1"/>
        <v>304.86569218273291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7.5454545454545459</v>
      </c>
      <c r="N11" s="13">
        <f>IF('Données projet'!$A$36&gt;35,N10+M11-V10,IF(A11&lt;'Données projet'!$A$36,$K$205^A11,IF(A11='Données projet'!$A$36,'Données projet'!$B$36,N10+M11-V10)))</f>
        <v>24.870994879596463</v>
      </c>
      <c r="O11" s="13">
        <f>N11*VLOOKUP('Données projet'!$B$9,Paramètres!$A$1:$I$89,3,0)*VLOOKUP('Données projet'!$B$9,Paramètres!$A$1:$I$89,5,0)</f>
        <v>14.872854937998687</v>
      </c>
      <c r="P11" s="13">
        <f t="shared" si="33"/>
        <v>5.0058715967414829</v>
      </c>
      <c r="Q11" s="20">
        <f t="shared" si="2"/>
        <v>34.622115381339128</v>
      </c>
      <c r="R11" s="59">
        <f t="shared" si="0"/>
        <v>327.95544871467246</v>
      </c>
      <c r="S11" s="59">
        <f ca="1">AVERAGE(OFFSET($R$3,0,0,'Données projet'!$E$9+1,1))-AVERAGE(OFFSET($H$3,0,0,'Données projet'!$E$9+1,1))</f>
        <v>148.39628895278571</v>
      </c>
      <c r="T11" s="59">
        <f t="shared" si="34"/>
        <v>361.07991692964788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0.90432000000000001</v>
      </c>
      <c r="AI11" s="13">
        <f>IF('Données projet'!$A$62&gt;35,AI10+AH11-AQ10,IF(A11&lt;'Données projet'!$A$62,$AF$205^A11,IF(A11='Données projet'!$A$62,'Données projet'!$B$62,AI10+AH11-AQ10)))</f>
        <v>5.8218057226997173</v>
      </c>
      <c r="AJ11" s="13">
        <f>AI11*VLOOKUP('Données projet'!$B$10,Paramètres!$A$1:$I$89,3,0)*VLOOKUP('Données projet'!$B$10,Paramètres!$A$1:$I$89,5,0)</f>
        <v>6.3574118491880913</v>
      </c>
      <c r="AK11" s="13">
        <f t="shared" si="35"/>
        <v>2.3622756836001093</v>
      </c>
      <c r="AL11" s="20">
        <f t="shared" si="4"/>
        <v>15.186789119606113</v>
      </c>
      <c r="AM11" s="59">
        <f t="shared" si="5"/>
        <v>308.5201224529394</v>
      </c>
      <c r="AN11" s="59">
        <f ca="1">AVERAGE(OFFSET($AM$3,0,0,'Données projet'!$E$10+1,1))-AVERAGE(OFFSET($H$3,0,0,'Données projet'!$E$10+1,1))</f>
        <v>245.5026179711341</v>
      </c>
      <c r="AO11" s="59">
        <f t="shared" si="36"/>
        <v>204.32077840562567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2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1">
        <f t="shared" si="32"/>
        <v>2.038984443761938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66">
        <f t="shared" si="1"/>
        <v>306.25821457288538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7.5454545454545459</v>
      </c>
      <c r="N12" s="13">
        <f>IF('Données projet'!$A$36&gt;35,N11+M12-V11,IF(A12&lt;'Données projet'!$A$36,$K$205^A12,IF(A12='Données projet'!$A$36,'Données projet'!$B$36,N11+M12-V11)))</f>
        <v>37.166768522450475</v>
      </c>
      <c r="O12" s="13">
        <f>N12*VLOOKUP('Données projet'!$B$9,Paramètres!$A$1:$I$89,3,0)*VLOOKUP('Données projet'!$B$9,Paramètres!$A$1:$I$89,5,0)</f>
        <v>22.225727576425388</v>
      </c>
      <c r="P12" s="13">
        <f t="shared" si="33"/>
        <v>7.1389446510425687</v>
      </c>
      <c r="Q12" s="20">
        <f t="shared" si="2"/>
        <v>51.143470796173354</v>
      </c>
      <c r="R12" s="59">
        <f t="shared" si="0"/>
        <v>344.47680412950666</v>
      </c>
      <c r="S12" s="59">
        <f ca="1">AVERAGE(OFFSET($R$3,0,0,'Données projet'!$E$9+1,1))-AVERAGE(OFFSET($H$3,0,0,'Données projet'!$E$9+1,1))</f>
        <v>148.39628895278571</v>
      </c>
      <c r="T12" s="59">
        <f t="shared" si="34"/>
        <v>361.07991692964788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0.90432000000000001</v>
      </c>
      <c r="AI12" s="13">
        <f>IF('Données projet'!$A$62&gt;35,AI11+AH12-AQ11,IF(A12&lt;'Données projet'!$A$62,$AF$205^A12,IF(A12='Données projet'!$A$62,'Données projet'!$B$62,AI11+AH12-AQ11)))</f>
        <v>7.2558771703714831</v>
      </c>
      <c r="AJ12" s="13">
        <f>AI12*VLOOKUP('Données projet'!$B$10,Paramètres!$A$1:$I$89,3,0)*VLOOKUP('Données projet'!$B$10,Paramètres!$A$1:$I$89,5,0)</f>
        <v>7.9234178700456592</v>
      </c>
      <c r="AK12" s="13">
        <f t="shared" si="35"/>
        <v>2.8696650169568723</v>
      </c>
      <c r="AL12" s="20">
        <f t="shared" si="4"/>
        <v>18.79795269486274</v>
      </c>
      <c r="AM12" s="59">
        <f t="shared" si="5"/>
        <v>312.13128602819603</v>
      </c>
      <c r="AN12" s="59">
        <f ca="1">AVERAGE(OFFSET($AM$3,0,0,'Données projet'!$E$10+1,1))-AVERAGE(OFFSET($H$3,0,0,'Données projet'!$E$10+1,1))</f>
        <v>245.5026179711341</v>
      </c>
      <c r="AO12" s="59">
        <f t="shared" si="36"/>
        <v>204.32077840562567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2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1">
        <f t="shared" si="32"/>
        <v>2.2379234705753914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66">
        <f t="shared" si="1"/>
        <v>307.64621671125212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7.5454545454545459</v>
      </c>
      <c r="N13" s="13">
        <f>IF('Données projet'!$A$36&gt;35,N12+M13-V12,IF(A13&lt;'Données projet'!$A$36,$K$205^A13,IF(A13='Données projet'!$A$36,'Données projet'!$B$36,N12+M13-V12)))</f>
        <v>55.541352048391744</v>
      </c>
      <c r="O13" s="13">
        <f>N13*VLOOKUP('Données projet'!$B$9,Paramètres!$A$1:$I$89,3,0)*VLOOKUP('Données projet'!$B$9,Paramètres!$A$1:$I$89,5,0)</f>
        <v>33.213728524938269</v>
      </c>
      <c r="P13" s="13">
        <f t="shared" si="33"/>
        <v>10.180950459021789</v>
      </c>
      <c r="Q13" s="20">
        <f t="shared" si="2"/>
        <v>75.579065897063757</v>
      </c>
      <c r="R13" s="59">
        <f t="shared" si="0"/>
        <v>368.91239923039706</v>
      </c>
      <c r="S13" s="59">
        <f ca="1">AVERAGE(OFFSET($R$3,0,0,'Données projet'!$E$9+1,1))-AVERAGE(OFFSET($H$3,0,0,'Données projet'!$E$9+1,1))</f>
        <v>148.39628895278571</v>
      </c>
      <c r="T13" s="59">
        <f t="shared" si="34"/>
        <v>361.07991692964788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>
        <f>VLOOKUP(A13,'Données projet'!$A$61:$I$81,2,0)</f>
        <v>9.0432000000000006</v>
      </c>
      <c r="AG13" s="12">
        <f>VLOOKUP(A13,'Données projet'!$A$61:$I$81,9,0)</f>
        <v>0.90432000000000001</v>
      </c>
      <c r="AH13" s="12">
        <f t="array" ref="AH13">INDEX(AG:AG,MIN(IF(ISNUMBER(AG13:AG209),ROW(AG13:AG209),"")))</f>
        <v>0.90432000000000001</v>
      </c>
      <c r="AI13" s="13">
        <f>IF('Données projet'!$A$62&gt;35,AI12+AH13-AQ12,IF(A13&lt;'Données projet'!$A$62,$AF$205^A13,IF(A13='Données projet'!$A$62,'Données projet'!$B$62,AI12+AH13-AQ12)))</f>
        <v>9.0432000000000006</v>
      </c>
      <c r="AJ13" s="13">
        <f>AI13*VLOOKUP('Données projet'!$B$10,Paramètres!$A$1:$I$89,3,0)*VLOOKUP('Données projet'!$B$10,Paramètres!$A$1:$I$89,5,0)</f>
        <v>9.8751744000000006</v>
      </c>
      <c r="AK13" s="13">
        <f t="shared" si="35"/>
        <v>3.486035675986801</v>
      </c>
      <c r="AL13" s="20">
        <f t="shared" si="4"/>
        <v>23.270774215677008</v>
      </c>
      <c r="AM13" s="59">
        <f t="shared" si="5"/>
        <v>316.60410754901034</v>
      </c>
      <c r="AN13" s="59">
        <f ca="1">AVERAGE(OFFSET($AM$3,0,0,'Données projet'!$E$10+1,1))-AVERAGE(OFFSET($H$3,0,0,'Données projet'!$E$10+1,1))</f>
        <v>245.5026179711341</v>
      </c>
      <c r="AO13" s="59">
        <f t="shared" si="36"/>
        <v>204.32077840562567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2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1">
        <f t="shared" si="32"/>
        <v>2.4345562183329115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66">
        <f t="shared" si="1"/>
        <v>309.03020208026311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>
        <f>VLOOKUP(A14,'Données projet'!$A$35:$I$55,2,0)</f>
        <v>83</v>
      </c>
      <c r="L14" s="12">
        <f>VLOOKUP(A14,'Données projet'!$A$35:$I$55,9,0)</f>
        <v>7.5454545454545459</v>
      </c>
      <c r="M14" s="12">
        <f t="array" ref="M14">INDEX(L:L,MIN(IF(ISNUMBER(L14:L210),ROW(L14:L210),"")))</f>
        <v>7.5454545454545459</v>
      </c>
      <c r="N14" s="13">
        <f>IF('Données projet'!$A$36&gt;35,N13+M14-V13,IF(A14&lt;'Données projet'!$A$36,$K$205^A14,IF(A14='Données projet'!$A$36,'Données projet'!$B$36,N13+M14-V13)))</f>
        <v>83</v>
      </c>
      <c r="O14" s="13">
        <f>N14*VLOOKUP('Données projet'!$B$9,Paramètres!$A$1:$I$89,3,0)*VLOOKUP('Données projet'!$B$9,Paramètres!$A$1:$I$89,5,0)</f>
        <v>49.634</v>
      </c>
      <c r="P14" s="13">
        <f t="shared" si="33"/>
        <v>14.519198189037462</v>
      </c>
      <c r="Q14" s="20">
        <f t="shared" si="2"/>
        <v>111.73348684590691</v>
      </c>
      <c r="R14" s="59">
        <f t="shared" si="0"/>
        <v>405.06682017924021</v>
      </c>
      <c r="S14" s="59">
        <f ca="1">AVERAGE(OFFSET($R$3,0,0,'Données projet'!$E$9+1,1))-AVERAGE(OFFSET($H$3,0,0,'Données projet'!$E$9+1,1))</f>
        <v>148.39628895278571</v>
      </c>
      <c r="T14" s="59">
        <f t="shared" si="34"/>
        <v>361.07991692964788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3.3205500000000017</v>
      </c>
      <c r="AI14" s="13">
        <f>IF('Données projet'!$A$62&gt;35,AI13+AH14-AQ13,IF(A14&lt;'Données projet'!$A$62,$AF$205^A14,IF(A14='Données projet'!$A$62,'Données projet'!$B$62,AI13+AH14-AQ13)))</f>
        <v>12.363750000000003</v>
      </c>
      <c r="AJ14" s="13">
        <f>AI14*VLOOKUP('Données projet'!$B$10,Paramètres!$A$1:$I$89,3,0)*VLOOKUP('Données projet'!$B$10,Paramètres!$A$1:$I$89,5,0)</f>
        <v>13.501215000000002</v>
      </c>
      <c r="AK14" s="13">
        <f t="shared" si="35"/>
        <v>4.5956772181406107</v>
      </c>
      <c r="AL14" s="20">
        <f t="shared" si="4"/>
        <v>31.518753946594902</v>
      </c>
      <c r="AM14" s="59">
        <f t="shared" si="5"/>
        <v>324.85208727992824</v>
      </c>
      <c r="AN14" s="59">
        <f ca="1">AVERAGE(OFFSET($AM$3,0,0,'Données projet'!$E$10+1,1))-AVERAGE(OFFSET($H$3,0,0,'Données projet'!$E$10+1,1))</f>
        <v>245.5026179711341</v>
      </c>
      <c r="AO14" s="59">
        <f t="shared" si="36"/>
        <v>204.32077840562567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2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1">
        <f t="shared" si="32"/>
        <v>2.629116193028969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66">
        <f t="shared" si="1"/>
        <v>310.41057736952541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>
        <f>VLOOKUP(A15,'Données projet'!$A$35:$I$55,2,0)</f>
        <v>106</v>
      </c>
      <c r="L15" s="12">
        <f>VLOOKUP(A15,'Données projet'!$A$35:$I$55,9,0)</f>
        <v>23</v>
      </c>
      <c r="M15" s="12">
        <f t="array" ref="M15">INDEX(L:L,MIN(IF(ISNUMBER(L15:L211),ROW(L15:L211),"")))</f>
        <v>23</v>
      </c>
      <c r="N15" s="13">
        <f>IF('Données projet'!$A$36&gt;35,N14+M15-V14,IF(A15&lt;'Données projet'!$A$36,$K$205^A15,IF(A15='Données projet'!$A$36,'Données projet'!$B$36,N14+M15-V14)))</f>
        <v>106</v>
      </c>
      <c r="O15" s="13">
        <f>N15*VLOOKUP('Données projet'!$B$9,Paramètres!$A$1:$I$89,3,0)*VLOOKUP('Données projet'!$B$9,Paramètres!$A$1:$I$89,5,0)</f>
        <v>63.388000000000012</v>
      </c>
      <c r="P15" s="13">
        <f t="shared" si="33"/>
        <v>18.022104085041263</v>
      </c>
      <c r="Q15" s="20">
        <f t="shared" si="2"/>
        <v>141.78926461478019</v>
      </c>
      <c r="R15" s="59">
        <f t="shared" si="0"/>
        <v>435.12259794811348</v>
      </c>
      <c r="S15" s="59">
        <f ca="1">AVERAGE(OFFSET($R$3,0,0,'Données projet'!$E$9+1,1))-AVERAGE(OFFSET($H$3,0,0,'Données projet'!$E$9+1,1))</f>
        <v>148.39628895278571</v>
      </c>
      <c r="T15" s="59">
        <f t="shared" si="34"/>
        <v>361.07991692964788</v>
      </c>
      <c r="U15" s="15">
        <f>IF(ISNA(VLOOKUP(A15,'Données projet'!$A$35:$I$55,3,0)),0,VLOOKUP(A15,'Données projet'!$A$35:$I$55,3,0))</f>
        <v>1</v>
      </c>
      <c r="V15" s="15">
        <f>IF(ISNA(VLOOKUP(A15,'Données projet'!$A$35:$I$55,4,0)),0,VLOOKUP(A15,'Données projet'!$A$35:$I$55,4,0))</f>
        <v>34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1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23.020547073308105</v>
      </c>
      <c r="AC15" s="22">
        <f t="shared" si="3"/>
        <v>23.020547073308105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3.3205500000000017</v>
      </c>
      <c r="AI15" s="13">
        <f>IF('Données projet'!$A$62&gt;35,AI14+AH15-AQ14,IF(A15&lt;'Données projet'!$A$62,$AF$205^A15,IF(A15='Données projet'!$A$62,'Données projet'!$B$62,AI14+AH15-AQ14)))</f>
        <v>15.684300000000004</v>
      </c>
      <c r="AJ15" s="13">
        <f>AI15*VLOOKUP('Données projet'!$B$10,Paramètres!$A$1:$I$89,3,0)*VLOOKUP('Données projet'!$B$10,Paramètres!$A$1:$I$89,5,0)</f>
        <v>17.127255600000005</v>
      </c>
      <c r="AK15" s="13">
        <f t="shared" si="35"/>
        <v>5.670724994426342</v>
      </c>
      <c r="AL15" s="20">
        <f t="shared" si="4"/>
        <v>39.706482868625891</v>
      </c>
      <c r="AM15" s="59">
        <f t="shared" si="5"/>
        <v>333.03981620195918</v>
      </c>
      <c r="AN15" s="59">
        <f ca="1">AVERAGE(OFFSET($AM$3,0,0,'Données projet'!$E$10+1,1))-AVERAGE(OFFSET($H$3,0,0,'Données projet'!$E$10+1,1))</f>
        <v>245.5026179711341</v>
      </c>
      <c r="AO15" s="59">
        <f t="shared" si="36"/>
        <v>204.32077840562567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2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1">
        <f t="shared" si="32"/>
        <v>2.8217957637427893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66">
        <f t="shared" si="1"/>
        <v>311.78767762185203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>
        <f>VLOOKUP(A16,'Données projet'!$A$35:$I$55,2,0)</f>
        <v>89</v>
      </c>
      <c r="L16" s="12">
        <f>VLOOKUP(A16,'Données projet'!$A$35:$I$55,9,0)</f>
        <v>17</v>
      </c>
      <c r="M16" s="12">
        <f t="array" ref="M16">INDEX(L:L,MIN(IF(ISNUMBER(L16:L212),ROW(L16:L212),"")))</f>
        <v>17</v>
      </c>
      <c r="N16" s="13">
        <f>IF('Données projet'!$A$36&gt;35,N15+M16-V15,IF(A16&lt;'Données projet'!$A$36,$K$205^A16,IF(A16='Données projet'!$A$36,'Données projet'!$B$36,N15+M16-V15)))</f>
        <v>89</v>
      </c>
      <c r="O16" s="13">
        <f>N16*VLOOKUP('Données projet'!$B$9,Paramètres!$A$1:$I$89,3,0)*VLOOKUP('Données projet'!$B$9,Paramètres!$A$1:$I$89,5,0)</f>
        <v>53.222000000000008</v>
      </c>
      <c r="P16" s="13">
        <f t="shared" si="33"/>
        <v>15.442806897867877</v>
      </c>
      <c r="Q16" s="20">
        <f t="shared" si="2"/>
        <v>119.59120534711991</v>
      </c>
      <c r="R16" s="59">
        <f t="shared" si="0"/>
        <v>412.92453868045322</v>
      </c>
      <c r="S16" s="59">
        <f ca="1">AVERAGE(OFFSET($R$3,0,0,'Données projet'!$E$9+1,1))-AVERAGE(OFFSET($H$3,0,0,'Données projet'!$E$9+1,1))</f>
        <v>148.39628895278571</v>
      </c>
      <c r="T16" s="59">
        <f t="shared" si="34"/>
        <v>361.07991692964788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16.277984942160291</v>
      </c>
      <c r="AC16" s="22">
        <f t="shared" si="3"/>
        <v>16.277984942160291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3.3205500000000017</v>
      </c>
      <c r="AI16" s="13">
        <f>IF('Données projet'!$A$62&gt;35,AI15+AH16-AQ15,IF(A16&lt;'Données projet'!$A$62,$AF$205^A16,IF(A16='Données projet'!$A$62,'Données projet'!$B$62,AI15+AH16-AQ15)))</f>
        <v>19.004850000000005</v>
      </c>
      <c r="AJ16" s="13">
        <f>AI16*VLOOKUP('Données projet'!$B$10,Paramètres!$A$1:$I$89,3,0)*VLOOKUP('Données projet'!$B$10,Paramètres!$A$1:$I$89,5,0)</f>
        <v>20.753296200000005</v>
      </c>
      <c r="AK16" s="13">
        <f t="shared" si="35"/>
        <v>6.7193956330841553</v>
      </c>
      <c r="AL16" s="20">
        <f t="shared" si="4"/>
        <v>47.84827160928824</v>
      </c>
      <c r="AM16" s="59">
        <f t="shared" si="5"/>
        <v>341.18160494262156</v>
      </c>
      <c r="AN16" s="59">
        <f ca="1">AVERAGE(OFFSET($AM$3,0,0,'Données projet'!$E$10+1,1))-AVERAGE(OFFSET($H$3,0,0,'Données projet'!$E$10+1,1))</f>
        <v>245.5026179711341</v>
      </c>
      <c r="AO16" s="59">
        <f t="shared" si="36"/>
        <v>204.32077840562567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2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1">
        <f t="shared" si="32"/>
        <v>3.0127560231104038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66">
        <f t="shared" si="1"/>
        <v>313.16178340691727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>
        <f>VLOOKUP(A17,'Données projet'!$A$35:$I$55,2,0)</f>
        <v>110</v>
      </c>
      <c r="L17" s="12">
        <f>VLOOKUP(A17,'Données projet'!$A$35:$I$55,9,0)</f>
        <v>21</v>
      </c>
      <c r="M17" s="12">
        <f t="array" ref="M17">INDEX(L:L,MIN(IF(ISNUMBER(L17:L213),ROW(L17:L213),"")))</f>
        <v>21</v>
      </c>
      <c r="N17" s="13">
        <f>IF('Données projet'!$A$36&gt;35,N16+M17-V16,IF(A17&lt;'Données projet'!$A$36,$K$205^A17,IF(A17='Données projet'!$A$36,'Données projet'!$B$36,N16+M17-V16)))</f>
        <v>110</v>
      </c>
      <c r="O17" s="13">
        <f>N17*VLOOKUP('Données projet'!$B$9,Paramètres!$A$1:$I$89,3,0)*VLOOKUP('Données projet'!$B$9,Paramètres!$A$1:$I$89,5,0)</f>
        <v>65.78</v>
      </c>
      <c r="P17" s="13">
        <f t="shared" si="33"/>
        <v>18.621720661480644</v>
      </c>
      <c r="Q17" s="20">
        <f t="shared" si="2"/>
        <v>146.99966348541213</v>
      </c>
      <c r="R17" s="59">
        <f t="shared" si="0"/>
        <v>440.33299681874541</v>
      </c>
      <c r="S17" s="59">
        <f ca="1">AVERAGE(OFFSET($R$3,0,0,'Données projet'!$E$9+1,1))-AVERAGE(OFFSET($H$3,0,0,'Données projet'!$E$9+1,1))</f>
        <v>148.39628895278571</v>
      </c>
      <c r="T17" s="59">
        <f t="shared" si="34"/>
        <v>361.07991692964788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11.510273536654053</v>
      </c>
      <c r="AC17" s="22">
        <f t="shared" si="3"/>
        <v>11.510273536654053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3.3205500000000017</v>
      </c>
      <c r="AI17" s="13">
        <f>IF('Données projet'!$A$62&gt;35,AI16+AH17-AQ16,IF(A17&lt;'Données projet'!$A$62,$AF$205^A17,IF(A17='Données projet'!$A$62,'Données projet'!$B$62,AI16+AH17-AQ16)))</f>
        <v>22.325400000000005</v>
      </c>
      <c r="AJ17" s="13">
        <f>AI17*VLOOKUP('Données projet'!$B$10,Paramètres!$A$1:$I$89,3,0)*VLOOKUP('Données projet'!$B$10,Paramètres!$A$1:$I$89,5,0)</f>
        <v>24.379336800000004</v>
      </c>
      <c r="AK17" s="13">
        <f t="shared" si="35"/>
        <v>7.7468403220086079</v>
      </c>
      <c r="AL17" s="20">
        <f t="shared" si="4"/>
        <v>55.953091820831666</v>
      </c>
      <c r="AM17" s="59">
        <f t="shared" si="5"/>
        <v>349.28642515416499</v>
      </c>
      <c r="AN17" s="59">
        <f ca="1">AVERAGE(OFFSET($AM$3,0,0,'Données projet'!$E$10+1,1))-AVERAGE(OFFSET($H$3,0,0,'Données projet'!$E$10+1,1))</f>
        <v>245.5026179711341</v>
      </c>
      <c r="AO17" s="59">
        <f t="shared" si="36"/>
        <v>204.32077840562567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2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1">
        <f t="shared" si="32"/>
        <v>3.2021337464957651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66">
        <f t="shared" si="1"/>
        <v>314.53313294181345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>
        <f>VLOOKUP(A18,'Données projet'!$A$35:$I$55,2,0)</f>
        <v>131</v>
      </c>
      <c r="L18" s="12">
        <f>VLOOKUP(A18,'Données projet'!$A$35:$I$55,9,0)</f>
        <v>21</v>
      </c>
      <c r="M18" s="12">
        <f t="array" ref="M18">INDEX(L:L,MIN(IF(ISNUMBER(L18:L214),ROW(L18:L214),"")))</f>
        <v>21</v>
      </c>
      <c r="N18" s="13">
        <f>IF('Données projet'!$A$36&gt;35,N17+M18-V17,IF(A18&lt;'Données projet'!$A$36,$K$205^A18,IF(A18='Données projet'!$A$36,'Données projet'!$B$36,N17+M18-V17)))</f>
        <v>131</v>
      </c>
      <c r="O18" s="13">
        <f>N18*VLOOKUP('Données projet'!$B$9,Paramètres!$A$1:$I$89,3,0)*VLOOKUP('Données projet'!$B$9,Paramètres!$A$1:$I$89,5,0)</f>
        <v>78.338000000000008</v>
      </c>
      <c r="P18" s="13">
        <f t="shared" si="33"/>
        <v>21.730321306378922</v>
      </c>
      <c r="Q18" s="20">
        <f t="shared" si="2"/>
        <v>174.28565960860999</v>
      </c>
      <c r="R18" s="59">
        <f t="shared" si="0"/>
        <v>467.6189929419433</v>
      </c>
      <c r="S18" s="59">
        <f ca="1">AVERAGE(OFFSET($R$3,0,0,'Données projet'!$E$9+1,1))-AVERAGE(OFFSET($H$3,0,0,'Données projet'!$E$9+1,1))</f>
        <v>148.39628895278571</v>
      </c>
      <c r="T18" s="59">
        <f t="shared" si="34"/>
        <v>361.07991692964788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8.1389924710801456</v>
      </c>
      <c r="AC18" s="22">
        <f t="shared" si="3"/>
        <v>8.1389924710801456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>
        <f>VLOOKUP(A18,'Données projet'!$A$61:$I$81,2,0)</f>
        <v>25.645950000000006</v>
      </c>
      <c r="AG18" s="12">
        <f>VLOOKUP(A18,'Données projet'!$A$61:$I$81,9,0)</f>
        <v>3.3205500000000017</v>
      </c>
      <c r="AH18" s="12">
        <f t="array" ref="AH18">INDEX(AG:AG,MIN(IF(ISNUMBER(AG18:AG214),ROW(AG18:AG214),"")))</f>
        <v>3.3205500000000017</v>
      </c>
      <c r="AI18" s="13">
        <f>IF('Données projet'!$A$62&gt;35,AI17+AH18-AQ17,IF(A18&lt;'Données projet'!$A$62,$AF$205^A18,IF(A18='Données projet'!$A$62,'Données projet'!$B$62,AI17+AH18-AQ17)))</f>
        <v>25.645950000000006</v>
      </c>
      <c r="AJ18" s="13">
        <f>AI18*VLOOKUP('Données projet'!$B$10,Paramètres!$A$1:$I$89,3,0)*VLOOKUP('Données projet'!$B$10,Paramètres!$A$1:$I$89,5,0)</f>
        <v>28.005377400000008</v>
      </c>
      <c r="AK18" s="13">
        <f t="shared" si="35"/>
        <v>8.7565814581344501</v>
      </c>
      <c r="AL18" s="20">
        <f t="shared" si="4"/>
        <v>64.027078344584183</v>
      </c>
      <c r="AM18" s="59">
        <f t="shared" si="5"/>
        <v>357.36041167791751</v>
      </c>
      <c r="AN18" s="59">
        <f ca="1">AVERAGE(OFFSET($AM$3,0,0,'Données projet'!$E$10+1,1))-AVERAGE(OFFSET($H$3,0,0,'Données projet'!$E$10+1,1))</f>
        <v>245.5026179711341</v>
      </c>
      <c r="AO18" s="59">
        <f t="shared" si="36"/>
        <v>204.32077840562567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2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1">
        <f t="shared" si="32"/>
        <v>3.3900464408124646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66">
        <f t="shared" si="1"/>
        <v>315.90193088441504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>
        <f>VLOOKUP(A19,'Données projet'!$A$35:$I$55,2,0)</f>
        <v>153</v>
      </c>
      <c r="L19" s="12">
        <f>VLOOKUP(A19,'Données projet'!$A$35:$I$55,9,0)</f>
        <v>22</v>
      </c>
      <c r="M19" s="12">
        <f t="array" ref="M19">INDEX(L:L,MIN(IF(ISNUMBER(L19:L215),ROW(L19:L215),"")))</f>
        <v>22</v>
      </c>
      <c r="N19" s="13">
        <f>IF('Données projet'!$A$36&gt;35,N18+M19-V18,IF(A19&lt;'Données projet'!$A$36,$K$205^A19,IF(A19='Données projet'!$A$36,'Données projet'!$B$36,N18+M19-V18)))</f>
        <v>153</v>
      </c>
      <c r="O19" s="13">
        <f>N19*VLOOKUP('Données projet'!$B$9,Paramètres!$A$1:$I$89,3,0)*VLOOKUP('Données projet'!$B$9,Paramètres!$A$1:$I$89,5,0)</f>
        <v>91.494000000000014</v>
      </c>
      <c r="P19" s="13">
        <f t="shared" si="33"/>
        <v>24.925195840896542</v>
      </c>
      <c r="Q19" s="20">
        <f t="shared" si="2"/>
        <v>202.76343275622813</v>
      </c>
      <c r="R19" s="59">
        <f t="shared" si="0"/>
        <v>496.09676608956147</v>
      </c>
      <c r="S19" s="59">
        <f ca="1">AVERAGE(OFFSET($R$3,0,0,'Données projet'!$E$9+1,1))-AVERAGE(OFFSET($H$3,0,0,'Données projet'!$E$9+1,1))</f>
        <v>148.39628895278571</v>
      </c>
      <c r="T19" s="59">
        <f t="shared" si="34"/>
        <v>361.07991692964788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5.7551367683270263</v>
      </c>
      <c r="AC19" s="22">
        <f t="shared" si="3"/>
        <v>5.7551367683270263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4.4226899999999985</v>
      </c>
      <c r="AI19" s="13">
        <f>IF('Données projet'!$A$62&gt;35,AI18+AH19-AQ18,IF(A19&lt;'Données projet'!$A$62,$AF$205^A19,IF(A19='Données projet'!$A$62,'Données projet'!$B$62,AI18+AH19-AQ18)))</f>
        <v>30.068640000000006</v>
      </c>
      <c r="AJ19" s="13">
        <f>AI19*VLOOKUP('Données projet'!$B$10,Paramètres!$A$1:$I$89,3,0)*VLOOKUP('Données projet'!$B$10,Paramètres!$A$1:$I$89,5,0)</f>
        <v>32.834954880000005</v>
      </c>
      <c r="AK19" s="13">
        <f t="shared" si="35"/>
        <v>10.078291811748294</v>
      </c>
      <c r="AL19" s="20">
        <f t="shared" si="4"/>
        <v>74.740571321461616</v>
      </c>
      <c r="AM19" s="59">
        <f t="shared" si="5"/>
        <v>368.07390465479494</v>
      </c>
      <c r="AN19" s="59">
        <f ca="1">AVERAGE(OFFSET($AM$3,0,0,'Données projet'!$E$10+1,1))-AVERAGE(OFFSET($H$3,0,0,'Données projet'!$E$10+1,1))</f>
        <v>245.5026179711341</v>
      </c>
      <c r="AO19" s="59">
        <f t="shared" si="36"/>
        <v>204.32077840562567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2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1">
        <f t="shared" si="32"/>
        <v>3.576596094420871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66">
        <f t="shared" si="1"/>
        <v>317.26835486444969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>
        <f>VLOOKUP(A20,'Données projet'!$A$35:$I$55,2,0)</f>
        <v>176</v>
      </c>
      <c r="L20" s="12">
        <f>VLOOKUP(A20,'Données projet'!$A$35:$I$55,9,0)</f>
        <v>23</v>
      </c>
      <c r="M20" s="12">
        <f t="array" ref="M20">INDEX(L:L,MIN(IF(ISNUMBER(L20:L216),ROW(L20:L216),"")))</f>
        <v>23</v>
      </c>
      <c r="N20" s="13">
        <f>IF('Données projet'!$A$36&gt;35,N19+M20-V19,IF(A20&lt;'Données projet'!$A$36,$K$205^A20,IF(A20='Données projet'!$A$36,'Données projet'!$B$36,N19+M20-V19)))</f>
        <v>176</v>
      </c>
      <c r="O20" s="13">
        <f>N20*VLOOKUP('Données projet'!$B$9,Paramètres!$A$1:$I$89,3,0)*VLOOKUP('Données projet'!$B$9,Paramètres!$A$1:$I$89,5,0)</f>
        <v>105.24800000000002</v>
      </c>
      <c r="P20" s="13">
        <f t="shared" si="33"/>
        <v>28.208515027560551</v>
      </c>
      <c r="Q20" s="20">
        <f t="shared" si="2"/>
        <v>232.43676367300131</v>
      </c>
      <c r="R20" s="59">
        <f t="shared" si="0"/>
        <v>525.77009700633459</v>
      </c>
      <c r="S20" s="59">
        <f ca="1">AVERAGE(OFFSET($R$3,0,0,'Données projet'!$E$9+1,1))-AVERAGE(OFFSET($H$3,0,0,'Données projet'!$E$9+1,1))</f>
        <v>148.39628895278571</v>
      </c>
      <c r="T20" s="59">
        <f t="shared" si="34"/>
        <v>361.07991692964788</v>
      </c>
      <c r="U20" s="15">
        <f>IF(ISNA(VLOOKUP(A20,'Données projet'!$A$35:$I$55,3,0)),0,VLOOKUP(A20,'Données projet'!$A$35:$I$55,3,0))</f>
        <v>2</v>
      </c>
      <c r="V20" s="15">
        <f>IF(ISNA(VLOOKUP(A20,'Données projet'!$A$35:$I$55,4,0)),0,VLOOKUP(A20,'Données projet'!$A$35:$I$55,4,0))</f>
        <v>43</v>
      </c>
      <c r="W20" s="16">
        <f>IF(ISNA(VLOOKUP(A20,'Données projet'!$A$35:$I$55,5,0)),0%,VLOOKUP(A20,'Données projet'!$A$35:$I$55,5,0)*VLOOKUP('Données projet'!$B$9,Paramètres!$A$1:$I$89,7,0))</f>
        <v>0.1125</v>
      </c>
      <c r="X20" s="16">
        <f>IF(ISNA(VLOOKUP(A20,'Données projet'!$A$35:$I$55,6,0)),0%,VLOOKUP(A20,'Données projet'!$A$35:$I$55,6,0)*VLOOKUP('Données projet'!$B$9,Paramètres!$A$1:$I$89,7,0))</f>
        <v>0.33750000000000002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3.837518820806888</v>
      </c>
      <c r="AA20" s="21">
        <f>EXP(-LN(2)/25)*AA19+(1-EXP(-LN(2)/25))/(LN(2)/25)*Calculateur!V20*Calculateur!X20*VLOOKUP('Données projet'!$B$9,Paramètres!$A$1:$I$89,3,0)*0.475*44/12</f>
        <v>11.467227141000196</v>
      </c>
      <c r="AB20" s="21">
        <f>EXP(-LN(2)/2)*AB19+(1-EXP(-LN(2)/2))/(LN(2)/2)*V20*Y20*VLOOKUP('Données projet'!$B$9,Paramètres!$A$1:$I$89,3,0)*0.475*44/12</f>
        <v>4.0694962355400728</v>
      </c>
      <c r="AC20" s="22">
        <f t="shared" si="3"/>
        <v>19.374242197347158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4.4226899999999985</v>
      </c>
      <c r="AI20" s="13">
        <f>IF('Données projet'!$A$62&gt;35,AI19+AH20-AQ19,IF(A20&lt;'Données projet'!$A$62,$AF$205^A20,IF(A20='Données projet'!$A$62,'Données projet'!$B$62,AI19+AH20-AQ19)))</f>
        <v>34.491330000000005</v>
      </c>
      <c r="AJ20" s="13">
        <f>AI20*VLOOKUP('Données projet'!$B$10,Paramètres!$A$1:$I$89,3,0)*VLOOKUP('Données projet'!$B$10,Paramètres!$A$1:$I$89,5,0)</f>
        <v>37.664532360000003</v>
      </c>
      <c r="AK20" s="13">
        <f t="shared" si="35"/>
        <v>11.377480300845892</v>
      </c>
      <c r="AL20" s="20">
        <f t="shared" si="4"/>
        <v>85.414838717639938</v>
      </c>
      <c r="AM20" s="59">
        <f t="shared" si="5"/>
        <v>378.74817205097327</v>
      </c>
      <c r="AN20" s="59">
        <f ca="1">AVERAGE(OFFSET($AM$3,0,0,'Données projet'!$E$10+1,1))-AVERAGE(OFFSET($H$3,0,0,'Données projet'!$E$10+1,1))</f>
        <v>245.5026179711341</v>
      </c>
      <c r="AO20" s="59">
        <f t="shared" si="36"/>
        <v>204.32077840562567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2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1">
        <f t="shared" si="32"/>
        <v>3.76187201923933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66">
        <f t="shared" si="1"/>
        <v>318.6325604335085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>
        <f>VLOOKUP(A21,'Données projet'!$A$35:$I$55,2,0)</f>
        <v>151</v>
      </c>
      <c r="L21" s="12">
        <f>VLOOKUP(A21,'Données projet'!$A$35:$I$55,9,0)</f>
        <v>18</v>
      </c>
      <c r="M21" s="12">
        <f t="array" ref="M21">INDEX(L:L,MIN(IF(ISNUMBER(L21:L217),ROW(L21:L217),"")))</f>
        <v>18</v>
      </c>
      <c r="N21" s="13">
        <f>IF('Données projet'!$A$36&gt;35,N20+M21-V20,IF(A21&lt;'Données projet'!$A$36,$K$205^A21,IF(A21='Données projet'!$A$36,'Données projet'!$B$36,N20+M21-V20)))</f>
        <v>151</v>
      </c>
      <c r="O21" s="13">
        <f>N21*VLOOKUP('Données projet'!$B$9,Paramètres!$A$1:$I$89,3,0)*VLOOKUP('Données projet'!$B$9,Paramètres!$A$1:$I$89,5,0)</f>
        <v>90.298000000000016</v>
      </c>
      <c r="P21" s="13">
        <f t="shared" si="33"/>
        <v>24.637081585210524</v>
      </c>
      <c r="Q21" s="20">
        <f t="shared" si="2"/>
        <v>200.17860042757502</v>
      </c>
      <c r="R21" s="59">
        <f t="shared" si="0"/>
        <v>493.51193376090833</v>
      </c>
      <c r="S21" s="59">
        <f ca="1">AVERAGE(OFFSET($R$3,0,0,'Données projet'!$E$9+1,1))-AVERAGE(OFFSET($H$3,0,0,'Données projet'!$E$9+1,1))</f>
        <v>148.39628895278571</v>
      </c>
      <c r="T21" s="59">
        <f t="shared" si="34"/>
        <v>361.07991692964788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3.7622674173862252</v>
      </c>
      <c r="AA21" s="21">
        <f>EXP(-LN(2)/25)*AA20+(1-EXP(-LN(2)/25))/(LN(2)/25)*Calculateur!V21*Calculateur!X21*VLOOKUP('Données projet'!$B$9,Paramètres!$A$1:$I$89,3,0)*0.475*44/12</f>
        <v>11.153655211794279</v>
      </c>
      <c r="AB21" s="21">
        <f>EXP(-LN(2)/2)*AB20+(1-EXP(-LN(2)/2))/(LN(2)/2)*V21*Y21*VLOOKUP('Données projet'!$B$9,Paramètres!$A$1:$I$89,3,0)*0.475*44/12</f>
        <v>2.8775683841635131</v>
      </c>
      <c r="AC21" s="22">
        <f t="shared" si="3"/>
        <v>17.793491013344017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4.4226899999999985</v>
      </c>
      <c r="AI21" s="13">
        <f>IF('Données projet'!$A$62&gt;35,AI20+AH21-AQ20,IF(A21&lt;'Données projet'!$A$62,$AF$205^A21,IF(A21='Données projet'!$A$62,'Données projet'!$B$62,AI20+AH21-AQ20)))</f>
        <v>38.914020000000001</v>
      </c>
      <c r="AJ21" s="13">
        <f>AI21*VLOOKUP('Données projet'!$B$10,Paramètres!$A$1:$I$89,3,0)*VLOOKUP('Données projet'!$B$10,Paramètres!$A$1:$I$89,5,0)</f>
        <v>42.49410984</v>
      </c>
      <c r="AK21" s="13">
        <f t="shared" si="35"/>
        <v>12.657365935662011</v>
      </c>
      <c r="AL21" s="20">
        <f t="shared" si="4"/>
        <v>96.055486975944646</v>
      </c>
      <c r="AM21" s="59">
        <f t="shared" si="5"/>
        <v>389.38882030927795</v>
      </c>
      <c r="AN21" s="59">
        <f ca="1">AVERAGE(OFFSET($AM$3,0,0,'Données projet'!$E$10+1,1))-AVERAGE(OFFSET($H$3,0,0,'Données projet'!$E$10+1,1))</f>
        <v>245.5026179711341</v>
      </c>
      <c r="AO21" s="59">
        <f t="shared" si="36"/>
        <v>204.32077840562567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2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1">
        <f t="shared" si="32"/>
        <v>3.9459530431682608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66">
        <f t="shared" si="1"/>
        <v>319.99468488351806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>
        <f>VLOOKUP(A22,'Données projet'!$A$35:$I$55,2,0)</f>
        <v>171</v>
      </c>
      <c r="L22" s="12">
        <f>VLOOKUP(A22,'Données projet'!$A$35:$I$55,9,0)</f>
        <v>20</v>
      </c>
      <c r="M22" s="12">
        <f t="array" ref="M22">INDEX(L:L,MIN(IF(ISNUMBER(L22:L218),ROW(L22:L218),"")))</f>
        <v>20</v>
      </c>
      <c r="N22" s="13">
        <f>IF('Données projet'!$A$36&gt;35,N21+M22-V21,IF(A22&lt;'Données projet'!$A$36,$K$205^A22,IF(A22='Données projet'!$A$36,'Données projet'!$B$36,N21+M22-V21)))</f>
        <v>171</v>
      </c>
      <c r="O22" s="13">
        <f>N22*VLOOKUP('Données projet'!$B$9,Paramètres!$A$1:$I$89,3,0)*VLOOKUP('Données projet'!$B$9,Paramètres!$A$1:$I$89,5,0)</f>
        <v>102.258</v>
      </c>
      <c r="P22" s="13">
        <f t="shared" si="33"/>
        <v>27.499233847895859</v>
      </c>
      <c r="Q22" s="20">
        <f t="shared" si="2"/>
        <v>225.99384895175194</v>
      </c>
      <c r="R22" s="59">
        <f t="shared" si="0"/>
        <v>519.3271822850852</v>
      </c>
      <c r="S22" s="59">
        <f ca="1">AVERAGE(OFFSET($R$3,0,0,'Données projet'!$E$9+1,1))-AVERAGE(OFFSET($H$3,0,0,'Données projet'!$E$9+1,1))</f>
        <v>148.39628895278571</v>
      </c>
      <c r="T22" s="59">
        <f t="shared" si="34"/>
        <v>361.07991692964788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3.6884916480878176</v>
      </c>
      <c r="AA22" s="21">
        <f>EXP(-LN(2)/25)*AA21+(1-EXP(-LN(2)/25))/(LN(2)/25)*Calculateur!V22*Calculateur!X22*VLOOKUP('Données projet'!$B$9,Paramètres!$A$1:$I$89,3,0)*0.475*44/12</f>
        <v>10.848657923482529</v>
      </c>
      <c r="AB22" s="21">
        <f>EXP(-LN(2)/2)*AB21+(1-EXP(-LN(2)/2))/(LN(2)/2)*V22*Y22*VLOOKUP('Données projet'!$B$9,Paramètres!$A$1:$I$89,3,0)*0.475*44/12</f>
        <v>2.0347481177700364</v>
      </c>
      <c r="AC22" s="22">
        <f t="shared" si="3"/>
        <v>16.571897689340382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4.4226899999999985</v>
      </c>
      <c r="AI22" s="13">
        <f>IF('Données projet'!$A$62&gt;35,AI21+AH22-AQ21,IF(A22&lt;'Données projet'!$A$62,$AF$205^A22,IF(A22='Données projet'!$A$62,'Données projet'!$B$62,AI21+AH22-AQ21)))</f>
        <v>43.336709999999997</v>
      </c>
      <c r="AJ22" s="13">
        <f>AI22*VLOOKUP('Données projet'!$B$10,Paramètres!$A$1:$I$89,3,0)*VLOOKUP('Données projet'!$B$10,Paramètres!$A$1:$I$89,5,0)</f>
        <v>47.323687319999998</v>
      </c>
      <c r="AK22" s="13">
        <f t="shared" si="35"/>
        <v>13.92039294765514</v>
      </c>
      <c r="AL22" s="20">
        <f t="shared" si="4"/>
        <v>106.66677313283269</v>
      </c>
      <c r="AM22" s="59">
        <f t="shared" si="5"/>
        <v>400.00010646616602</v>
      </c>
      <c r="AN22" s="59">
        <f ca="1">AVERAGE(OFFSET($AM$3,0,0,'Données projet'!$E$10+1,1))-AVERAGE(OFFSET($H$3,0,0,'Données projet'!$E$10+1,1))</f>
        <v>245.5026179711341</v>
      </c>
      <c r="AO22" s="59">
        <f t="shared" si="36"/>
        <v>204.32077840562567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2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1">
        <f t="shared" si="32"/>
        <v>4.1289092277839252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66">
        <f t="shared" si="1"/>
        <v>321.35485023839033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192</v>
      </c>
      <c r="L23" s="12">
        <f>VLOOKUP(A23,'Données projet'!$A$35:$I$55,9,0)</f>
        <v>21</v>
      </c>
      <c r="M23" s="12">
        <f t="array" ref="M23">INDEX(L:L,MIN(IF(ISNUMBER(L23:L219),ROW(L23:L219),"")))</f>
        <v>21</v>
      </c>
      <c r="N23" s="13">
        <f>IF('Données projet'!$A$36&gt;35,N22+M23-V22,IF(A23&lt;'Données projet'!$A$36,$K$205^A23,IF(A23='Données projet'!$A$36,'Données projet'!$B$36,N22+M23-V22)))</f>
        <v>192</v>
      </c>
      <c r="O23" s="13">
        <f>N23*VLOOKUP('Données projet'!$B$9,Paramètres!$A$1:$I$89,3,0)*VLOOKUP('Données projet'!$B$9,Paramètres!$A$1:$I$89,5,0)</f>
        <v>114.81600000000002</v>
      </c>
      <c r="P23" s="13">
        <f t="shared" si="33"/>
        <v>30.462826482209831</v>
      </c>
      <c r="Q23" s="20">
        <f t="shared" si="2"/>
        <v>253.02728945651543</v>
      </c>
      <c r="R23" s="59">
        <f t="shared" si="0"/>
        <v>546.36062278984878</v>
      </c>
      <c r="S23" s="59">
        <f ca="1">AVERAGE(OFFSET($R$3,0,0,'Données projet'!$E$9+1,1))-AVERAGE(OFFSET($H$3,0,0,'Données projet'!$E$9+1,1))</f>
        <v>148.39628895278571</v>
      </c>
      <c r="T23" s="59">
        <f t="shared" si="34"/>
        <v>361.07991692964788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3.6161625766265759</v>
      </c>
      <c r="AA23" s="21">
        <f>EXP(-LN(2)/25)*AA22+(1-EXP(-LN(2)/25))/(LN(2)/25)*Calculateur!V23*Calculateur!X23*VLOOKUP('Données projet'!$B$9,Paramètres!$A$1:$I$89,3,0)*0.475*44/12</f>
        <v>10.552000802058775</v>
      </c>
      <c r="AB23" s="21">
        <f>EXP(-LN(2)/2)*AB22+(1-EXP(-LN(2)/2))/(LN(2)/2)*V23*Y23*VLOOKUP('Données projet'!$B$9,Paramètres!$A$1:$I$89,3,0)*0.475*44/12</f>
        <v>1.4387841920817566</v>
      </c>
      <c r="AC23" s="22">
        <f t="shared" si="3"/>
        <v>15.606947570767106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47.759399999999999</v>
      </c>
      <c r="AG23" s="12">
        <f>VLOOKUP(A23,'Données projet'!$A$61:$I$81,9,0)</f>
        <v>4.4226899999999985</v>
      </c>
      <c r="AH23" s="12">
        <f t="array" ref="AH23">INDEX(AG:AG,MIN(IF(ISNUMBER(AG23:AG219),ROW(AG23:AG219),"")))</f>
        <v>4.4226899999999985</v>
      </c>
      <c r="AI23" s="13">
        <f>IF('Données projet'!$A$62&gt;35,AI22+AH23-AQ22,IF(A23&lt;'Données projet'!$A$62,$AF$205^A23,IF(A23='Données projet'!$A$62,'Données projet'!$B$62,AI22+AH23-AQ22)))</f>
        <v>47.759399999999992</v>
      </c>
      <c r="AJ23" s="13">
        <f>AI23*VLOOKUP('Données projet'!$B$10,Paramètres!$A$1:$I$89,3,0)*VLOOKUP('Données projet'!$B$10,Paramètres!$A$1:$I$89,5,0)</f>
        <v>52.153264799999988</v>
      </c>
      <c r="AK23" s="13">
        <f t="shared" si="35"/>
        <v>15.168477744924433</v>
      </c>
      <c r="AL23" s="20">
        <f t="shared" si="4"/>
        <v>117.25203493241003</v>
      </c>
      <c r="AM23" s="59">
        <f t="shared" si="5"/>
        <v>410.58536826574334</v>
      </c>
      <c r="AN23" s="59">
        <f ca="1">AVERAGE(OFFSET($AM$3,0,0,'Données projet'!$E$10+1,1))-AVERAGE(OFFSET($H$3,0,0,'Données projet'!$E$10+1,1))</f>
        <v>245.5026179711341</v>
      </c>
      <c r="AO23" s="59">
        <f t="shared" si="36"/>
        <v>204.32077840562567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2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1">
        <f t="shared" si="32"/>
        <v>4.3108032327306534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66">
        <f t="shared" si="1"/>
        <v>322.71316563033923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>
        <f>VLOOKUP(A24,'Données projet'!$A$35:$I$55,2,0)</f>
        <v>212</v>
      </c>
      <c r="L24" s="12">
        <f>VLOOKUP(A24,'Données projet'!$A$35:$I$55,9,0)</f>
        <v>20</v>
      </c>
      <c r="M24" s="12">
        <f t="array" ref="M24">INDEX(L:L,MIN(IF(ISNUMBER(L24:L220),ROW(L24:L220),"")))</f>
        <v>20</v>
      </c>
      <c r="N24" s="13">
        <f>IF('Données projet'!$A$36&gt;35,N23+M24-V23,IF(A24&lt;'Données projet'!$A$36,$K$205^A24,IF(A24='Données projet'!$A$36,'Données projet'!$B$36,N23+M24-V23)))</f>
        <v>212</v>
      </c>
      <c r="O24" s="13">
        <f>N24*VLOOKUP('Données projet'!$B$9,Paramètres!$A$1:$I$89,3,0)*VLOOKUP('Données projet'!$B$9,Paramètres!$A$1:$I$89,5,0)</f>
        <v>126.77600000000002</v>
      </c>
      <c r="P24" s="13">
        <f t="shared" si="33"/>
        <v>33.250302273150254</v>
      </c>
      <c r="Q24" s="20">
        <f t="shared" si="2"/>
        <v>278.7124764590701</v>
      </c>
      <c r="R24" s="59">
        <f t="shared" si="0"/>
        <v>572.04580979240336</v>
      </c>
      <c r="S24" s="59">
        <f ca="1">AVERAGE(OFFSET($R$3,0,0,'Données projet'!$E$9+1,1))-AVERAGE(OFFSET($H$3,0,0,'Données projet'!$E$9+1,1))</f>
        <v>148.39628895278571</v>
      </c>
      <c r="T24" s="59">
        <f t="shared" si="34"/>
        <v>361.07991692964788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3.5452518341403114</v>
      </c>
      <c r="AA24" s="21">
        <f>EXP(-LN(2)/25)*AA23+(1-EXP(-LN(2)/25))/(LN(2)/25)*Calculateur!V24*Calculateur!X24*VLOOKUP('Données projet'!$B$9,Paramètres!$A$1:$I$89,3,0)*0.475*44/12</f>
        <v>10.263455785220872</v>
      </c>
      <c r="AB24" s="21">
        <f>EXP(-LN(2)/2)*AB23+(1-EXP(-LN(2)/2))/(LN(2)/2)*V24*Y24*VLOOKUP('Données projet'!$B$9,Paramètres!$A$1:$I$89,3,0)*0.475*44/12</f>
        <v>1.0173740588850182</v>
      </c>
      <c r="AC24" s="22">
        <f t="shared" si="3"/>
        <v>14.826081678246201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4.7547449999999971</v>
      </c>
      <c r="AI24" s="13">
        <f>IF('Données projet'!$A$62&gt;35,AI23+AH24-AQ23,IF(A24&lt;'Données projet'!$A$62,$AF$205^A24,IF(A24='Données projet'!$A$62,'Données projet'!$B$62,AI23+AH24-AQ23)))</f>
        <v>52.514144999999992</v>
      </c>
      <c r="AJ24" s="13">
        <f>AI24*VLOOKUP('Données projet'!$B$10,Paramètres!$A$1:$I$89,3,0)*VLOOKUP('Données projet'!$B$10,Paramètres!$A$1:$I$89,5,0)</f>
        <v>57.345446339999988</v>
      </c>
      <c r="AK24" s="13">
        <f t="shared" si="35"/>
        <v>16.495357255855652</v>
      </c>
      <c r="AL24" s="20">
        <f t="shared" si="4"/>
        <v>128.60606626278192</v>
      </c>
      <c r="AM24" s="59">
        <f t="shared" si="5"/>
        <v>421.93939959611521</v>
      </c>
      <c r="AN24" s="59">
        <f ca="1">AVERAGE(OFFSET($AM$3,0,0,'Données projet'!$E$10+1,1))-AVERAGE(OFFSET($H$3,0,0,'Données projet'!$E$10+1,1))</f>
        <v>245.5026179711341</v>
      </c>
      <c r="AO24" s="59">
        <f t="shared" si="36"/>
        <v>204.32077840562567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2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1">
        <f t="shared" si="32"/>
        <v>4.4916914128654328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66">
        <f t="shared" si="1"/>
        <v>324.0697292107406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>
        <f>VLOOKUP(A25,'Données projet'!$A$35:$I$55,2,0)</f>
        <v>232</v>
      </c>
      <c r="L25" s="12">
        <f>VLOOKUP(A25,'Données projet'!$A$35:$I$55,9,0)</f>
        <v>20</v>
      </c>
      <c r="M25" s="12">
        <f t="array" ref="M25">INDEX(L:L,MIN(IF(ISNUMBER(L25:L221),ROW(L25:L221),"")))</f>
        <v>20</v>
      </c>
      <c r="N25" s="13">
        <f>IF('Données projet'!$A$36&gt;35,N24+M25-V24,IF(A25&lt;'Données projet'!$A$36,$K$205^A25,IF(A25='Données projet'!$A$36,'Données projet'!$B$36,N24+M25-V24)))</f>
        <v>232</v>
      </c>
      <c r="O25" s="13">
        <f>N25*VLOOKUP('Données projet'!$B$9,Paramètres!$A$1:$I$89,3,0)*VLOOKUP('Données projet'!$B$9,Paramètres!$A$1:$I$89,5,0)</f>
        <v>138.73599999999999</v>
      </c>
      <c r="P25" s="13">
        <f t="shared" si="33"/>
        <v>36.007288175538044</v>
      </c>
      <c r="Q25" s="20">
        <f t="shared" si="2"/>
        <v>304.34456023906205</v>
      </c>
      <c r="R25" s="59">
        <f t="shared" si="0"/>
        <v>597.67789357239531</v>
      </c>
      <c r="S25" s="59">
        <f ca="1">AVERAGE(OFFSET($R$3,0,0,'Données projet'!$E$9+1,1))-AVERAGE(OFFSET($H$3,0,0,'Données projet'!$E$9+1,1))</f>
        <v>148.39628895278571</v>
      </c>
      <c r="T25" s="59">
        <f t="shared" si="34"/>
        <v>361.07991692964788</v>
      </c>
      <c r="U25" s="15">
        <f>IF(ISNA(VLOOKUP(A25,'Données projet'!$A$35:$I$55,3,0)),0,VLOOKUP(A25,'Données projet'!$A$35:$I$55,3,0))</f>
        <v>3</v>
      </c>
      <c r="V25" s="15">
        <f>IF(ISNA(VLOOKUP(A25,'Données projet'!$A$35:$I$55,4,0)),0,VLOOKUP(A25,'Données projet'!$A$35:$I$55,4,0))</f>
        <v>56</v>
      </c>
      <c r="W25" s="16">
        <f>IF(ISNA(VLOOKUP(A25,'Données projet'!$A$35:$I$55,5,0)),0%,VLOOKUP(A25,'Données projet'!$A$35:$I$55,5,0)*VLOOKUP('Données projet'!$B$9,Paramètres!$A$1:$I$89,7,0))</f>
        <v>0.27</v>
      </c>
      <c r="X25" s="16">
        <f>IF(ISNA(VLOOKUP(A25,'Données projet'!$A$35:$I$55,6,0)),0%,VLOOKUP(A25,'Données projet'!$A$35:$I$55,6,0)*VLOOKUP('Données projet'!$B$9,Paramètres!$A$1:$I$89,7,0))</f>
        <v>0.18000000000000002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15.47020903867794</v>
      </c>
      <c r="AA25" s="21">
        <f>EXP(-LN(2)/25)*AA24+(1-EXP(-LN(2)/25))/(LN(2)/25)*Calculateur!V25*Calculateur!X25*VLOOKUP('Données projet'!$B$9,Paramètres!$A$1:$I$89,3,0)*0.475*44/12</f>
        <v>17.947634782186647</v>
      </c>
      <c r="AB25" s="21">
        <f>EXP(-LN(2)/2)*AB24+(1-EXP(-LN(2)/2))/(LN(2)/2)*V25*Y25*VLOOKUP('Données projet'!$B$9,Paramètres!$A$1:$I$89,3,0)*0.475*44/12</f>
        <v>0.71939209604087828</v>
      </c>
      <c r="AC25" s="22">
        <f t="shared" si="3"/>
        <v>34.137235916905468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4.7547449999999971</v>
      </c>
      <c r="AI25" s="13">
        <f>IF('Données projet'!$A$62&gt;35,AI24+AH25-AQ24,IF(A25&lt;'Données projet'!$A$62,$AF$205^A25,IF(A25='Données projet'!$A$62,'Données projet'!$B$62,AI24+AH25-AQ24)))</f>
        <v>57.268889999999992</v>
      </c>
      <c r="AJ25" s="13">
        <f>AI25*VLOOKUP('Données projet'!$B$10,Paramètres!$A$1:$I$89,3,0)*VLOOKUP('Données projet'!$B$10,Paramètres!$A$1:$I$89,5,0)</f>
        <v>62.537627879999988</v>
      </c>
      <c r="AK25" s="13">
        <f t="shared" si="35"/>
        <v>17.808305994826863</v>
      </c>
      <c r="AL25" s="20">
        <f t="shared" si="4"/>
        <v>139.93583483199009</v>
      </c>
      <c r="AM25" s="59">
        <f t="shared" si="5"/>
        <v>433.26916816532344</v>
      </c>
      <c r="AN25" s="59">
        <f ca="1">AVERAGE(OFFSET($AM$3,0,0,'Données projet'!$E$10+1,1))-AVERAGE(OFFSET($H$3,0,0,'Données projet'!$E$10+1,1))</f>
        <v>245.5026179711341</v>
      </c>
      <c r="AO25" s="59">
        <f t="shared" si="36"/>
        <v>204.32077840562567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2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1">
        <f t="shared" si="32"/>
        <v>4.6716247102827966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66">
        <f t="shared" si="1"/>
        <v>325.42462970374254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>
        <f>VLOOKUP(A26,'Données projet'!$A$35:$I$55,2,0)</f>
        <v>192</v>
      </c>
      <c r="L26" s="12">
        <f>VLOOKUP(A26,'Données projet'!$A$35:$I$55,9,0)</f>
        <v>16</v>
      </c>
      <c r="M26" s="12">
        <f t="array" ref="M26">INDEX(L:L,MIN(IF(ISNUMBER(L26:L222),ROW(L26:L222),"")))</f>
        <v>16</v>
      </c>
      <c r="N26" s="13">
        <f>IF('Données projet'!$A$36&gt;35,N25+M26-V25,IF(A26&lt;'Données projet'!$A$36,$K$205^A26,IF(A26='Données projet'!$A$36,'Données projet'!$B$36,N25+M26-V25)))</f>
        <v>192</v>
      </c>
      <c r="O26" s="13">
        <f>N26*VLOOKUP('Données projet'!$B$9,Paramètres!$A$1:$I$89,3,0)*VLOOKUP('Données projet'!$B$9,Paramètres!$A$1:$I$89,5,0)</f>
        <v>114.81600000000002</v>
      </c>
      <c r="P26" s="13">
        <f t="shared" si="33"/>
        <v>30.462826482209831</v>
      </c>
      <c r="Q26" s="20">
        <f t="shared" si="2"/>
        <v>253.02728945651543</v>
      </c>
      <c r="R26" s="59">
        <f t="shared" si="0"/>
        <v>546.36062278984878</v>
      </c>
      <c r="S26" s="59">
        <f ca="1">AVERAGE(OFFSET($R$3,0,0,'Données projet'!$E$9+1,1))-AVERAGE(OFFSET($H$3,0,0,'Données projet'!$E$9+1,1))</f>
        <v>148.39628895278571</v>
      </c>
      <c r="T26" s="59">
        <f t="shared" si="34"/>
        <v>361.07991692964788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15.166847675325261</v>
      </c>
      <c r="AA26" s="21">
        <f>EXP(-LN(2)/25)*AA25+(1-EXP(-LN(2)/25))/(LN(2)/25)*Calculateur!V26*Calculateur!X26*VLOOKUP('Données projet'!$B$9,Paramètres!$A$1:$I$89,3,0)*0.475*44/12</f>
        <v>17.456855765242661</v>
      </c>
      <c r="AB26" s="21">
        <f>EXP(-LN(2)/2)*AB25+(1-EXP(-LN(2)/2))/(LN(2)/2)*V26*Y26*VLOOKUP('Données projet'!$B$9,Paramètres!$A$1:$I$89,3,0)*0.475*44/12</f>
        <v>0.5086870294425091</v>
      </c>
      <c r="AC26" s="22">
        <f t="shared" si="3"/>
        <v>33.132390470010435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4.7547449999999971</v>
      </c>
      <c r="AI26" s="13">
        <f>IF('Données projet'!$A$62&gt;35,AI25+AH26-AQ25,IF(A26&lt;'Données projet'!$A$62,$AF$205^A26,IF(A26='Données projet'!$A$62,'Données projet'!$B$62,AI25+AH26-AQ25)))</f>
        <v>62.023634999999992</v>
      </c>
      <c r="AJ26" s="13">
        <f>AI26*VLOOKUP('Données projet'!$B$10,Paramètres!$A$1:$I$89,3,0)*VLOOKUP('Données projet'!$B$10,Paramètres!$A$1:$I$89,5,0)</f>
        <v>67.729809419999995</v>
      </c>
      <c r="AK26" s="13">
        <f t="shared" si="35"/>
        <v>19.108612057864093</v>
      </c>
      <c r="AL26" s="20">
        <f t="shared" si="4"/>
        <v>151.24358407394661</v>
      </c>
      <c r="AM26" s="59">
        <f t="shared" si="5"/>
        <v>444.57691740727989</v>
      </c>
      <c r="AN26" s="59">
        <f ca="1">AVERAGE(OFFSET($AM$3,0,0,'Données projet'!$E$10+1,1))-AVERAGE(OFFSET($H$3,0,0,'Données projet'!$E$10+1,1))</f>
        <v>245.5026179711341</v>
      </c>
      <c r="AO26" s="59">
        <f t="shared" si="36"/>
        <v>204.32077840562567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2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1">
        <f t="shared" si="32"/>
        <v>4.8506493868275271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66">
        <f t="shared" si="1"/>
        <v>326.77794768205791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209</v>
      </c>
      <c r="L27" s="12">
        <f>VLOOKUP(A27,'Données projet'!$A$35:$I$55,9,0)</f>
        <v>17</v>
      </c>
      <c r="M27" s="12">
        <f t="array" ref="M27">INDEX(L:L,MIN(IF(ISNUMBER(L27:L223),ROW(L27:L223),"")))</f>
        <v>17</v>
      </c>
      <c r="N27" s="13">
        <f>IF('Données projet'!$A$36&gt;35,N26+M27-V26,IF(A27&lt;'Données projet'!$A$36,$K$205^A27,IF(A27='Données projet'!$A$36,'Données projet'!$B$36,N26+M27-V26)))</f>
        <v>209</v>
      </c>
      <c r="O27" s="13">
        <f>N27*VLOOKUP('Données projet'!$B$9,Paramètres!$A$1:$I$89,3,0)*VLOOKUP('Données projet'!$B$9,Paramètres!$A$1:$I$89,5,0)</f>
        <v>124.982</v>
      </c>
      <c r="P27" s="13">
        <f t="shared" si="33"/>
        <v>32.834203796212122</v>
      </c>
      <c r="Q27" s="20">
        <f t="shared" si="2"/>
        <v>274.86322161173604</v>
      </c>
      <c r="R27" s="59">
        <f t="shared" si="0"/>
        <v>568.19655494506935</v>
      </c>
      <c r="S27" s="59">
        <f ca="1">AVERAGE(OFFSET($R$3,0,0,'Données projet'!$E$9+1,1))-AVERAGE(OFFSET($H$3,0,0,'Données projet'!$E$9+1,1))</f>
        <v>148.39628895278571</v>
      </c>
      <c r="T27" s="59">
        <f t="shared" si="34"/>
        <v>361.07991692964788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14.869435043275768</v>
      </c>
      <c r="AA27" s="21">
        <f>EXP(-LN(2)/25)*AA26+(1-EXP(-LN(2)/25))/(LN(2)/25)*Calculateur!V27*Calculateur!X27*VLOOKUP('Données projet'!$B$9,Paramètres!$A$1:$I$89,3,0)*0.475*44/12</f>
        <v>16.979497126325953</v>
      </c>
      <c r="AB27" s="21">
        <f>EXP(-LN(2)/2)*AB26+(1-EXP(-LN(2)/2))/(LN(2)/2)*V27*Y27*VLOOKUP('Données projet'!$B$9,Paramètres!$A$1:$I$89,3,0)*0.475*44/12</f>
        <v>0.35969604802043914</v>
      </c>
      <c r="AC27" s="22">
        <f t="shared" si="3"/>
        <v>32.208628217622163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4.7547449999999971</v>
      </c>
      <c r="AI27" s="13">
        <f>IF('Données projet'!$A$62&gt;35,AI26+AH27-AQ26,IF(A27&lt;'Données projet'!$A$62,$AF$205^A27,IF(A27='Données projet'!$A$62,'Données projet'!$B$62,AI26+AH27-AQ26)))</f>
        <v>66.778379999999984</v>
      </c>
      <c r="AJ27" s="13">
        <f>AI27*VLOOKUP('Données projet'!$B$10,Paramètres!$A$1:$I$89,3,0)*VLOOKUP('Données projet'!$B$10,Paramètres!$A$1:$I$89,5,0)</f>
        <v>72.921990959999988</v>
      </c>
      <c r="AK27" s="13">
        <f t="shared" si="35"/>
        <v>20.397354832304682</v>
      </c>
      <c r="AL27" s="20">
        <f t="shared" si="4"/>
        <v>162.53119392159729</v>
      </c>
      <c r="AM27" s="59">
        <f t="shared" si="5"/>
        <v>455.86452725493064</v>
      </c>
      <c r="AN27" s="59">
        <f ca="1">AVERAGE(OFFSET($AM$3,0,0,'Données projet'!$E$10+1,1))-AVERAGE(OFFSET($H$3,0,0,'Données projet'!$E$10+1,1))</f>
        <v>245.5026179711341</v>
      </c>
      <c r="AO27" s="59">
        <f t="shared" si="36"/>
        <v>204.32077840562567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2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1">
        <f t="shared" si="32"/>
        <v>5.02880763108175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66">
        <f t="shared" si="1"/>
        <v>328.12975662413402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226</v>
      </c>
      <c r="L28" s="12">
        <f>VLOOKUP(A28,'Données projet'!$A$35:$I$55,9,0)</f>
        <v>17</v>
      </c>
      <c r="M28" s="12">
        <f t="array" ref="M28">INDEX(L:L,MIN(IF(ISNUMBER(L28:L224),ROW(L28:L224),"")))</f>
        <v>17</v>
      </c>
      <c r="N28" s="13">
        <f>IF('Données projet'!$A$36&gt;35,N27+M28-V27,IF(A28&lt;'Données projet'!$A$36,$K$205^A28,IF(A28='Données projet'!$A$36,'Données projet'!$B$36,N27+M28-V27)))</f>
        <v>226</v>
      </c>
      <c r="O28" s="13">
        <f>N28*VLOOKUP('Données projet'!$B$9,Paramètres!$A$1:$I$89,3,0)*VLOOKUP('Données projet'!$B$9,Paramètres!$A$1:$I$89,5,0)</f>
        <v>135.14800000000002</v>
      </c>
      <c r="P28" s="13">
        <f t="shared" si="33"/>
        <v>35.183208974998173</v>
      </c>
      <c r="Q28" s="20">
        <f t="shared" si="2"/>
        <v>296.66018896478852</v>
      </c>
      <c r="R28" s="59">
        <f t="shared" si="0"/>
        <v>589.99352229812189</v>
      </c>
      <c r="S28" s="59">
        <f ca="1">AVERAGE(OFFSET($R$3,0,0,'Données projet'!$E$9+1,1))-AVERAGE(OFFSET($H$3,0,0,'Données projet'!$E$9+1,1))</f>
        <v>148.39628895278571</v>
      </c>
      <c r="T28" s="59">
        <f t="shared" si="34"/>
        <v>361.07991692964788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14.577854491536971</v>
      </c>
      <c r="AA28" s="21">
        <f>EXP(-LN(2)/25)*AA27+(1-EXP(-LN(2)/25))/(LN(2)/25)*Calculateur!V28*Calculateur!X28*VLOOKUP('Données projet'!$B$9,Paramètres!$A$1:$I$89,3,0)*0.475*44/12</f>
        <v>16.515191884493621</v>
      </c>
      <c r="AB28" s="21">
        <f>EXP(-LN(2)/2)*AB27+(1-EXP(-LN(2)/2))/(LN(2)/2)*V28*Y28*VLOOKUP('Données projet'!$B$9,Paramètres!$A$1:$I$89,3,0)*0.475*44/12</f>
        <v>0.25434351472125455</v>
      </c>
      <c r="AC28" s="22">
        <f t="shared" si="3"/>
        <v>31.347389890751849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>
        <f>VLOOKUP(A28,'Données projet'!$A$61:$I$81,2,0)</f>
        <v>71.533124999999984</v>
      </c>
      <c r="AG28" s="12">
        <f>VLOOKUP(A28,'Données projet'!$A$61:$I$81,9,0)</f>
        <v>4.7547449999999971</v>
      </c>
      <c r="AH28" s="12">
        <f t="array" ref="AH28">INDEX(AG:AG,MIN(IF(ISNUMBER(AG28:AG224),ROW(AG28:AG224),"")))</f>
        <v>4.7547449999999971</v>
      </c>
      <c r="AI28" s="13">
        <f>IF('Données projet'!$A$62&gt;35,AI27+AH28-AQ27,IF(A28&lt;'Données projet'!$A$62,$AF$205^A28,IF(A28='Données projet'!$A$62,'Données projet'!$B$62,AI27+AH28-AQ27)))</f>
        <v>71.533124999999984</v>
      </c>
      <c r="AJ28" s="13">
        <f>AI28*VLOOKUP('Données projet'!$B$10,Paramètres!$A$1:$I$89,3,0)*VLOOKUP('Données projet'!$B$10,Paramètres!$A$1:$I$89,5,0)</f>
        <v>78.114172499999981</v>
      </c>
      <c r="AK28" s="13">
        <f t="shared" si="35"/>
        <v>21.675451287609501</v>
      </c>
      <c r="AL28" s="20">
        <f t="shared" si="4"/>
        <v>173.80026143008649</v>
      </c>
      <c r="AM28" s="59">
        <f t="shared" si="5"/>
        <v>467.13359476341981</v>
      </c>
      <c r="AN28" s="59">
        <f ca="1">AVERAGE(OFFSET($AM$3,0,0,'Données projet'!$E$10+1,1))-AVERAGE(OFFSET($H$3,0,0,'Données projet'!$E$10+1,1))</f>
        <v>245.5026179711341</v>
      </c>
      <c r="AO28" s="59">
        <f t="shared" si="36"/>
        <v>204.32077840562567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2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1">
        <f t="shared" si="32"/>
        <v>5.2061380655003466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66">
        <f t="shared" si="1"/>
        <v>329.48012379741311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>
        <f>VLOOKUP(A29,'Données projet'!$A$35:$I$55,2,0)</f>
        <v>244</v>
      </c>
      <c r="L29" s="12">
        <f>VLOOKUP(A29,'Données projet'!$A$35:$I$55,9,0)</f>
        <v>18</v>
      </c>
      <c r="M29" s="12">
        <f t="array" ref="M29">INDEX(L:L,MIN(IF(ISNUMBER(L29:L225),ROW(L29:L225),"")))</f>
        <v>18</v>
      </c>
      <c r="N29" s="13">
        <f>IF('Données projet'!$A$36&gt;35,N28+M29-V28,IF(A29&lt;'Données projet'!$A$36,$K$205^A29,IF(A29='Données projet'!$A$36,'Données projet'!$B$36,N28+M29-V28)))</f>
        <v>244</v>
      </c>
      <c r="O29" s="13">
        <f>N29*VLOOKUP('Données projet'!$B$9,Paramètres!$A$1:$I$89,3,0)*VLOOKUP('Données projet'!$B$9,Paramètres!$A$1:$I$89,5,0)</f>
        <v>145.91200000000001</v>
      </c>
      <c r="P29" s="13">
        <f t="shared" si="33"/>
        <v>37.648084239987625</v>
      </c>
      <c r="Q29" s="20">
        <f t="shared" si="2"/>
        <v>319.70048005131179</v>
      </c>
      <c r="R29" s="59">
        <f t="shared" si="0"/>
        <v>613.0338133846451</v>
      </c>
      <c r="S29" s="59">
        <f ca="1">AVERAGE(OFFSET($R$3,0,0,'Données projet'!$E$9+1,1))-AVERAGE(OFFSET($H$3,0,0,'Données projet'!$E$9+1,1))</f>
        <v>148.39628895278571</v>
      </c>
      <c r="T29" s="59">
        <f t="shared" si="34"/>
        <v>361.07991692964788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14.291991656571197</v>
      </c>
      <c r="AA29" s="21">
        <f>EXP(-LN(2)/25)*AA28+(1-EXP(-LN(2)/25))/(LN(2)/25)*Calculateur!V29*Calculateur!X29*VLOOKUP('Données projet'!$B$9,Paramètres!$A$1:$I$89,3,0)*0.475*44/12</f>
        <v>16.063583093915948</v>
      </c>
      <c r="AB29" s="21">
        <f>EXP(-LN(2)/2)*AB28+(1-EXP(-LN(2)/2))/(LN(2)/2)*V29*Y29*VLOOKUP('Données projet'!$B$9,Paramètres!$A$1:$I$89,3,0)*0.475*44/12</f>
        <v>0.17984802401021957</v>
      </c>
      <c r="AC29" s="22">
        <f t="shared" si="3"/>
        <v>30.535422774497363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6.1112250000000072</v>
      </c>
      <c r="AI29" s="13">
        <f>IF('Données projet'!$A$62&gt;35,AI28+AH29-AQ28,IF(A29&lt;'Données projet'!$A$62,$AF$205^A29,IF(A29='Données projet'!$A$62,'Données projet'!$B$62,AI28+AH29-AQ28)))</f>
        <v>77.644349999999989</v>
      </c>
      <c r="AJ29" s="13">
        <f>AI29*VLOOKUP('Données projet'!$B$10,Paramètres!$A$1:$I$89,3,0)*VLOOKUP('Données projet'!$B$10,Paramètres!$A$1:$I$89,5,0)</f>
        <v>84.787630199999995</v>
      </c>
      <c r="AK29" s="13">
        <f t="shared" si="35"/>
        <v>23.303795428490588</v>
      </c>
      <c r="AL29" s="20">
        <f t="shared" si="4"/>
        <v>188.25923296962108</v>
      </c>
      <c r="AM29" s="59">
        <f t="shared" si="5"/>
        <v>481.59256630295442</v>
      </c>
      <c r="AN29" s="59">
        <f ca="1">AVERAGE(OFFSET($AM$3,0,0,'Données projet'!$E$10+1,1))-AVERAGE(OFFSET($H$3,0,0,'Données projet'!$E$10+1,1))</f>
        <v>245.5026179711341</v>
      </c>
      <c r="AO29" s="59">
        <f t="shared" si="36"/>
        <v>204.32077840562567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2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1">
        <f t="shared" si="32"/>
        <v>5.3826761733310189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66">
        <f t="shared" si="1"/>
        <v>330.82911100188483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>
        <f>VLOOKUP(A30,'Données projet'!$A$35:$I$55,2,0)</f>
        <v>261</v>
      </c>
      <c r="L30" s="12">
        <f>VLOOKUP(A30,'Données projet'!$A$35:$I$55,9,0)</f>
        <v>17</v>
      </c>
      <c r="M30" s="12">
        <f t="array" ref="M30">INDEX(L:L,MIN(IF(ISNUMBER(L30:L226),ROW(L30:L226),"")))</f>
        <v>17</v>
      </c>
      <c r="N30" s="13">
        <f>IF('Données projet'!$A$36&gt;35,N29+M30-V29,IF(A30&lt;'Données projet'!$A$36,$K$205^A30,IF(A30='Données projet'!$A$36,'Données projet'!$B$36,N29+M30-V29)))</f>
        <v>261</v>
      </c>
      <c r="O30" s="13">
        <f>N30*VLOOKUP('Données projet'!$B$9,Paramètres!$A$1:$I$89,3,0)*VLOOKUP('Données projet'!$B$9,Paramètres!$A$1:$I$89,5,0)</f>
        <v>156.078</v>
      </c>
      <c r="P30" s="13">
        <f t="shared" si="33"/>
        <v>39.956623674978466</v>
      </c>
      <c r="Q30" s="20">
        <f t="shared" si="2"/>
        <v>341.42696956725416</v>
      </c>
      <c r="R30" s="59">
        <f t="shared" si="0"/>
        <v>634.76030290058748</v>
      </c>
      <c r="S30" s="59">
        <f ca="1">AVERAGE(OFFSET($R$3,0,0,'Données projet'!$E$9+1,1))-AVERAGE(OFFSET($H$3,0,0,'Données projet'!$E$9+1,1))</f>
        <v>148.39628895278571</v>
      </c>
      <c r="T30" s="59">
        <f t="shared" si="34"/>
        <v>361.07991692964788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14.011734417439989</v>
      </c>
      <c r="AA30" s="21">
        <f>EXP(-LN(2)/25)*AA29+(1-EXP(-LN(2)/25))/(LN(2)/25)*Calculateur!V30*Calculateur!X30*VLOOKUP('Données projet'!$B$9,Paramètres!$A$1:$I$89,3,0)*0.475*44/12</f>
        <v>15.624323569465696</v>
      </c>
      <c r="AB30" s="21">
        <f>EXP(-LN(2)/2)*AB29+(1-EXP(-LN(2)/2))/(LN(2)/2)*V30*Y30*VLOOKUP('Données projet'!$B$9,Paramètres!$A$1:$I$89,3,0)*0.475*44/12</f>
        <v>0.12717175736062727</v>
      </c>
      <c r="AC30" s="22">
        <f t="shared" si="3"/>
        <v>29.763229744266312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6.1112250000000072</v>
      </c>
      <c r="AI30" s="13">
        <f>IF('Données projet'!$A$62&gt;35,AI29+AH30-AQ29,IF(A30&lt;'Données projet'!$A$62,$AF$205^A30,IF(A30='Données projet'!$A$62,'Données projet'!$B$62,AI29+AH30-AQ29)))</f>
        <v>83.755574999999993</v>
      </c>
      <c r="AJ30" s="13">
        <f>AI30*VLOOKUP('Données projet'!$B$10,Paramètres!$A$1:$I$89,3,0)*VLOOKUP('Données projet'!$B$10,Paramètres!$A$1:$I$89,5,0)</f>
        <v>91.461087899999981</v>
      </c>
      <c r="AK30" s="13">
        <f t="shared" si="35"/>
        <v>24.917273265900466</v>
      </c>
      <c r="AL30" s="20">
        <f t="shared" si="4"/>
        <v>202.69231236394327</v>
      </c>
      <c r="AM30" s="59">
        <f t="shared" si="5"/>
        <v>496.02564569727656</v>
      </c>
      <c r="AN30" s="59">
        <f ca="1">AVERAGE(OFFSET($AM$3,0,0,'Données projet'!$E$10+1,1))-AVERAGE(OFFSET($H$3,0,0,'Données projet'!$E$10+1,1))</f>
        <v>245.5026179711341</v>
      </c>
      <c r="AO30" s="59">
        <f t="shared" si="36"/>
        <v>204.32077840562567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2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1">
        <f t="shared" si="32"/>
        <v>5.5584546605089464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66">
        <f t="shared" si="1"/>
        <v>332.17677520038643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>
        <f>VLOOKUP(A31,'Données projet'!$A$35:$I$55,2,0)</f>
        <v>277</v>
      </c>
      <c r="L31" s="12">
        <f>VLOOKUP(A31,'Données projet'!$A$35:$I$55,9,0)</f>
        <v>16</v>
      </c>
      <c r="M31" s="12">
        <f t="array" ref="M31">INDEX(L:L,MIN(IF(ISNUMBER(L31:L227),ROW(L31:L227),"")))</f>
        <v>16</v>
      </c>
      <c r="N31" s="13">
        <f>IF('Données projet'!$A$36&gt;35,N30+M31-V30,IF(A31&lt;'Données projet'!$A$36,$K$205^A31,IF(A31='Données projet'!$A$36,'Données projet'!$B$36,N30+M31-V30)))</f>
        <v>277</v>
      </c>
      <c r="O31" s="13">
        <f>N31*VLOOKUP('Données projet'!$B$9,Paramètres!$A$1:$I$89,3,0)*VLOOKUP('Données projet'!$B$9,Paramètres!$A$1:$I$89,5,0)</f>
        <v>165.64600000000002</v>
      </c>
      <c r="P31" s="13">
        <f t="shared" si="33"/>
        <v>42.113404814327666</v>
      </c>
      <c r="Q31" s="20">
        <f t="shared" si="2"/>
        <v>361.84763005162068</v>
      </c>
      <c r="R31" s="59">
        <f t="shared" si="0"/>
        <v>655.180963384954</v>
      </c>
      <c r="S31" s="59">
        <f ca="1">AVERAGE(OFFSET($R$3,0,0,'Données projet'!$E$9+1,1))-AVERAGE(OFFSET($H$3,0,0,'Données projet'!$E$9+1,1))</f>
        <v>148.39628895278571</v>
      </c>
      <c r="T31" s="59">
        <f t="shared" si="34"/>
        <v>361.07991692964788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13.736972851828106</v>
      </c>
      <c r="AA31" s="21">
        <f>EXP(-LN(2)/25)*AA30+(1-EXP(-LN(2)/25))/(LN(2)/25)*Calculateur!V31*Calculateur!X31*VLOOKUP('Données projet'!$B$9,Paramètres!$A$1:$I$89,3,0)*0.475*44/12</f>
        <v>15.197075619811191</v>
      </c>
      <c r="AB31" s="21">
        <f>EXP(-LN(2)/2)*AB30+(1-EXP(-LN(2)/2))/(LN(2)/2)*V31*Y31*VLOOKUP('Données projet'!$B$9,Paramètres!$A$1:$I$89,3,0)*0.475*44/12</f>
        <v>8.9924012005109785E-2</v>
      </c>
      <c r="AC31" s="22">
        <f t="shared" si="3"/>
        <v>29.023972483644407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6.1112250000000072</v>
      </c>
      <c r="AI31" s="13">
        <f>IF('Données projet'!$A$62&gt;35,AI30+AH31-AQ30,IF(A31&lt;'Données projet'!$A$62,$AF$205^A31,IF(A31='Données projet'!$A$62,'Données projet'!$B$62,AI30+AH31-AQ30)))</f>
        <v>89.866799999999998</v>
      </c>
      <c r="AJ31" s="13">
        <f>AI31*VLOOKUP('Données projet'!$B$10,Paramètres!$A$1:$I$89,3,0)*VLOOKUP('Données projet'!$B$10,Paramètres!$A$1:$I$89,5,0)</f>
        <v>98.134545599999996</v>
      </c>
      <c r="AK31" s="13">
        <f t="shared" si="35"/>
        <v>26.517092875548233</v>
      </c>
      <c r="AL31" s="20">
        <f t="shared" si="4"/>
        <v>217.10160367824651</v>
      </c>
      <c r="AM31" s="59">
        <f t="shared" si="5"/>
        <v>510.43493701157979</v>
      </c>
      <c r="AN31" s="59">
        <f ca="1">AVERAGE(OFFSET($AM$3,0,0,'Données projet'!$E$10+1,1))-AVERAGE(OFFSET($H$3,0,0,'Données projet'!$E$10+1,1))</f>
        <v>245.5026179711341</v>
      </c>
      <c r="AO31" s="59">
        <f t="shared" si="36"/>
        <v>204.32077840562567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2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1">
        <f t="shared" si="32"/>
        <v>5.7335037643993987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66">
        <f t="shared" si="1"/>
        <v>333.52316905632892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>
        <f>VLOOKUP(A32,'Données projet'!$A$35:$I$55,2,0)</f>
        <v>293</v>
      </c>
      <c r="L32" s="12">
        <f>VLOOKUP(A32,'Données projet'!$A$35:$I$55,9,0)</f>
        <v>16</v>
      </c>
      <c r="M32" s="12">
        <f t="array" ref="M32">INDEX(L:L,MIN(IF(ISNUMBER(L32:L228),ROW(L32:L228),"")))</f>
        <v>16</v>
      </c>
      <c r="N32" s="13">
        <f>IF('Données projet'!$A$36&gt;35,N31+M32-V31,IF(A32&lt;'Données projet'!$A$36,$K$205^A32,IF(A32='Données projet'!$A$36,'Données projet'!$B$36,N31+M32-V31)))</f>
        <v>293</v>
      </c>
      <c r="O32" s="13">
        <f>N32*VLOOKUP('Données projet'!$B$9,Paramètres!$A$1:$I$89,3,0)*VLOOKUP('Données projet'!$B$9,Paramètres!$A$1:$I$89,5,0)</f>
        <v>175.214</v>
      </c>
      <c r="P32" s="13">
        <f t="shared" si="33"/>
        <v>44.255725061661991</v>
      </c>
      <c r="Q32" s="20">
        <f t="shared" si="2"/>
        <v>382.24310448239459</v>
      </c>
      <c r="R32" s="59">
        <f t="shared" si="0"/>
        <v>675.5764378157279</v>
      </c>
      <c r="S32" s="59">
        <f ca="1">AVERAGE(OFFSET($R$3,0,0,'Données projet'!$E$9+1,1))-AVERAGE(OFFSET($H$3,0,0,'Données projet'!$E$9+1,1))</f>
        <v>148.39628895278571</v>
      </c>
      <c r="T32" s="59">
        <f t="shared" si="34"/>
        <v>361.07991692964788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13.467599192929866</v>
      </c>
      <c r="AA32" s="21">
        <f>EXP(-LN(2)/25)*AA31+(1-EXP(-LN(2)/25))/(LN(2)/25)*Calculateur!V32*Calculateur!X32*VLOOKUP('Données projet'!$B$9,Paramètres!$A$1:$I$89,3,0)*0.475*44/12</f>
        <v>14.78151078780798</v>
      </c>
      <c r="AB32" s="21">
        <f>EXP(-LN(2)/2)*AB31+(1-EXP(-LN(2)/2))/(LN(2)/2)*V32*Y32*VLOOKUP('Données projet'!$B$9,Paramètres!$A$1:$I$89,3,0)*0.475*44/12</f>
        <v>6.3585878680313637E-2</v>
      </c>
      <c r="AC32" s="22">
        <f t="shared" si="3"/>
        <v>28.312695859418159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6.1112250000000072</v>
      </c>
      <c r="AI32" s="13">
        <f>IF('Données projet'!$A$62&gt;35,AI31+AH32-AQ31,IF(A32&lt;'Données projet'!$A$62,$AF$205^A32,IF(A32='Données projet'!$A$62,'Données projet'!$B$62,AI31+AH32-AQ31)))</f>
        <v>95.978025000000002</v>
      </c>
      <c r="AJ32" s="13">
        <f>AI32*VLOOKUP('Données projet'!$B$10,Paramètres!$A$1:$I$89,3,0)*VLOOKUP('Données projet'!$B$10,Paramètres!$A$1:$I$89,5,0)</f>
        <v>104.80800330000001</v>
      </c>
      <c r="AK32" s="13">
        <f t="shared" si="35"/>
        <v>28.104288728048029</v>
      </c>
      <c r="AL32" s="20">
        <f t="shared" si="4"/>
        <v>231.48890861551695</v>
      </c>
      <c r="AM32" s="59">
        <f t="shared" si="5"/>
        <v>524.82224194885021</v>
      </c>
      <c r="AN32" s="59">
        <f ca="1">AVERAGE(OFFSET($AM$3,0,0,'Données projet'!$E$10+1,1))-AVERAGE(OFFSET($H$3,0,0,'Données projet'!$E$10+1,1))</f>
        <v>245.5026179711341</v>
      </c>
      <c r="AO32" s="59">
        <f t="shared" si="36"/>
        <v>204.32077840562567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2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1">
        <f t="shared" si="32"/>
        <v>5.907851518758747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66">
        <f t="shared" si="1"/>
        <v>334.86834139517146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309</v>
      </c>
      <c r="L33" s="12">
        <f>VLOOKUP(A33,'Données projet'!$A$35:$I$55,9,0)</f>
        <v>16</v>
      </c>
      <c r="M33" s="12">
        <f t="array" ref="M33">INDEX(L:L,MIN(IF(ISNUMBER(L33:L229),ROW(L33:L229),"")))</f>
        <v>16</v>
      </c>
      <c r="N33" s="13">
        <f>IF('Données projet'!$A$36&gt;35,N32+M33-V32,IF(A33&lt;'Données projet'!$A$36,$K$205^A33,IF(A33='Données projet'!$A$36,'Données projet'!$B$36,N32+M33-V32)))</f>
        <v>309</v>
      </c>
      <c r="O33" s="13">
        <f>N33*VLOOKUP('Données projet'!$B$9,Paramètres!$A$1:$I$89,3,0)*VLOOKUP('Données projet'!$B$9,Paramètres!$A$1:$I$89,5,0)</f>
        <v>184.78200000000004</v>
      </c>
      <c r="P33" s="13">
        <f t="shared" si="33"/>
        <v>46.384464109944147</v>
      </c>
      <c r="Q33" s="20">
        <f t="shared" si="2"/>
        <v>402.61492499148608</v>
      </c>
      <c r="R33" s="59">
        <f t="shared" si="0"/>
        <v>695.94825832481934</v>
      </c>
      <c r="S33" s="59">
        <f ca="1">AVERAGE(OFFSET($R$3,0,0,'Données projet'!$E$9+1,1))-AVERAGE(OFFSET($H$3,0,0,'Données projet'!$E$9+1,1))</f>
        <v>148.39628895278571</v>
      </c>
      <c r="T33" s="59">
        <f t="shared" si="34"/>
        <v>361.07991692964788</v>
      </c>
      <c r="U33" s="15">
        <f>IF(ISNA(VLOOKUP(A33,'Données projet'!$A$35:$I$55,3,0)),0,VLOOKUP(A33,'Données projet'!$A$35:$I$55,3,0))</f>
        <v>4</v>
      </c>
      <c r="V33" s="15">
        <f>IF(ISNA(VLOOKUP(A33,'Données projet'!$A$35:$I$55,4,0)),0,VLOOKUP(A33,'Données projet'!$A$35:$I$55,4,0))</f>
        <v>309</v>
      </c>
      <c r="W33" s="16">
        <f>IF(ISNA(VLOOKUP(A33,'Données projet'!$A$35:$I$55,5,0)),0%,VLOOKUP(A33,'Données projet'!$A$35:$I$55,5,0)*VLOOKUP('Données projet'!$B$9,Paramètres!$A$1:$I$89,7,0))</f>
        <v>0.45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123.50986272944402</v>
      </c>
      <c r="AA33" s="21">
        <f>EXP(-LN(2)/25)*AA32+(1-EXP(-LN(2)/25))/(LN(2)/25)*Calculateur!V33*Calculateur!X33*VLOOKUP('Données projet'!$B$9,Paramètres!$A$1:$I$89,3,0)*0.475*44/12</f>
        <v>14.377309597989502</v>
      </c>
      <c r="AB33" s="21">
        <f>EXP(-LN(2)/2)*AB32+(1-EXP(-LN(2)/2))/(LN(2)/2)*V33*Y33*VLOOKUP('Données projet'!$B$9,Paramètres!$A$1:$I$89,3,0)*0.475*44/12</f>
        <v>4.4962006002554893E-2</v>
      </c>
      <c r="AC33" s="22">
        <f t="shared" si="3"/>
        <v>137.93213433343607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102.08925000000002</v>
      </c>
      <c r="AG33" s="12">
        <f>VLOOKUP(A33,'Données projet'!$A$61:$I$81,9,0)</f>
        <v>6.1112250000000072</v>
      </c>
      <c r="AH33" s="12">
        <f t="array" ref="AH33">INDEX(AG:AG,MIN(IF(ISNUMBER(AG33:AG229),ROW(AG33:AG229),"")))</f>
        <v>6.1112250000000072</v>
      </c>
      <c r="AI33" s="13">
        <f>IF('Données projet'!$A$62&gt;35,AI32+AH33-AQ32,IF(A33&lt;'Données projet'!$A$62,$AF$205^A33,IF(A33='Données projet'!$A$62,'Données projet'!$B$62,AI32+AH33-AQ32)))</f>
        <v>102.08925000000001</v>
      </c>
      <c r="AJ33" s="13">
        <f>AI33*VLOOKUP('Données projet'!$B$10,Paramètres!$A$1:$I$89,3,0)*VLOOKUP('Données projet'!$B$10,Paramètres!$A$1:$I$89,5,0)</f>
        <v>111.481461</v>
      </c>
      <c r="AK33" s="13">
        <f t="shared" si="35"/>
        <v>29.679756110505551</v>
      </c>
      <c r="AL33" s="20">
        <f t="shared" si="4"/>
        <v>245.85578646746384</v>
      </c>
      <c r="AM33" s="59">
        <f t="shared" si="5"/>
        <v>539.18911980079713</v>
      </c>
      <c r="AN33" s="59">
        <f ca="1">AVERAGE(OFFSET($AM$3,0,0,'Données projet'!$E$10+1,1))-AVERAGE(OFFSET($H$3,0,0,'Données projet'!$E$10+1,1))</f>
        <v>245.5026179711341</v>
      </c>
      <c r="AO33" s="59">
        <f t="shared" si="36"/>
        <v>204.32077840562567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2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1">
        <f t="shared" si="32"/>
        <v>6.0815239823749314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66">
        <f t="shared" si="1"/>
        <v>336.21233760263635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0</v>
      </c>
      <c r="N34" s="13">
        <f>IF('Données projet'!$A$36&gt;35,N33+M34-V33,IF(A34&lt;'Données projet'!$A$36,$K$205^A34,IF(A34='Données projet'!$A$36,'Données projet'!$B$36,N33+M34-V33)))</f>
        <v>0</v>
      </c>
      <c r="O34" s="13">
        <f>N34*VLOOKUP('Données projet'!$B$9,Paramètres!$A$1:$I$89,3,0)*VLOOKUP('Données projet'!$B$9,Paramètres!$A$1:$I$89,5,0)</f>
        <v>0</v>
      </c>
      <c r="P34" s="13" t="e">
        <f t="shared" si="33"/>
        <v>#NUM!</v>
      </c>
      <c r="Q34" s="20" t="e">
        <f t="shared" si="2"/>
        <v>#NUM!</v>
      </c>
      <c r="R34" s="59" t="e">
        <f t="shared" si="0"/>
        <v>#NUM!</v>
      </c>
      <c r="S34" s="59">
        <f ca="1">AVERAGE(OFFSET($R$3,0,0,'Données projet'!$E$9+1,1))-AVERAGE(OFFSET($H$3,0,0,'Données projet'!$E$9+1,1))</f>
        <v>148.39628895278571</v>
      </c>
      <c r="T34" s="59">
        <f t="shared" si="34"/>
        <v>361.07991692964788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121.08790965489732</v>
      </c>
      <c r="AA34" s="21">
        <f>EXP(-LN(2)/25)*AA33+(1-EXP(-LN(2)/25))/(LN(2)/25)*Calculateur!V34*Calculateur!X34*VLOOKUP('Données projet'!$B$9,Paramètres!$A$1:$I$89,3,0)*0.475*44/12</f>
        <v>13.984161310962627</v>
      </c>
      <c r="AB34" s="21">
        <f>EXP(-LN(2)/2)*AB33+(1-EXP(-LN(2)/2))/(LN(2)/2)*V34*Y34*VLOOKUP('Données projet'!$B$9,Paramètres!$A$1:$I$89,3,0)*0.475*44/12</f>
        <v>3.1792939340156819E-2</v>
      </c>
      <c r="AC34" s="22">
        <f t="shared" si="3"/>
        <v>135.10386390520011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4.761809999999997</v>
      </c>
      <c r="AI34" s="13">
        <f>IF('Données projet'!$A$62&gt;35,AI33+AH34-AQ33,IF(A34&lt;'Données projet'!$A$62,$AF$205^A34,IF(A34='Données projet'!$A$62,'Données projet'!$B$62,AI33+AH34-AQ33)))</f>
        <v>106.85106</v>
      </c>
      <c r="AJ34" s="13">
        <f>AI34*VLOOKUP('Données projet'!$B$10,Paramètres!$A$1:$I$89,3,0)*VLOOKUP('Données projet'!$B$10,Paramètres!$A$1:$I$89,5,0)</f>
        <v>116.68135752000001</v>
      </c>
      <c r="AK34" s="13">
        <f t="shared" si="35"/>
        <v>30.89972160621473</v>
      </c>
      <c r="AL34" s="20">
        <f t="shared" si="4"/>
        <v>257.03704614482399</v>
      </c>
      <c r="AM34" s="59">
        <f t="shared" si="5"/>
        <v>550.37037947815725</v>
      </c>
      <c r="AN34" s="59">
        <f ca="1">AVERAGE(OFFSET($AM$3,0,0,'Données projet'!$E$10+1,1))-AVERAGE(OFFSET($H$3,0,0,'Données projet'!$E$10+1,1))</f>
        <v>245.5026179711341</v>
      </c>
      <c r="AO34" s="59">
        <f t="shared" si="36"/>
        <v>204.32077840562567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2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1">
        <f t="shared" si="32"/>
        <v>6.2545454373771854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66">
        <f t="shared" si="1"/>
        <v>337.55519997009856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0</v>
      </c>
      <c r="N35" s="13">
        <f>IF('Données projet'!$A$36&gt;35,N34+M35-V34,IF(A35&lt;'Données projet'!$A$36,$K$205^A35,IF(A35='Données projet'!$A$36,'Données projet'!$B$36,N34+M35-V34)))</f>
        <v>0</v>
      </c>
      <c r="O35" s="13">
        <f>N35*VLOOKUP('Données projet'!$B$9,Paramètres!$A$1:$I$89,3,0)*VLOOKUP('Données projet'!$B$9,Paramètres!$A$1:$I$89,5,0)</f>
        <v>0</v>
      </c>
      <c r="P35" s="13" t="e">
        <f t="shared" si="33"/>
        <v>#NUM!</v>
      </c>
      <c r="Q35" s="20" t="e">
        <f t="shared" ref="Q35:Q66" si="53">(O35+P35)*0.475*44/12</f>
        <v>#NUM!</v>
      </c>
      <c r="R35" s="59" t="e">
        <f t="shared" si="0"/>
        <v>#NUM!</v>
      </c>
      <c r="S35" s="59">
        <f ca="1">AVERAGE(OFFSET($R$3,0,0,'Données projet'!$E$9+1,1))-AVERAGE(OFFSET($H$3,0,0,'Données projet'!$E$9+1,1))</f>
        <v>148.39628895278571</v>
      </c>
      <c r="T35" s="59">
        <f t="shared" si="34"/>
        <v>361.07991692964788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118.71344960289696</v>
      </c>
      <c r="AA35" s="21">
        <f>EXP(-LN(2)/25)*AA34+(1-EXP(-LN(2)/25))/(LN(2)/25)*Calculateur!V35*Calculateur!X35*VLOOKUP('Données projet'!$B$9,Paramètres!$A$1:$I$89,3,0)*0.475*44/12</f>
        <v>13.601763684519272</v>
      </c>
      <c r="AB35" s="21">
        <f>EXP(-LN(2)/2)*AB34+(1-EXP(-LN(2)/2))/(LN(2)/2)*V35*Y35*VLOOKUP('Données projet'!$B$9,Paramètres!$A$1:$I$89,3,0)*0.475*44/12</f>
        <v>2.2481003001277446E-2</v>
      </c>
      <c r="AC35" s="22">
        <f t="shared" si="3"/>
        <v>132.33769429041752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4.761809999999997</v>
      </c>
      <c r="AI35" s="13">
        <f>IF('Données projet'!$A$62&gt;35,AI34+AH35-AQ34,IF(A35&lt;'Données projet'!$A$62,$AF$205^A35,IF(A35='Données projet'!$A$62,'Données projet'!$B$62,AI34+AH35-AQ34)))</f>
        <v>111.61287</v>
      </c>
      <c r="AJ35" s="13">
        <f>AI35*VLOOKUP('Données projet'!$B$10,Paramètres!$A$1:$I$89,3,0)*VLOOKUP('Données projet'!$B$10,Paramètres!$A$1:$I$89,5,0)</f>
        <v>121.88125404</v>
      </c>
      <c r="AK35" s="13">
        <f t="shared" si="35"/>
        <v>32.113372882816599</v>
      </c>
      <c r="AL35" s="20">
        <f t="shared" si="4"/>
        <v>268.20730855723895</v>
      </c>
      <c r="AM35" s="59">
        <f t="shared" si="5"/>
        <v>561.54064189057226</v>
      </c>
      <c r="AN35" s="59">
        <f ca="1">AVERAGE(OFFSET($AM$3,0,0,'Données projet'!$E$10+1,1))-AVERAGE(OFFSET($H$3,0,0,'Données projet'!$E$10+1,1))</f>
        <v>245.5026179711341</v>
      </c>
      <c r="AO35" s="59">
        <f t="shared" si="36"/>
        <v>204.32077840562567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2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1">
        <f t="shared" si="32"/>
        <v>6.4269385620606752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66">
        <f t="shared" si="1"/>
        <v>338.89696799558897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0</v>
      </c>
      <c r="N36" s="13">
        <f>IF('Données projet'!$A$36&gt;35,N35+M36-V35,IF(A36&lt;'Données projet'!$A$36,$K$205^A36,IF(A36='Données projet'!$A$36,'Données projet'!$B$36,N35+M36-V35)))</f>
        <v>0</v>
      </c>
      <c r="O36" s="13">
        <f>N36*VLOOKUP('Données projet'!$B$9,Paramètres!$A$1:$I$89,3,0)*VLOOKUP('Données projet'!$B$9,Paramètres!$A$1:$I$89,5,0)</f>
        <v>0</v>
      </c>
      <c r="P36" s="13" t="e">
        <f t="shared" si="33"/>
        <v>#NUM!</v>
      </c>
      <c r="Q36" s="20" t="e">
        <f t="shared" si="53"/>
        <v>#NUM!</v>
      </c>
      <c r="R36" s="59" t="e">
        <f t="shared" si="0"/>
        <v>#NUM!</v>
      </c>
      <c r="S36" s="59">
        <f ca="1">AVERAGE(OFFSET($R$3,0,0,'Données projet'!$E$9+1,1))-AVERAGE(OFFSET($H$3,0,0,'Données projet'!$E$9+1,1))</f>
        <v>148.39628895278571</v>
      </c>
      <c r="T36" s="59">
        <f t="shared" si="34"/>
        <v>361.07991692964788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116.3855512642387</v>
      </c>
      <c r="AA36" s="21">
        <f>EXP(-LN(2)/25)*AA35+(1-EXP(-LN(2)/25))/(LN(2)/25)*Calculateur!V36*Calculateur!X36*VLOOKUP('Données projet'!$B$9,Paramètres!$A$1:$I$89,3,0)*0.475*44/12</f>
        <v>13.229822741280428</v>
      </c>
      <c r="AB36" s="21">
        <f>EXP(-LN(2)/2)*AB35+(1-EXP(-LN(2)/2))/(LN(2)/2)*V36*Y36*VLOOKUP('Données projet'!$B$9,Paramètres!$A$1:$I$89,3,0)*0.475*44/12</f>
        <v>1.5896469670078409E-2</v>
      </c>
      <c r="AC36" s="22">
        <f t="shared" si="3"/>
        <v>129.63127047518921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4.761809999999997</v>
      </c>
      <c r="AI36" s="13">
        <f>IF('Données projet'!$A$62&gt;35,AI35+AH36-AQ35,IF(A36&lt;'Données projet'!$A$62,$AF$205^A36,IF(A36='Données projet'!$A$62,'Données projet'!$B$62,AI35+AH36-AQ35)))</f>
        <v>116.37468</v>
      </c>
      <c r="AJ36" s="13">
        <f>AI36*VLOOKUP('Données projet'!$B$10,Paramètres!$A$1:$I$89,3,0)*VLOOKUP('Données projet'!$B$10,Paramètres!$A$1:$I$89,5,0)</f>
        <v>127.08115055999998</v>
      </c>
      <c r="AK36" s="13">
        <f t="shared" si="35"/>
        <v>33.321010124817349</v>
      </c>
      <c r="AL36" s="20">
        <f t="shared" si="4"/>
        <v>279.3670965260568</v>
      </c>
      <c r="AM36" s="59">
        <f t="shared" si="5"/>
        <v>572.70042985939017</v>
      </c>
      <c r="AN36" s="59">
        <f ca="1">AVERAGE(OFFSET($AM$3,0,0,'Données projet'!$E$10+1,1))-AVERAGE(OFFSET($H$3,0,0,'Données projet'!$E$10+1,1))</f>
        <v>245.5026179711341</v>
      </c>
      <c r="AO36" s="59">
        <f t="shared" si="36"/>
        <v>204.32077840562567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2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1">
        <f t="shared" si="32"/>
        <v>6.5987245821741247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66">
        <f t="shared" si="1"/>
        <v>340.2376786472866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0</v>
      </c>
      <c r="N37" s="13">
        <f>IF('Données projet'!$A$36&gt;35,N36+M37-V36,IF(A37&lt;'Données projet'!$A$36,$K$205^A37,IF(A37='Données projet'!$A$36,'Données projet'!$B$36,N36+M37-V36)))</f>
        <v>0</v>
      </c>
      <c r="O37" s="13">
        <f>N37*VLOOKUP('Données projet'!$B$9,Paramètres!$A$1:$I$89,3,0)*VLOOKUP('Données projet'!$B$9,Paramètres!$A$1:$I$89,5,0)</f>
        <v>0</v>
      </c>
      <c r="P37" s="13" t="e">
        <f t="shared" si="33"/>
        <v>#NUM!</v>
      </c>
      <c r="Q37" s="20" t="e">
        <f t="shared" si="53"/>
        <v>#NUM!</v>
      </c>
      <c r="R37" s="59" t="e">
        <f t="shared" si="0"/>
        <v>#NUM!</v>
      </c>
      <c r="S37" s="59">
        <f ca="1">AVERAGE(OFFSET($R$3,0,0,'Données projet'!$E$9+1,1))-AVERAGE(OFFSET($H$3,0,0,'Données projet'!$E$9+1,1))</f>
        <v>148.39628895278571</v>
      </c>
      <c r="T37" s="59">
        <f t="shared" si="34"/>
        <v>361.07991692964788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114.10330159212376</v>
      </c>
      <c r="AA37" s="21">
        <f>EXP(-LN(2)/25)*AA36+(1-EXP(-LN(2)/25))/(LN(2)/25)*Calculateur!V37*Calculateur!X37*VLOOKUP('Données projet'!$B$9,Paramètres!$A$1:$I$89,3,0)*0.475*44/12</f>
        <v>12.868052542693974</v>
      </c>
      <c r="AB37" s="21">
        <f>EXP(-LN(2)/2)*AB36+(1-EXP(-LN(2)/2))/(LN(2)/2)*V37*Y37*VLOOKUP('Données projet'!$B$9,Paramètres!$A$1:$I$89,3,0)*0.475*44/12</f>
        <v>1.1240501500638723E-2</v>
      </c>
      <c r="AC37" s="22">
        <f t="shared" si="3"/>
        <v>126.98259463631837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4.761809999999997</v>
      </c>
      <c r="AI37" s="13">
        <f>IF('Données projet'!$A$62&gt;35,AI36+AH37-AQ36,IF(A37&lt;'Données projet'!$A$62,$AF$205^A37,IF(A37='Données projet'!$A$62,'Données projet'!$B$62,AI36+AH37-AQ36)))</f>
        <v>121.13648999999999</v>
      </c>
      <c r="AJ37" s="13">
        <f>AI37*VLOOKUP('Données projet'!$B$10,Paramètres!$A$1:$I$89,3,0)*VLOOKUP('Données projet'!$B$10,Paramètres!$A$1:$I$89,5,0)</f>
        <v>132.28104708000001</v>
      </c>
      <c r="AK37" s="13">
        <f t="shared" si="35"/>
        <v>34.5229075607444</v>
      </c>
      <c r="AL37" s="20">
        <f t="shared" si="4"/>
        <v>290.51688766596311</v>
      </c>
      <c r="AM37" s="59">
        <f t="shared" si="5"/>
        <v>583.85022099929643</v>
      </c>
      <c r="AN37" s="59">
        <f ca="1">AVERAGE(OFFSET($AM$3,0,0,'Données projet'!$E$10+1,1))-AVERAGE(OFFSET($H$3,0,0,'Données projet'!$E$10+1,1))</f>
        <v>245.5026179711341</v>
      </c>
      <c r="AO37" s="59">
        <f t="shared" si="36"/>
        <v>204.32077840562567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2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1">
        <f t="shared" si="32"/>
        <v>6.7699234039087761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66">
        <f t="shared" si="1"/>
        <v>341.57736659514109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0</v>
      </c>
      <c r="N38" s="13">
        <f>IF('Données projet'!$A$36&gt;35,N37+M38-V37,IF(A38&lt;'Données projet'!$A$36,$K$205^A38,IF(A38='Données projet'!$A$36,'Données projet'!$B$36,N37+M38-V37)))</f>
        <v>0</v>
      </c>
      <c r="O38" s="13">
        <f>N38*VLOOKUP('Données projet'!$B$9,Paramètres!$A$1:$I$89,3,0)*VLOOKUP('Données projet'!$B$9,Paramètres!$A$1:$I$89,5,0)</f>
        <v>0</v>
      </c>
      <c r="P38" s="13" t="e">
        <f t="shared" si="33"/>
        <v>#NUM!</v>
      </c>
      <c r="Q38" s="20" t="e">
        <f t="shared" si="53"/>
        <v>#NUM!</v>
      </c>
      <c r="R38" s="59" t="e">
        <f t="shared" si="0"/>
        <v>#NUM!</v>
      </c>
      <c r="S38" s="59">
        <f ca="1">AVERAGE(OFFSET($R$3,0,0,'Données projet'!$E$9+1,1))-AVERAGE(OFFSET($H$3,0,0,'Données projet'!$E$9+1,1))</f>
        <v>148.39628895278571</v>
      </c>
      <c r="T38" s="59">
        <f t="shared" si="34"/>
        <v>361.07991692964788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111.86580544404413</v>
      </c>
      <c r="AA38" s="21">
        <f>EXP(-LN(2)/25)*AA37+(1-EXP(-LN(2)/25))/(LN(2)/25)*Calculateur!V38*Calculateur!X38*VLOOKUP('Données projet'!$B$9,Paramètres!$A$1:$I$89,3,0)*0.475*44/12</f>
        <v>12.516174969212534</v>
      </c>
      <c r="AB38" s="21">
        <f>EXP(-LN(2)/2)*AB37+(1-EXP(-LN(2)/2))/(LN(2)/2)*V38*Y38*VLOOKUP('Données projet'!$B$9,Paramètres!$A$1:$I$89,3,0)*0.475*44/12</f>
        <v>7.9482348350392047E-3</v>
      </c>
      <c r="AC38" s="22">
        <f t="shared" si="3"/>
        <v>124.3899286480917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125.89830000000001</v>
      </c>
      <c r="AG38" s="12">
        <f>VLOOKUP(A38,'Données projet'!$A$61:$I$81,9,0)</f>
        <v>4.761809999999997</v>
      </c>
      <c r="AH38" s="12">
        <f t="array" ref="AH38">INDEX(AG:AG,MIN(IF(ISNUMBER(AG38:AG234),ROW(AG38:AG234),"")))</f>
        <v>4.761809999999997</v>
      </c>
      <c r="AI38" s="13">
        <f>IF('Données projet'!$A$62&gt;35,AI37+AH38-AQ37,IF(A38&lt;'Données projet'!$A$62,$AF$205^A38,IF(A38='Données projet'!$A$62,'Données projet'!$B$62,AI37+AH38-AQ37)))</f>
        <v>125.89829999999999</v>
      </c>
      <c r="AJ38" s="13">
        <f>AI38*VLOOKUP('Données projet'!$B$10,Paramètres!$A$1:$I$89,3,0)*VLOOKUP('Données projet'!$B$10,Paramètres!$A$1:$I$89,5,0)</f>
        <v>137.48094359999999</v>
      </c>
      <c r="AK38" s="13">
        <f t="shared" si="35"/>
        <v>35.719316638970895</v>
      </c>
      <c r="AL38" s="20">
        <f t="shared" si="4"/>
        <v>301.65711991620759</v>
      </c>
      <c r="AM38" s="59">
        <f t="shared" si="5"/>
        <v>594.99045324954091</v>
      </c>
      <c r="AN38" s="59">
        <f ca="1">AVERAGE(OFFSET($AM$3,0,0,'Données projet'!$E$10+1,1))-AVERAGE(OFFSET($H$3,0,0,'Données projet'!$E$10+1,1))</f>
        <v>245.5026179711341</v>
      </c>
      <c r="AO38" s="59">
        <f t="shared" si="36"/>
        <v>204.32077840562567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2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1">
        <f t="shared" si="32"/>
        <v>6.9405537312613585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66">
        <f t="shared" si="1"/>
        <v>342.91606441528018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0</v>
      </c>
      <c r="O39" s="13">
        <f>N39*VLOOKUP('Données projet'!$B$9,Paramètres!$A$1:$I$89,3,0)*VLOOKUP('Données projet'!$B$9,Paramètres!$A$1:$I$89,5,0)</f>
        <v>0</v>
      </c>
      <c r="P39" s="13" t="e">
        <f t="shared" si="33"/>
        <v>#NUM!</v>
      </c>
      <c r="Q39" s="20" t="e">
        <f t="shared" si="53"/>
        <v>#NUM!</v>
      </c>
      <c r="R39" s="59" t="e">
        <f t="shared" si="0"/>
        <v>#NUM!</v>
      </c>
      <c r="S39" s="59">
        <f ca="1">AVERAGE(OFFSET($R$3,0,0,'Données projet'!$E$9+1,1))-AVERAGE(OFFSET($H$3,0,0,'Données projet'!$E$9+1,1))</f>
        <v>148.39628895278571</v>
      </c>
      <c r="T39" s="59">
        <f t="shared" si="34"/>
        <v>361.07991692964788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109.67218523069045</v>
      </c>
      <c r="AA39" s="21">
        <f>EXP(-LN(2)/25)*AA38+(1-EXP(-LN(2)/25))/(LN(2)/25)*Calculateur!V39*Calculateur!X39*VLOOKUP('Données projet'!$B$9,Paramètres!$A$1:$I$89,3,0)*0.475*44/12</f>
        <v>12.173919506482381</v>
      </c>
      <c r="AB39" s="21">
        <f>EXP(-LN(2)/2)*AB38+(1-EXP(-LN(2)/2))/(LN(2)/2)*V39*Y39*VLOOKUP('Données projet'!$B$9,Paramètres!$A$1:$I$89,3,0)*0.475*44/12</f>
        <v>5.6202507503193616E-3</v>
      </c>
      <c r="AC39" s="22">
        <f t="shared" si="3"/>
        <v>121.85172498792315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8.7323399999999989</v>
      </c>
      <c r="AI39" s="13">
        <f>IF('Données projet'!$A$62&gt;35,AI38+AH39-AQ38,IF(A39&lt;'Données projet'!$A$62,$AF$205^A39,IF(A39='Données projet'!$A$62,'Données projet'!$B$62,AI38+AH39-AQ38)))</f>
        <v>134.63064</v>
      </c>
      <c r="AJ39" s="13">
        <f>AI39*VLOOKUP('Données projet'!$B$10,Paramètres!$A$1:$I$89,3,0)*VLOOKUP('Données projet'!$B$10,Paramètres!$A$1:$I$89,5,0)</f>
        <v>147.01665887999999</v>
      </c>
      <c r="AK39" s="13">
        <f t="shared" si="35"/>
        <v>37.899819995020621</v>
      </c>
      <c r="AL39" s="20">
        <f t="shared" si="4"/>
        <v>322.06286737399427</v>
      </c>
      <c r="AM39" s="59">
        <f t="shared" si="5"/>
        <v>615.39620070732758</v>
      </c>
      <c r="AN39" s="59">
        <f ca="1">AVERAGE(OFFSET($AM$3,0,0,'Données projet'!$E$10+1,1))-AVERAGE(OFFSET($H$3,0,0,'Données projet'!$E$10+1,1))</f>
        <v>245.5026179711341</v>
      </c>
      <c r="AO39" s="59">
        <f t="shared" si="36"/>
        <v>204.32077840562567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2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1">
        <f t="shared" si="32"/>
        <v>7.1106331699901926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66">
        <f t="shared" si="1"/>
        <v>344.25380277106626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0</v>
      </c>
      <c r="O40" s="13">
        <f>N40*VLOOKUP('Données projet'!$B$9,Paramètres!$A$1:$I$89,3,0)*VLOOKUP('Données projet'!$B$9,Paramètres!$A$1:$I$89,5,0)</f>
        <v>0</v>
      </c>
      <c r="P40" s="13" t="e">
        <f t="shared" si="33"/>
        <v>#NUM!</v>
      </c>
      <c r="Q40" s="20" t="e">
        <f t="shared" si="53"/>
        <v>#NUM!</v>
      </c>
      <c r="R40" s="59" t="e">
        <f t="shared" si="0"/>
        <v>#NUM!</v>
      </c>
      <c r="S40" s="59">
        <f ca="1">AVERAGE(OFFSET($R$3,0,0,'Données projet'!$E$9+1,1))-AVERAGE(OFFSET($H$3,0,0,'Données projet'!$E$9+1,1))</f>
        <v>148.39628895278571</v>
      </c>
      <c r="T40" s="59">
        <f t="shared" si="34"/>
        <v>361.07991692964788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107.52158057174442</v>
      </c>
      <c r="AA40" s="21">
        <f>EXP(-LN(2)/25)*AA39+(1-EXP(-LN(2)/25))/(LN(2)/25)*Calculateur!V40*Calculateur!X40*VLOOKUP('Données projet'!$B$9,Paramètres!$A$1:$I$89,3,0)*0.475*44/12</f>
        <v>11.841023037379017</v>
      </c>
      <c r="AB40" s="21">
        <f>EXP(-LN(2)/2)*AB39+(1-EXP(-LN(2)/2))/(LN(2)/2)*V40*Y40*VLOOKUP('Données projet'!$B$9,Paramètres!$A$1:$I$89,3,0)*0.475*44/12</f>
        <v>3.9741174175196023E-3</v>
      </c>
      <c r="AC40" s="22">
        <f t="shared" si="3"/>
        <v>119.36657772654095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8.7323399999999989</v>
      </c>
      <c r="AI40" s="13">
        <f>IF('Données projet'!$A$62&gt;35,AI39+AH40-AQ39,IF(A40&lt;'Données projet'!$A$62,$AF$205^A40,IF(A40='Données projet'!$A$62,'Données projet'!$B$62,AI39+AH40-AQ39)))</f>
        <v>143.36297999999999</v>
      </c>
      <c r="AJ40" s="13">
        <f>AI40*VLOOKUP('Données projet'!$B$10,Paramètres!$A$1:$I$89,3,0)*VLOOKUP('Données projet'!$B$10,Paramètres!$A$1:$I$89,5,0)</f>
        <v>156.55237416</v>
      </c>
      <c r="AK40" s="13">
        <f t="shared" si="35"/>
        <v>40.063910669950303</v>
      </c>
      <c r="AL40" s="20">
        <f t="shared" si="4"/>
        <v>342.44002941216337</v>
      </c>
      <c r="AM40" s="59">
        <f t="shared" si="5"/>
        <v>635.77336274549668</v>
      </c>
      <c r="AN40" s="59">
        <f ca="1">AVERAGE(OFFSET($AM$3,0,0,'Données projet'!$E$10+1,1))-AVERAGE(OFFSET($H$3,0,0,'Données projet'!$E$10+1,1))</f>
        <v>245.5026179711341</v>
      </c>
      <c r="AO40" s="59">
        <f t="shared" si="36"/>
        <v>204.32077840562567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2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1">
        <f t="shared" si="32"/>
        <v>7.2801783200166916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66">
        <f t="shared" si="1"/>
        <v>345.59061057402903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0</v>
      </c>
      <c r="O41" s="13">
        <f>N41*VLOOKUP('Données projet'!$B$9,Paramètres!$A$1:$I$89,3,0)*VLOOKUP('Données projet'!$B$9,Paramètres!$A$1:$I$89,5,0)</f>
        <v>0</v>
      </c>
      <c r="P41" s="13" t="e">
        <f t="shared" si="33"/>
        <v>#NUM!</v>
      </c>
      <c r="Q41" s="20" t="e">
        <f t="shared" si="53"/>
        <v>#NUM!</v>
      </c>
      <c r="R41" s="59" t="e">
        <f t="shared" si="0"/>
        <v>#NUM!</v>
      </c>
      <c r="S41" s="59">
        <f ca="1">AVERAGE(OFFSET($R$3,0,0,'Données projet'!$E$9+1,1))-AVERAGE(OFFSET($H$3,0,0,'Données projet'!$E$9+1,1))</f>
        <v>148.39628895278571</v>
      </c>
      <c r="T41" s="59">
        <f t="shared" si="34"/>
        <v>361.07991692964788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105.41314795842101</v>
      </c>
      <c r="AA41" s="21">
        <f>EXP(-LN(2)/25)*AA40+(1-EXP(-LN(2)/25))/(LN(2)/25)*Calculateur!V41*Calculateur!X41*VLOOKUP('Données projet'!$B$9,Paramètres!$A$1:$I$89,3,0)*0.475*44/12</f>
        <v>11.51722963972955</v>
      </c>
      <c r="AB41" s="21">
        <f>EXP(-LN(2)/2)*AB40+(1-EXP(-LN(2)/2))/(LN(2)/2)*V41*Y41*VLOOKUP('Données projet'!$B$9,Paramètres!$A$1:$I$89,3,0)*0.475*44/12</f>
        <v>2.8101253751596808E-3</v>
      </c>
      <c r="AC41" s="22">
        <f t="shared" si="3"/>
        <v>116.93318772352572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8.7323399999999989</v>
      </c>
      <c r="AI41" s="13">
        <f>IF('Données projet'!$A$62&gt;35,AI40+AH41-AQ40,IF(A41&lt;'Données projet'!$A$62,$AF$205^A41,IF(A41='Données projet'!$A$62,'Données projet'!$B$62,AI40+AH41-AQ40)))</f>
        <v>152.09531999999999</v>
      </c>
      <c r="AJ41" s="13">
        <f>AI41*VLOOKUP('Données projet'!$B$10,Paramètres!$A$1:$I$89,3,0)*VLOOKUP('Données projet'!$B$10,Paramètres!$A$1:$I$89,5,0)</f>
        <v>166.08808943999998</v>
      </c>
      <c r="AK41" s="13">
        <f t="shared" si="35"/>
        <v>42.21270220894823</v>
      </c>
      <c r="AL41" s="20">
        <f t="shared" si="4"/>
        <v>362.7905454552515</v>
      </c>
      <c r="AM41" s="59">
        <f t="shared" si="5"/>
        <v>656.12387878858476</v>
      </c>
      <c r="AN41" s="59">
        <f ca="1">AVERAGE(OFFSET($AM$3,0,0,'Données projet'!$E$10+1,1))-AVERAGE(OFFSET($H$3,0,0,'Données projet'!$E$10+1,1))</f>
        <v>245.5026179711341</v>
      </c>
      <c r="AO41" s="59">
        <f t="shared" si="36"/>
        <v>204.32077840562567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2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1">
        <f t="shared" si="32"/>
        <v>7.4492048578268033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66">
        <f t="shared" si="1"/>
        <v>346.92651512738166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0</v>
      </c>
      <c r="O42" s="13">
        <f>N42*VLOOKUP('Données projet'!$B$9,Paramètres!$A$1:$I$89,3,0)*VLOOKUP('Données projet'!$B$9,Paramètres!$A$1:$I$89,5,0)</f>
        <v>0</v>
      </c>
      <c r="P42" s="13" t="e">
        <f t="shared" si="33"/>
        <v>#NUM!</v>
      </c>
      <c r="Q42" s="20" t="e">
        <f t="shared" si="53"/>
        <v>#NUM!</v>
      </c>
      <c r="R42" s="59" t="e">
        <f t="shared" si="0"/>
        <v>#NUM!</v>
      </c>
      <c r="S42" s="59">
        <f ca="1">AVERAGE(OFFSET($R$3,0,0,'Données projet'!$E$9+1,1))-AVERAGE(OFFSET($H$3,0,0,'Données projet'!$E$9+1,1))</f>
        <v>148.39628895278571</v>
      </c>
      <c r="T42" s="59">
        <f t="shared" si="34"/>
        <v>361.07991692964788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103.34606042262796</v>
      </c>
      <c r="AA42" s="21">
        <f>EXP(-LN(2)/25)*AA41+(1-EXP(-LN(2)/25))/(LN(2)/25)*Calculateur!V42*Calculateur!X42*VLOOKUP('Données projet'!$B$9,Paramètres!$A$1:$I$89,3,0)*0.475*44/12</f>
        <v>11.202290389566361</v>
      </c>
      <c r="AB42" s="21">
        <f>EXP(-LN(2)/2)*AB41+(1-EXP(-LN(2)/2))/(LN(2)/2)*V42*Y42*VLOOKUP('Données projet'!$B$9,Paramètres!$A$1:$I$89,3,0)*0.475*44/12</f>
        <v>1.9870587087598012E-3</v>
      </c>
      <c r="AC42" s="22">
        <f t="shared" si="3"/>
        <v>114.55033787090308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8.7323399999999989</v>
      </c>
      <c r="AI42" s="13">
        <f>IF('Données projet'!$A$62&gt;35,AI41+AH42-AQ41,IF(A42&lt;'Données projet'!$A$62,$AF$205^A42,IF(A42='Données projet'!$A$62,'Données projet'!$B$62,AI41+AH42-AQ41)))</f>
        <v>160.82765999999998</v>
      </c>
      <c r="AJ42" s="13">
        <f>AI42*VLOOKUP('Données projet'!$B$10,Paramètres!$A$1:$I$89,3,0)*VLOOKUP('Données projet'!$B$10,Paramètres!$A$1:$I$89,5,0)</f>
        <v>175.62380471999995</v>
      </c>
      <c r="AK42" s="13">
        <f t="shared" si="35"/>
        <v>44.347173069582873</v>
      </c>
      <c r="AL42" s="20">
        <f t="shared" si="4"/>
        <v>383.11611965019011</v>
      </c>
      <c r="AM42" s="59">
        <f t="shared" si="5"/>
        <v>676.44945298352343</v>
      </c>
      <c r="AN42" s="59">
        <f ca="1">AVERAGE(OFFSET($AM$3,0,0,'Données projet'!$E$10+1,1))-AVERAGE(OFFSET($H$3,0,0,'Données projet'!$E$10+1,1))</f>
        <v>245.5026179711341</v>
      </c>
      <c r="AO42" s="59">
        <f t="shared" si="36"/>
        <v>204.32077840562567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2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1">
        <f t="shared" si="32"/>
        <v>7.6177276101832261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66">
        <f t="shared" si="1"/>
        <v>348.2615422544024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0</v>
      </c>
      <c r="O43" s="13">
        <f>N43*VLOOKUP('Données projet'!$B$9,Paramètres!$A$1:$I$89,3,0)*VLOOKUP('Données projet'!$B$9,Paramètres!$A$1:$I$89,5,0)</f>
        <v>0</v>
      </c>
      <c r="P43" s="13" t="e">
        <f t="shared" si="33"/>
        <v>#NUM!</v>
      </c>
      <c r="Q43" s="20" t="e">
        <f t="shared" si="53"/>
        <v>#NUM!</v>
      </c>
      <c r="R43" s="59" t="e">
        <f t="shared" si="0"/>
        <v>#NUM!</v>
      </c>
      <c r="S43" s="59">
        <f ca="1">AVERAGE(OFFSET($R$3,0,0,'Données projet'!$E$9+1,1))-AVERAGE(OFFSET($H$3,0,0,'Données projet'!$E$9+1,1))</f>
        <v>148.39628895278571</v>
      </c>
      <c r="T43" s="59">
        <f t="shared" si="34"/>
        <v>361.07991692964788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101.3195072126129</v>
      </c>
      <c r="AA43" s="21">
        <f>EXP(-LN(2)/25)*AA42+(1-EXP(-LN(2)/25))/(LN(2)/25)*Calculateur!V43*Calculateur!X43*VLOOKUP('Données projet'!$B$9,Paramètres!$A$1:$I$89,3,0)*0.475*44/12</f>
        <v>10.895963169760821</v>
      </c>
      <c r="AB43" s="21">
        <f>EXP(-LN(2)/2)*AB42+(1-EXP(-LN(2)/2))/(LN(2)/2)*V43*Y43*VLOOKUP('Données projet'!$B$9,Paramètres!$A$1:$I$89,3,0)*0.475*44/12</f>
        <v>1.4050626875798404E-3</v>
      </c>
      <c r="AC43" s="22">
        <f t="shared" si="3"/>
        <v>112.21687544506131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169.56</v>
      </c>
      <c r="AG43" s="12">
        <f>VLOOKUP(A43,'Données projet'!$A$61:$I$81,9,0)</f>
        <v>8.7323399999999989</v>
      </c>
      <c r="AH43" s="12">
        <f t="array" ref="AH43">INDEX(AG:AG,MIN(IF(ISNUMBER(AG43:AG239),ROW(AG43:AG239),"")))</f>
        <v>8.7323399999999989</v>
      </c>
      <c r="AI43" s="13">
        <f>IF('Données projet'!$A$62&gt;35,AI42+AH43-AQ42,IF(A43&lt;'Données projet'!$A$62,$AF$205^A43,IF(A43='Données projet'!$A$62,'Données projet'!$B$62,AI42+AH43-AQ42)))</f>
        <v>169.55999999999997</v>
      </c>
      <c r="AJ43" s="13">
        <f>AI43*VLOOKUP('Données projet'!$B$10,Paramètres!$A$1:$I$89,3,0)*VLOOKUP('Données projet'!$B$10,Paramètres!$A$1:$I$89,5,0)</f>
        <v>185.15951999999999</v>
      </c>
      <c r="AK43" s="13">
        <f t="shared" si="35"/>
        <v>46.468189455290606</v>
      </c>
      <c r="AL43" s="20">
        <f t="shared" si="4"/>
        <v>403.41826063463105</v>
      </c>
      <c r="AM43" s="59">
        <f t="shared" si="5"/>
        <v>696.75159396796437</v>
      </c>
      <c r="AN43" s="59">
        <f ca="1">AVERAGE(OFFSET($AM$3,0,0,'Données projet'!$E$10+1,1))-AVERAGE(OFFSET($H$3,0,0,'Données projet'!$E$10+1,1))</f>
        <v>245.5026179711341</v>
      </c>
      <c r="AO43" s="59">
        <f t="shared" si="36"/>
        <v>204.32077840562567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2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1">
        <f t="shared" si="32"/>
        <v>7.7857606202588796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66">
        <f t="shared" si="1"/>
        <v>349.59571641361754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0</v>
      </c>
      <c r="O44" s="13">
        <f>N44*VLOOKUP('Données projet'!$B$9,Paramètres!$A$1:$I$89,3,0)*VLOOKUP('Données projet'!$B$9,Paramètres!$A$1:$I$89,5,0)</f>
        <v>0</v>
      </c>
      <c r="P44" s="13" t="e">
        <f t="shared" si="33"/>
        <v>#NUM!</v>
      </c>
      <c r="Q44" s="20" t="e">
        <f t="shared" si="53"/>
        <v>#NUM!</v>
      </c>
      <c r="R44" s="59" t="e">
        <f t="shared" si="0"/>
        <v>#NUM!</v>
      </c>
      <c r="S44" s="59">
        <f ca="1">AVERAGE(OFFSET($R$3,0,0,'Données projet'!$E$9+1,1))-AVERAGE(OFFSET($H$3,0,0,'Données projet'!$E$9+1,1))</f>
        <v>148.39628895278571</v>
      </c>
      <c r="T44" s="59">
        <f t="shared" si="34"/>
        <v>361.07991692964788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99.332693474970839</v>
      </c>
      <c r="AA44" s="21">
        <f>EXP(-LN(2)/25)*AA43+(1-EXP(-LN(2)/25))/(LN(2)/25)*Calculateur!V44*Calculateur!X44*VLOOKUP('Données projet'!$B$9,Paramètres!$A$1:$I$89,3,0)*0.475*44/12</f>
        <v>10.59801248388991</v>
      </c>
      <c r="AB44" s="21">
        <f>EXP(-LN(2)/2)*AB43+(1-EXP(-LN(2)/2))/(LN(2)/2)*V44*Y44*VLOOKUP('Données projet'!$B$9,Paramètres!$A$1:$I$89,3,0)*0.475*44/12</f>
        <v>9.9352935437990058E-4</v>
      </c>
      <c r="AC44" s="22">
        <f t="shared" si="3"/>
        <v>109.93169948821513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6.5916449999999944</v>
      </c>
      <c r="AI44" s="13">
        <f>IF('Données projet'!$A$62&gt;35,AI43+AH44-AQ43,IF(A44&lt;'Données projet'!$A$62,$AF$205^A44,IF(A44='Données projet'!$A$62,'Données projet'!$B$62,AI43+AH44-AQ43)))</f>
        <v>176.15164499999997</v>
      </c>
      <c r="AJ44" s="13">
        <f>AI44*VLOOKUP('Données projet'!$B$10,Paramètres!$A$1:$I$89,3,0)*VLOOKUP('Données projet'!$B$10,Paramètres!$A$1:$I$89,5,0)</f>
        <v>192.35759633999996</v>
      </c>
      <c r="AK44" s="13">
        <f t="shared" si="35"/>
        <v>48.060809238238619</v>
      </c>
      <c r="AL44" s="20">
        <f t="shared" si="4"/>
        <v>418.72872304876546</v>
      </c>
      <c r="AM44" s="59">
        <f t="shared" si="5"/>
        <v>712.06205638209872</v>
      </c>
      <c r="AN44" s="59">
        <f ca="1">AVERAGE(OFFSET($AM$3,0,0,'Données projet'!$E$10+1,1))-AVERAGE(OFFSET($H$3,0,0,'Données projet'!$E$10+1,1))</f>
        <v>245.5026179711341</v>
      </c>
      <c r="AO44" s="59">
        <f t="shared" si="36"/>
        <v>204.32077840562567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2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1">
        <f t="shared" si="32"/>
        <v>7.9533172071366991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66">
        <f t="shared" si="1"/>
        <v>350.92906080242972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0</v>
      </c>
      <c r="O45" s="13">
        <f>N45*VLOOKUP('Données projet'!$B$9,Paramètres!$A$1:$I$89,3,0)*VLOOKUP('Données projet'!$B$9,Paramètres!$A$1:$I$89,5,0)</f>
        <v>0</v>
      </c>
      <c r="P45" s="13" t="e">
        <f t="shared" si="33"/>
        <v>#NUM!</v>
      </c>
      <c r="Q45" s="20" t="e">
        <f t="shared" si="53"/>
        <v>#NUM!</v>
      </c>
      <c r="R45" s="59" t="e">
        <f t="shared" si="0"/>
        <v>#NUM!</v>
      </c>
      <c r="S45" s="59">
        <f ca="1">AVERAGE(OFFSET($R$3,0,0,'Données projet'!$E$9+1,1))-AVERAGE(OFFSET($H$3,0,0,'Données projet'!$E$9+1,1))</f>
        <v>148.39628895278571</v>
      </c>
      <c r="T45" s="59">
        <f t="shared" si="34"/>
        <v>361.07991692964788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97.384839942887211</v>
      </c>
      <c r="AA45" s="21">
        <f>EXP(-LN(2)/25)*AA44+(1-EXP(-LN(2)/25))/(LN(2)/25)*Calculateur!V45*Calculateur!X45*VLOOKUP('Données projet'!$B$9,Paramètres!$A$1:$I$89,3,0)*0.475*44/12</f>
        <v>10.308209275192686</v>
      </c>
      <c r="AB45" s="21">
        <f>EXP(-LN(2)/2)*AB44+(1-EXP(-LN(2)/2))/(LN(2)/2)*V45*Y45*VLOOKUP('Données projet'!$B$9,Paramètres!$A$1:$I$89,3,0)*0.475*44/12</f>
        <v>7.025313437899202E-4</v>
      </c>
      <c r="AC45" s="22">
        <f t="shared" si="3"/>
        <v>107.69375174942368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6.5916449999999944</v>
      </c>
      <c r="AI45" s="13">
        <f>IF('Données projet'!$A$62&gt;35,AI44+AH45-AQ44,IF(A45&lt;'Données projet'!$A$62,$AF$205^A45,IF(A45='Données projet'!$A$62,'Données projet'!$B$62,AI44+AH45-AQ44)))</f>
        <v>182.74328999999997</v>
      </c>
      <c r="AJ45" s="13">
        <f>AI45*VLOOKUP('Données projet'!$B$10,Paramètres!$A$1:$I$89,3,0)*VLOOKUP('Données projet'!$B$10,Paramètres!$A$1:$I$89,5,0)</f>
        <v>199.55567267999996</v>
      </c>
      <c r="AK45" s="13">
        <f t="shared" si="35"/>
        <v>49.646505392414063</v>
      </c>
      <c r="AL45" s="20">
        <f t="shared" si="4"/>
        <v>434.02712680945439</v>
      </c>
      <c r="AM45" s="59">
        <f t="shared" si="5"/>
        <v>727.3604601427877</v>
      </c>
      <c r="AN45" s="59">
        <f ca="1">AVERAGE(OFFSET($AM$3,0,0,'Données projet'!$E$10+1,1))-AVERAGE(OFFSET($H$3,0,0,'Données projet'!$E$10+1,1))</f>
        <v>245.5026179711341</v>
      </c>
      <c r="AO45" s="59">
        <f t="shared" si="36"/>
        <v>204.32077840562567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0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2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1">
        <f t="shared" si="32"/>
        <v>8.1204100194831259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66">
        <f t="shared" si="1"/>
        <v>352.26159745059977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0</v>
      </c>
      <c r="O46" s="13">
        <f>N46*VLOOKUP('Données projet'!$B$9,Paramètres!$A$1:$I$89,3,0)*VLOOKUP('Données projet'!$B$9,Paramètres!$A$1:$I$89,5,0)</f>
        <v>0</v>
      </c>
      <c r="P46" s="13" t="e">
        <f t="shared" si="33"/>
        <v>#NUM!</v>
      </c>
      <c r="Q46" s="20" t="e">
        <f t="shared" si="53"/>
        <v>#NUM!</v>
      </c>
      <c r="R46" s="59" t="e">
        <f t="shared" si="0"/>
        <v>#NUM!</v>
      </c>
      <c r="S46" s="59">
        <f ca="1">AVERAGE(OFFSET($R$3,0,0,'Données projet'!$E$9+1,1))-AVERAGE(OFFSET($H$3,0,0,'Données projet'!$E$9+1,1))</f>
        <v>148.39628895278571</v>
      </c>
      <c r="T46" s="59">
        <f t="shared" si="34"/>
        <v>361.07991692964788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95.475182630494402</v>
      </c>
      <c r="AA46" s="21">
        <f>EXP(-LN(2)/25)*AA45+(1-EXP(-LN(2)/25))/(LN(2)/25)*Calculateur!V46*Calculateur!X46*VLOOKUP('Données projet'!$B$9,Paramètres!$A$1:$I$89,3,0)*0.475*44/12</f>
        <v>10.026330750477376</v>
      </c>
      <c r="AB46" s="21">
        <f>EXP(-LN(2)/2)*AB45+(1-EXP(-LN(2)/2))/(LN(2)/2)*V46*Y46*VLOOKUP('Données projet'!$B$9,Paramètres!$A$1:$I$89,3,0)*0.475*44/12</f>
        <v>4.9676467718995029E-4</v>
      </c>
      <c r="AC46" s="22">
        <f t="shared" si="3"/>
        <v>105.50201014564897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6.5916449999999944</v>
      </c>
      <c r="AI46" s="13">
        <f>IF('Données projet'!$A$62&gt;35,AI45+AH46-AQ45,IF(A46&lt;'Données projet'!$A$62,$AF$205^A46,IF(A46='Données projet'!$A$62,'Données projet'!$B$62,AI45+AH46-AQ45)))</f>
        <v>189.33493499999997</v>
      </c>
      <c r="AJ46" s="13">
        <f>AI46*VLOOKUP('Données projet'!$B$10,Paramètres!$A$1:$I$89,3,0)*VLOOKUP('Données projet'!$B$10,Paramètres!$A$1:$I$89,5,0)</f>
        <v>206.75374901999999</v>
      </c>
      <c r="AK46" s="13">
        <f t="shared" si="35"/>
        <v>51.225556264570088</v>
      </c>
      <c r="AL46" s="20">
        <f t="shared" si="4"/>
        <v>449.31395670395949</v>
      </c>
      <c r="AM46" s="59">
        <f t="shared" si="5"/>
        <v>742.64729003729281</v>
      </c>
      <c r="AN46" s="59">
        <f ca="1">AVERAGE(OFFSET($AM$3,0,0,'Données projet'!$E$10+1,1))-AVERAGE(OFFSET($H$3,0,0,'Données projet'!$E$10+1,1))</f>
        <v>245.5026179711341</v>
      </c>
      <c r="AO46" s="59">
        <f t="shared" si="36"/>
        <v>204.32077840562567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0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2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1">
        <f t="shared" si="32"/>
        <v>8.2870510840880431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66">
        <f t="shared" si="1"/>
        <v>353.59334730478662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0</v>
      </c>
      <c r="O47" s="13">
        <f>N47*VLOOKUP('Données projet'!$B$9,Paramètres!$A$1:$I$89,3,0)*VLOOKUP('Données projet'!$B$9,Paramètres!$A$1:$I$89,5,0)</f>
        <v>0</v>
      </c>
      <c r="P47" s="13" t="e">
        <f t="shared" si="33"/>
        <v>#NUM!</v>
      </c>
      <c r="Q47" s="20" t="e">
        <f t="shared" si="53"/>
        <v>#NUM!</v>
      </c>
      <c r="R47" s="59" t="e">
        <f t="shared" si="0"/>
        <v>#NUM!</v>
      </c>
      <c r="S47" s="59">
        <f ca="1">AVERAGE(OFFSET($R$3,0,0,'Données projet'!$E$9+1,1))-AVERAGE(OFFSET($H$3,0,0,'Données projet'!$E$9+1,1))</f>
        <v>148.39628895278571</v>
      </c>
      <c r="T47" s="59">
        <f t="shared" si="34"/>
        <v>361.07991692964788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93.602972533221674</v>
      </c>
      <c r="AA47" s="21">
        <f>EXP(-LN(2)/25)*AA46+(1-EXP(-LN(2)/25))/(LN(2)/25)*Calculateur!V47*Calculateur!X47*VLOOKUP('Données projet'!$B$9,Paramètres!$A$1:$I$89,3,0)*0.475*44/12</f>
        <v>9.7521602088437529</v>
      </c>
      <c r="AB47" s="21">
        <f>EXP(-LN(2)/2)*AB46+(1-EXP(-LN(2)/2))/(LN(2)/2)*V47*Y47*VLOOKUP('Données projet'!$B$9,Paramètres!$A$1:$I$89,3,0)*0.475*44/12</f>
        <v>3.512656718949601E-4</v>
      </c>
      <c r="AC47" s="22">
        <f t="shared" si="3"/>
        <v>103.35548400773732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6.5916449999999944</v>
      </c>
      <c r="AI47" s="13">
        <f>IF('Données projet'!$A$62&gt;35,AI46+AH47-AQ46,IF(A47&lt;'Données projet'!$A$62,$AF$205^A47,IF(A47='Données projet'!$A$62,'Données projet'!$B$62,AI46+AH47-AQ46)))</f>
        <v>195.92657999999997</v>
      </c>
      <c r="AJ47" s="13">
        <f>AI47*VLOOKUP('Données projet'!$B$10,Paramètres!$A$1:$I$89,3,0)*VLOOKUP('Données projet'!$B$10,Paramètres!$A$1:$I$89,5,0)</f>
        <v>213.95182535999996</v>
      </c>
      <c r="AK47" s="13">
        <f t="shared" si="35"/>
        <v>52.798219721242248</v>
      </c>
      <c r="AL47" s="20">
        <f t="shared" si="4"/>
        <v>464.58966184983018</v>
      </c>
      <c r="AM47" s="59">
        <f t="shared" si="5"/>
        <v>757.92299518316349</v>
      </c>
      <c r="AN47" s="59">
        <f ca="1">AVERAGE(OFFSET($AM$3,0,0,'Données projet'!$E$10+1,1))-AVERAGE(OFFSET($H$3,0,0,'Données projet'!$E$10+1,1))</f>
        <v>245.5026179711341</v>
      </c>
      <c r="AO47" s="59">
        <f t="shared" si="36"/>
        <v>204.32077840562567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0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2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1">
        <f t="shared" si="32"/>
        <v>8.4532518498676339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66">
        <f t="shared" si="1"/>
        <v>354.92433030518612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0</v>
      </c>
      <c r="O48" s="13">
        <f>N48*VLOOKUP('Données projet'!$B$9,Paramètres!$A$1:$I$89,3,0)*VLOOKUP('Données projet'!$B$9,Paramètres!$A$1:$I$89,5,0)</f>
        <v>0</v>
      </c>
      <c r="P48" s="13" t="e">
        <f t="shared" si="33"/>
        <v>#NUM!</v>
      </c>
      <c r="Q48" s="20" t="e">
        <f t="shared" si="53"/>
        <v>#NUM!</v>
      </c>
      <c r="R48" s="59" t="e">
        <f t="shared" si="0"/>
        <v>#NUM!</v>
      </c>
      <c r="S48" s="59">
        <f ca="1">AVERAGE(OFFSET($R$3,0,0,'Données projet'!$E$9+1,1))-AVERAGE(OFFSET($H$3,0,0,'Données projet'!$E$9+1,1))</f>
        <v>148.39628895278571</v>
      </c>
      <c r="T48" s="59">
        <f t="shared" si="34"/>
        <v>361.07991692964788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91.767475334021057</v>
      </c>
      <c r="AA48" s="21">
        <f>EXP(-LN(2)/25)*AA47+(1-EXP(-LN(2)/25))/(LN(2)/25)*Calculateur!V48*Calculateur!X48*VLOOKUP('Données projet'!$B$9,Paramètres!$A$1:$I$89,3,0)*0.475*44/12</f>
        <v>9.4854868750891033</v>
      </c>
      <c r="AB48" s="21">
        <f>EXP(-LN(2)/2)*AB47+(1-EXP(-LN(2)/2))/(LN(2)/2)*V48*Y48*VLOOKUP('Données projet'!$B$9,Paramètres!$A$1:$I$89,3,0)*0.475*44/12</f>
        <v>2.4838233859497515E-4</v>
      </c>
      <c r="AC48" s="22">
        <f t="shared" si="3"/>
        <v>101.25321059144876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202.51822499999997</v>
      </c>
      <c r="AG48" s="12">
        <f>VLOOKUP(A48,'Données projet'!$A$61:$I$81,9,0)</f>
        <v>6.5916449999999944</v>
      </c>
      <c r="AH48" s="12">
        <f t="array" ref="AH48">INDEX(AG:AG,MIN(IF(ISNUMBER(AG48:AG244),ROW(AG48:AG244),"")))</f>
        <v>6.5916449999999944</v>
      </c>
      <c r="AI48" s="13">
        <f>IF('Données projet'!$A$62&gt;35,AI47+AH48-AQ47,IF(A48&lt;'Données projet'!$A$62,$AF$205^A48,IF(A48='Données projet'!$A$62,'Données projet'!$B$62,AI47+AH48-AQ47)))</f>
        <v>202.51822499999997</v>
      </c>
      <c r="AJ48" s="13">
        <f>AI48*VLOOKUP('Données projet'!$B$10,Paramètres!$A$1:$I$89,3,0)*VLOOKUP('Données projet'!$B$10,Paramètres!$A$1:$I$89,5,0)</f>
        <v>221.14990169999996</v>
      </c>
      <c r="AK48" s="13">
        <f t="shared" si="35"/>
        <v>54.364735293482219</v>
      </c>
      <c r="AL48" s="20">
        <f t="shared" si="4"/>
        <v>479.85465943031477</v>
      </c>
      <c r="AM48" s="59">
        <f t="shared" si="5"/>
        <v>773.18799276364803</v>
      </c>
      <c r="AN48" s="59">
        <f ca="1">AVERAGE(OFFSET($AM$3,0,0,'Données projet'!$E$10+1,1))-AVERAGE(OFFSET($H$3,0,0,'Données projet'!$E$10+1,1))</f>
        <v>245.5026179711341</v>
      </c>
      <c r="AO48" s="59">
        <f t="shared" si="36"/>
        <v>204.32077840562567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0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2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1">
        <f t="shared" si="32"/>
        <v>8.6190232278455454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66">
        <f t="shared" si="1"/>
        <v>356.25456545516431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0</v>
      </c>
      <c r="O49" s="13">
        <f>N49*VLOOKUP('Données projet'!$B$9,Paramètres!$A$1:$I$89,3,0)*VLOOKUP('Données projet'!$B$9,Paramètres!$A$1:$I$89,5,0)</f>
        <v>0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148.39628895278571</v>
      </c>
      <c r="T49" s="59">
        <f t="shared" si="34"/>
        <v>361.07991692964788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89.967971115354018</v>
      </c>
      <c r="AA49" s="21">
        <f>EXP(-LN(2)/25)*AA48+(1-EXP(-LN(2)/25))/(LN(2)/25)*Calculateur!V49*Calculateur!X49*VLOOKUP('Données projet'!$B$9,Paramètres!$A$1:$I$89,3,0)*0.475*44/12</f>
        <v>9.226105737669716</v>
      </c>
      <c r="AB49" s="21">
        <f>EXP(-LN(2)/2)*AB48+(1-EXP(-LN(2)/2))/(LN(2)/2)*V49*Y49*VLOOKUP('Données projet'!$B$9,Paramètres!$A$1:$I$89,3,0)*0.475*44/12</f>
        <v>1.7563283594748005E-4</v>
      </c>
      <c r="AC49" s="22">
        <f t="shared" si="3"/>
        <v>99.194252485859678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7.3687950000000111</v>
      </c>
      <c r="AI49" s="13">
        <f>IF('Données projet'!$A$62&gt;35,AI48+AH49-AQ48,IF(A49&lt;'Données projet'!$A$62,$AF$205^A49,IF(A49='Données projet'!$A$62,'Données projet'!$B$62,AI48+AH49-AQ48)))</f>
        <v>209.88701999999998</v>
      </c>
      <c r="AJ49" s="13">
        <f>AI49*VLOOKUP('Données projet'!$B$10,Paramètres!$A$1:$I$89,3,0)*VLOOKUP('Données projet'!$B$10,Paramètres!$A$1:$I$89,5,0)</f>
        <v>229.19662583999997</v>
      </c>
      <c r="AK49" s="13">
        <f t="shared" si="35"/>
        <v>56.10893789596107</v>
      </c>
      <c r="AL49" s="20">
        <f t="shared" si="4"/>
        <v>496.90719017346538</v>
      </c>
      <c r="AM49" s="59">
        <f t="shared" si="5"/>
        <v>790.2405235067987</v>
      </c>
      <c r="AN49" s="59">
        <f ca="1">AVERAGE(OFFSET($AM$3,0,0,'Données projet'!$E$10+1,1))-AVERAGE(OFFSET($H$3,0,0,'Données projet'!$E$10+1,1))</f>
        <v>245.5026179711341</v>
      </c>
      <c r="AO49" s="59">
        <f t="shared" si="36"/>
        <v>204.32077840562567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0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2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1">
        <f t="shared" si="32"/>
        <v>8.7843756275593741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66">
        <f t="shared" si="1"/>
        <v>357.58407088466589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0</v>
      </c>
      <c r="O50" s="13">
        <f>N50*VLOOKUP('Données projet'!$B$9,Paramètres!$A$1:$I$89,3,0)*VLOOKUP('Données projet'!$B$9,Paramètres!$A$1:$I$89,5,0)</f>
        <v>0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148.39628895278571</v>
      </c>
      <c r="T50" s="59">
        <f t="shared" si="34"/>
        <v>361.07991692964788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88.203754076825845</v>
      </c>
      <c r="AA50" s="21">
        <f>EXP(-LN(2)/25)*AA49+(1-EXP(-LN(2)/25))/(LN(2)/25)*Calculateur!V50*Calculateur!X50*VLOOKUP('Données projet'!$B$9,Paramètres!$A$1:$I$89,3,0)*0.475*44/12</f>
        <v>8.9738173910933234</v>
      </c>
      <c r="AB50" s="21">
        <f>EXP(-LN(2)/2)*AB49+(1-EXP(-LN(2)/2))/(LN(2)/2)*V50*Y50*VLOOKUP('Données projet'!$B$9,Paramètres!$A$1:$I$89,3,0)*0.475*44/12</f>
        <v>1.2419116929748757E-4</v>
      </c>
      <c r="AC50" s="22">
        <f t="shared" si="3"/>
        <v>97.177695659088457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7.3687950000000111</v>
      </c>
      <c r="AI50" s="13">
        <f>IF('Données projet'!$A$62&gt;35,AI49+AH50-AQ49,IF(A50&lt;'Données projet'!$A$62,$AF$205^A50,IF(A50='Données projet'!$A$62,'Données projet'!$B$62,AI49+AH50-AQ49)))</f>
        <v>217.25581499999998</v>
      </c>
      <c r="AJ50" s="13">
        <f>AI50*VLOOKUP('Données projet'!$B$10,Paramètres!$A$1:$I$89,3,0)*VLOOKUP('Données projet'!$B$10,Paramètres!$A$1:$I$89,5,0)</f>
        <v>237.24334997999998</v>
      </c>
      <c r="AK50" s="13">
        <f t="shared" si="35"/>
        <v>57.846025612126887</v>
      </c>
      <c r="AL50" s="20">
        <f t="shared" si="4"/>
        <v>513.94732915628754</v>
      </c>
      <c r="AM50" s="59">
        <f t="shared" si="5"/>
        <v>807.28066248962091</v>
      </c>
      <c r="AN50" s="59">
        <f ca="1">AVERAGE(OFFSET($AM$3,0,0,'Données projet'!$E$10+1,1))-AVERAGE(OFFSET($H$3,0,0,'Données projet'!$E$10+1,1))</f>
        <v>245.5026179711341</v>
      </c>
      <c r="AO50" s="59">
        <f t="shared" si="36"/>
        <v>204.32077840562567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0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2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1">
        <f t="shared" si="32"/>
        <v>8.9493189902812986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66">
        <f t="shared" si="1"/>
        <v>358.91286390807323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0</v>
      </c>
      <c r="O51" s="13">
        <f>N51*VLOOKUP('Données projet'!$B$9,Paramètres!$A$1:$I$89,3,0)*VLOOKUP('Données projet'!$B$9,Paramètres!$A$1:$I$89,5,0)</f>
        <v>0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148.39628895278571</v>
      </c>
      <c r="T51" s="59">
        <f t="shared" si="34"/>
        <v>361.07991692964788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86.474132258357074</v>
      </c>
      <c r="AA51" s="21">
        <f>EXP(-LN(2)/25)*AA50+(1-EXP(-LN(2)/25))/(LN(2)/25)*Calculateur!V51*Calculateur!X51*VLOOKUP('Données projet'!$B$9,Paramètres!$A$1:$I$89,3,0)*0.475*44/12</f>
        <v>8.7284278826213306</v>
      </c>
      <c r="AB51" s="21">
        <f>EXP(-LN(2)/2)*AB50+(1-EXP(-LN(2)/2))/(LN(2)/2)*V51*Y51*VLOOKUP('Données projet'!$B$9,Paramètres!$A$1:$I$89,3,0)*0.475*44/12</f>
        <v>8.7816417973740025E-5</v>
      </c>
      <c r="AC51" s="22">
        <f t="shared" si="3"/>
        <v>95.20264795739638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7.3687950000000111</v>
      </c>
      <c r="AI51" s="13">
        <f>IF('Données projet'!$A$62&gt;35,AI50+AH51-AQ50,IF(A51&lt;'Données projet'!$A$62,$AF$205^A51,IF(A51='Données projet'!$A$62,'Données projet'!$B$62,AI50+AH51-AQ50)))</f>
        <v>224.62460999999999</v>
      </c>
      <c r="AJ51" s="13">
        <f>AI51*VLOOKUP('Données projet'!$B$10,Paramètres!$A$1:$I$89,3,0)*VLOOKUP('Données projet'!$B$10,Paramètres!$A$1:$I$89,5,0)</f>
        <v>245.29007411999999</v>
      </c>
      <c r="AK51" s="13">
        <f t="shared" si="35"/>
        <v>59.576267425117024</v>
      </c>
      <c r="AL51" s="20">
        <f t="shared" si="4"/>
        <v>530.97554485774538</v>
      </c>
      <c r="AM51" s="59">
        <f t="shared" si="5"/>
        <v>824.30887819107875</v>
      </c>
      <c r="AN51" s="59">
        <f ca="1">AVERAGE(OFFSET($AM$3,0,0,'Données projet'!$E$10+1,1))-AVERAGE(OFFSET($H$3,0,0,'Données projet'!$E$10+1,1))</f>
        <v>245.5026179711341</v>
      </c>
      <c r="AO51" s="59">
        <f t="shared" si="36"/>
        <v>204.32077840562567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0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2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1">
        <f t="shared" si="32"/>
        <v>9.1138628193922067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66">
        <f t="shared" si="1"/>
        <v>360.24096107710801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0</v>
      </c>
      <c r="O52" s="13">
        <f>N52*VLOOKUP('Données projet'!$B$9,Paramètres!$A$1:$I$89,3,0)*VLOOKUP('Données projet'!$B$9,Paramètres!$A$1:$I$89,5,0)</f>
        <v>0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148.39628895278571</v>
      </c>
      <c r="T52" s="59">
        <f t="shared" si="34"/>
        <v>361.07991692964788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84.778427268783332</v>
      </c>
      <c r="AA52" s="21">
        <f>EXP(-LN(2)/25)*AA51+(1-EXP(-LN(2)/25))/(LN(2)/25)*Calculateur!V52*Calculateur!X52*VLOOKUP('Données projet'!$B$9,Paramètres!$A$1:$I$89,3,0)*0.475*44/12</f>
        <v>8.4897485631629763</v>
      </c>
      <c r="AB52" s="21">
        <f>EXP(-LN(2)/2)*AB51+(1-EXP(-LN(2)/2))/(LN(2)/2)*V52*Y52*VLOOKUP('Données projet'!$B$9,Paramètres!$A$1:$I$89,3,0)*0.475*44/12</f>
        <v>6.2095584648743786E-5</v>
      </c>
      <c r="AC52" s="22">
        <f t="shared" si="3"/>
        <v>93.268237927530961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7.3687950000000111</v>
      </c>
      <c r="AI52" s="13">
        <f>IF('Données projet'!$A$62&gt;35,AI51+AH52-AQ51,IF(A52&lt;'Données projet'!$A$62,$AF$205^A52,IF(A52='Données projet'!$A$62,'Données projet'!$B$62,AI51+AH52-AQ51)))</f>
        <v>231.993405</v>
      </c>
      <c r="AJ52" s="13">
        <f>AI52*VLOOKUP('Données projet'!$B$10,Paramètres!$A$1:$I$89,3,0)*VLOOKUP('Données projet'!$B$10,Paramètres!$A$1:$I$89,5,0)</f>
        <v>253.33679825999997</v>
      </c>
      <c r="AK52" s="13">
        <f t="shared" si="35"/>
        <v>61.29991366845536</v>
      </c>
      <c r="AL52" s="20">
        <f t="shared" si="4"/>
        <v>547.9922732753929</v>
      </c>
      <c r="AM52" s="59">
        <f t="shared" si="5"/>
        <v>841.32560660872628</v>
      </c>
      <c r="AN52" s="59">
        <f ca="1">AVERAGE(OFFSET($AM$3,0,0,'Données projet'!$E$10+1,1))-AVERAGE(OFFSET($H$3,0,0,'Données projet'!$E$10+1,1))</f>
        <v>245.5026179711341</v>
      </c>
      <c r="AO52" s="59">
        <f t="shared" si="36"/>
        <v>204.32077840562567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0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2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1">
        <f t="shared" si="32"/>
        <v>9.2780162082062319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66">
        <f t="shared" si="1"/>
        <v>361.56837822929248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0</v>
      </c>
      <c r="O53" s="13">
        <f>N53*VLOOKUP('Données projet'!$B$9,Paramètres!$A$1:$I$89,3,0)*VLOOKUP('Données projet'!$B$9,Paramètres!$A$1:$I$89,5,0)</f>
        <v>0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148.39628895278571</v>
      </c>
      <c r="T53" s="59">
        <f t="shared" si="34"/>
        <v>361.07991692964788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83.115974019777212</v>
      </c>
      <c r="AA53" s="21">
        <f>EXP(-LN(2)/25)*AA52+(1-EXP(-LN(2)/25))/(LN(2)/25)*Calculateur!V53*Calculateur!X53*VLOOKUP('Données projet'!$B$9,Paramètres!$A$1:$I$89,3,0)*0.475*44/12</f>
        <v>8.2575959422468106</v>
      </c>
      <c r="AB53" s="21">
        <f>EXP(-LN(2)/2)*AB52+(1-EXP(-LN(2)/2))/(LN(2)/2)*V53*Y53*VLOOKUP('Données projet'!$B$9,Paramètres!$A$1:$I$89,3,0)*0.475*44/12</f>
        <v>4.3908208986870012E-5</v>
      </c>
      <c r="AC53" s="22">
        <f t="shared" si="3"/>
        <v>91.373613870233001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239.36220000000003</v>
      </c>
      <c r="AG53" s="12">
        <f>VLOOKUP(A53,'Données projet'!$A$61:$I$81,9,0)</f>
        <v>7.3687950000000111</v>
      </c>
      <c r="AH53" s="12">
        <f t="array" ref="AH53">INDEX(AG:AG,MIN(IF(ISNUMBER(AG53:AG249),ROW(AG53:AG249),"")))</f>
        <v>7.3687950000000111</v>
      </c>
      <c r="AI53" s="13">
        <f>IF('Données projet'!$A$62&gt;35,AI52+AH53-AQ52,IF(A53&lt;'Données projet'!$A$62,$AF$205^A53,IF(A53='Données projet'!$A$62,'Données projet'!$B$62,AI52+AH53-AQ52)))</f>
        <v>239.3622</v>
      </c>
      <c r="AJ53" s="13">
        <f>AI53*VLOOKUP('Données projet'!$B$10,Paramètres!$A$1:$I$89,3,0)*VLOOKUP('Données projet'!$B$10,Paramètres!$A$1:$I$89,5,0)</f>
        <v>261.3835224</v>
      </c>
      <c r="AK53" s="13">
        <f t="shared" si="35"/>
        <v>63.017197869960015</v>
      </c>
      <c r="AL53" s="20">
        <f t="shared" si="4"/>
        <v>564.99792113684691</v>
      </c>
      <c r="AM53" s="59">
        <f t="shared" si="5"/>
        <v>858.33125447018028</v>
      </c>
      <c r="AN53" s="59">
        <f ca="1">AVERAGE(OFFSET($AM$3,0,0,'Données projet'!$E$10+1,1))-AVERAGE(OFFSET($H$3,0,0,'Données projet'!$E$10+1,1))</f>
        <v>245.5026179711341</v>
      </c>
      <c r="AO53" s="59">
        <f t="shared" si="36"/>
        <v>204.32077840562567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0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2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1">
        <f t="shared" si="32"/>
        <v>9.4417878655064946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66">
        <f t="shared" si="1"/>
        <v>362.89513053242376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0</v>
      </c>
      <c r="O54" s="13">
        <f>N54*VLOOKUP('Données projet'!$B$9,Paramètres!$A$1:$I$89,3,0)*VLOOKUP('Données projet'!$B$9,Paramètres!$A$1:$I$89,5,0)</f>
        <v>0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148.39628895278571</v>
      </c>
      <c r="T54" s="59">
        <f t="shared" si="34"/>
        <v>361.07991692964788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81.486120464987749</v>
      </c>
      <c r="AA54" s="21">
        <f>EXP(-LN(2)/25)*AA53+(1-EXP(-LN(2)/25))/(LN(2)/25)*Calculateur!V54*Calculateur!X54*VLOOKUP('Données projet'!$B$9,Paramètres!$A$1:$I$89,3,0)*0.475*44/12</f>
        <v>8.0317915469579741</v>
      </c>
      <c r="AB54" s="21">
        <f>EXP(-LN(2)/2)*AB53+(1-EXP(-LN(2)/2))/(LN(2)/2)*V54*Y54*VLOOKUP('Données projet'!$B$9,Paramètres!$A$1:$I$89,3,0)*0.475*44/12</f>
        <v>3.1047792324371893E-5</v>
      </c>
      <c r="AC54" s="22">
        <f t="shared" si="3"/>
        <v>89.517943059738045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8.1883350000000057</v>
      </c>
      <c r="AI54" s="13">
        <f>IF('Données projet'!$A$62&gt;35,AI53+AH54-AQ53,IF(A54&lt;'Données projet'!$A$62,$AF$205^A54,IF(A54='Données projet'!$A$62,'Données projet'!$B$62,AI53+AH54-AQ53)))</f>
        <v>247.550535</v>
      </c>
      <c r="AJ54" s="13">
        <f>AI54*VLOOKUP('Données projet'!$B$10,Paramètres!$A$1:$I$89,3,0)*VLOOKUP('Données projet'!$B$10,Paramètres!$A$1:$I$89,5,0)</f>
        <v>270.32518421999998</v>
      </c>
      <c r="AK54" s="13">
        <f t="shared" si="35"/>
        <v>64.91827675115303</v>
      </c>
      <c r="AL54" s="20">
        <f t="shared" si="4"/>
        <v>583.88236119142482</v>
      </c>
      <c r="AM54" s="59">
        <f t="shared" si="5"/>
        <v>877.21569452475819</v>
      </c>
      <c r="AN54" s="59">
        <f ca="1">AVERAGE(OFFSET($AM$3,0,0,'Données projet'!$E$10+1,1))-AVERAGE(OFFSET($H$3,0,0,'Données projet'!$E$10+1,1))</f>
        <v>245.5026179711341</v>
      </c>
      <c r="AO54" s="59">
        <f t="shared" si="36"/>
        <v>204.32077840562567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0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2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1">
        <f t="shared" si="32"/>
        <v>9.6051861390214377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66">
        <f t="shared" si="1"/>
        <v>364.22123252546226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0</v>
      </c>
      <c r="O55" s="13">
        <f>N55*VLOOKUP('Données projet'!$B$9,Paramètres!$A$1:$I$89,3,0)*VLOOKUP('Données projet'!$B$9,Paramètres!$A$1:$I$89,5,0)</f>
        <v>0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148.39628895278571</v>
      </c>
      <c r="T55" s="59">
        <f t="shared" si="34"/>
        <v>361.07991692964788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79.888227344295188</v>
      </c>
      <c r="AA55" s="21">
        <f>EXP(-LN(2)/25)*AA54+(1-EXP(-LN(2)/25))/(LN(2)/25)*Calculateur!V55*Calculateur!X55*VLOOKUP('Données projet'!$B$9,Paramètres!$A$1:$I$89,3,0)*0.475*44/12</f>
        <v>7.8121617847328482</v>
      </c>
      <c r="AB55" s="21">
        <f>EXP(-LN(2)/2)*AB54+(1-EXP(-LN(2)/2))/(LN(2)/2)*V55*Y55*VLOOKUP('Données projet'!$B$9,Paramètres!$A$1:$I$89,3,0)*0.475*44/12</f>
        <v>2.1954104493435006E-5</v>
      </c>
      <c r="AC55" s="22">
        <f t="shared" si="3"/>
        <v>87.700411083132536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8.1883350000000057</v>
      </c>
      <c r="AI55" s="13">
        <f>IF('Données projet'!$A$62&gt;35,AI54+AH55-AQ54,IF(A55&lt;'Données projet'!$A$62,$AF$205^A55,IF(A55='Données projet'!$A$62,'Données projet'!$B$62,AI54+AH55-AQ54)))</f>
        <v>255.73886999999999</v>
      </c>
      <c r="AJ55" s="13">
        <f>AI55*VLOOKUP('Données projet'!$B$10,Paramètres!$A$1:$I$89,3,0)*VLOOKUP('Données projet'!$B$10,Paramètres!$A$1:$I$89,5,0)</f>
        <v>279.26684603999996</v>
      </c>
      <c r="AK55" s="13">
        <f t="shared" si="35"/>
        <v>66.812048739665826</v>
      </c>
      <c r="AL55" s="20">
        <f t="shared" si="4"/>
        <v>602.75407507458453</v>
      </c>
      <c r="AM55" s="59">
        <f t="shared" si="5"/>
        <v>896.08740840791779</v>
      </c>
      <c r="AN55" s="59">
        <f ca="1">AVERAGE(OFFSET($AM$3,0,0,'Données projet'!$E$10+1,1))-AVERAGE(OFFSET($H$3,0,0,'Données projet'!$E$10+1,1))</f>
        <v>245.5026179711341</v>
      </c>
      <c r="AO55" s="59">
        <f t="shared" si="36"/>
        <v>204.32077840562567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0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2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1">
        <f t="shared" si="32"/>
        <v>9.768219037044215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66">
        <f t="shared" si="1"/>
        <v>365.54669815618524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0</v>
      </c>
      <c r="O56" s="13">
        <f>N56*VLOOKUP('Données projet'!$B$9,Paramètres!$A$1:$I$89,3,0)*VLOOKUP('Données projet'!$B$9,Paramètres!$A$1:$I$89,5,0)</f>
        <v>0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148.39628895278571</v>
      </c>
      <c r="T56" s="59">
        <f t="shared" si="34"/>
        <v>361.07991692964788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78.321667933080846</v>
      </c>
      <c r="AA56" s="21">
        <f>EXP(-LN(2)/25)*AA55+(1-EXP(-LN(2)/25))/(LN(2)/25)*Calculateur!V56*Calculateur!X56*VLOOKUP('Données projet'!$B$9,Paramètres!$A$1:$I$89,3,0)*0.475*44/12</f>
        <v>7.5985378099055954</v>
      </c>
      <c r="AB56" s="21">
        <f>EXP(-LN(2)/2)*AB55+(1-EXP(-LN(2)/2))/(LN(2)/2)*V56*Y56*VLOOKUP('Données projet'!$B$9,Paramètres!$A$1:$I$89,3,0)*0.475*44/12</f>
        <v>1.5523896162185947E-5</v>
      </c>
      <c r="AC56" s="22">
        <f t="shared" si="3"/>
        <v>85.920221266882606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8.1883350000000057</v>
      </c>
      <c r="AI56" s="13">
        <f>IF('Données projet'!$A$62&gt;35,AI55+AH56-AQ55,IF(A56&lt;'Données projet'!$A$62,$AF$205^A56,IF(A56='Données projet'!$A$62,'Données projet'!$B$62,AI55+AH56-AQ55)))</f>
        <v>263.92720500000001</v>
      </c>
      <c r="AJ56" s="13">
        <f>AI56*VLOOKUP('Données projet'!$B$10,Paramètres!$A$1:$I$89,3,0)*VLOOKUP('Données projet'!$B$10,Paramètres!$A$1:$I$89,5,0)</f>
        <v>288.20850786</v>
      </c>
      <c r="AK56" s="13">
        <f t="shared" si="35"/>
        <v>68.698774626754101</v>
      </c>
      <c r="AL56" s="20">
        <f t="shared" si="4"/>
        <v>621.61351699776333</v>
      </c>
      <c r="AM56" s="59">
        <f t="shared" si="5"/>
        <v>914.94685033109658</v>
      </c>
      <c r="AN56" s="59">
        <f ca="1">AVERAGE(OFFSET($AM$3,0,0,'Données projet'!$E$10+1,1))-AVERAGE(OFFSET($H$3,0,0,'Données projet'!$E$10+1,1))</f>
        <v>245.5026179711341</v>
      </c>
      <c r="AO56" s="59">
        <f t="shared" si="36"/>
        <v>204.32077840562567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0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2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1">
        <f t="shared" si="32"/>
        <v>9.9308942483743348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66">
        <f t="shared" si="1"/>
        <v>366.87154081591859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0</v>
      </c>
      <c r="O57" s="13">
        <f>N57*VLOOKUP('Données projet'!$B$9,Paramètres!$A$1:$I$89,3,0)*VLOOKUP('Données projet'!$B$9,Paramètres!$A$1:$I$89,5,0)</f>
        <v>0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148.39628895278571</v>
      </c>
      <c r="T57" s="59">
        <f t="shared" si="34"/>
        <v>361.07991692964788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76.785827796413528</v>
      </c>
      <c r="AA57" s="21">
        <f>EXP(-LN(2)/25)*AA56+(1-EXP(-LN(2)/25))/(LN(2)/25)*Calculateur!V57*Calculateur!X57*VLOOKUP('Données projet'!$B$9,Paramètres!$A$1:$I$89,3,0)*0.475*44/12</f>
        <v>7.3907553939039898</v>
      </c>
      <c r="AB57" s="21">
        <f>EXP(-LN(2)/2)*AB56+(1-EXP(-LN(2)/2))/(LN(2)/2)*V57*Y57*VLOOKUP('Données projet'!$B$9,Paramètres!$A$1:$I$89,3,0)*0.475*44/12</f>
        <v>1.0977052246717503E-5</v>
      </c>
      <c r="AC57" s="22">
        <f t="shared" si="3"/>
        <v>84.176594167369757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8.1883350000000057</v>
      </c>
      <c r="AI57" s="13">
        <f>IF('Données projet'!$A$62&gt;35,AI56+AH57-AQ56,IF(A57&lt;'Données projet'!$A$62,$AF$205^A57,IF(A57='Données projet'!$A$62,'Données projet'!$B$62,AI56+AH57-AQ56)))</f>
        <v>272.11554000000001</v>
      </c>
      <c r="AJ57" s="13">
        <f>AI57*VLOOKUP('Données projet'!$B$10,Paramètres!$A$1:$I$89,3,0)*VLOOKUP('Données projet'!$B$10,Paramètres!$A$1:$I$89,5,0)</f>
        <v>297.15016967999998</v>
      </c>
      <c r="AK57" s="13">
        <f t="shared" si="35"/>
        <v>70.578698102351908</v>
      </c>
      <c r="AL57" s="20">
        <f t="shared" si="4"/>
        <v>640.46111138759613</v>
      </c>
      <c r="AM57" s="59">
        <f t="shared" si="5"/>
        <v>933.7944447209295</v>
      </c>
      <c r="AN57" s="59">
        <f ca="1">AVERAGE(OFFSET($AM$3,0,0,'Données projet'!$E$10+1,1))-AVERAGE(OFFSET($H$3,0,0,'Données projet'!$E$10+1,1))</f>
        <v>245.5026179711341</v>
      </c>
      <c r="AO57" s="59">
        <f t="shared" si="36"/>
        <v>204.32077840562567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0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2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1">
        <f t="shared" si="32"/>
        <v>10.093219160740317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66">
        <f t="shared" si="1"/>
        <v>368.19577337162264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0</v>
      </c>
      <c r="O58" s="13">
        <f>N58*VLOOKUP('Données projet'!$B$9,Paramètres!$A$1:$I$89,3,0)*VLOOKUP('Données projet'!$B$9,Paramètres!$A$1:$I$89,5,0)</f>
        <v>0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148.39628895278571</v>
      </c>
      <c r="T58" s="59">
        <f t="shared" si="34"/>
        <v>361.07991692964788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75.280104548056272</v>
      </c>
      <c r="AA58" s="21">
        <f>EXP(-LN(2)/25)*AA57+(1-EXP(-LN(2)/25))/(LN(2)/25)*Calculateur!V58*Calculateur!X58*VLOOKUP('Données projet'!$B$9,Paramètres!$A$1:$I$89,3,0)*0.475*44/12</f>
        <v>7.1886547989947509</v>
      </c>
      <c r="AB58" s="21">
        <f>EXP(-LN(2)/2)*AB57+(1-EXP(-LN(2)/2))/(LN(2)/2)*V58*Y58*VLOOKUP('Données projet'!$B$9,Paramètres!$A$1:$I$89,3,0)*0.475*44/12</f>
        <v>7.7619480810929733E-6</v>
      </c>
      <c r="AC58" s="22">
        <f t="shared" si="3"/>
        <v>82.468767108999103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280.30387500000006</v>
      </c>
      <c r="AG58" s="12">
        <f>VLOOKUP(A58,'Données projet'!$A$61:$I$81,9,0)</f>
        <v>8.1883350000000057</v>
      </c>
      <c r="AH58" s="12">
        <f t="array" ref="AH58">INDEX(AG:AG,MIN(IF(ISNUMBER(AG58:AG254),ROW(AG58:AG254),"")))</f>
        <v>8.1883350000000057</v>
      </c>
      <c r="AI58" s="13">
        <f>IF('Données projet'!$A$62&gt;35,AI57+AH58-AQ57,IF(A58&lt;'Données projet'!$A$62,$AF$205^A58,IF(A58='Données projet'!$A$62,'Données projet'!$B$62,AI57+AH58-AQ57)))</f>
        <v>280.30387500000001</v>
      </c>
      <c r="AJ58" s="13">
        <f>AI58*VLOOKUP('Données projet'!$B$10,Paramètres!$A$1:$I$89,3,0)*VLOOKUP('Données projet'!$B$10,Paramètres!$A$1:$I$89,5,0)</f>
        <v>306.09183149999996</v>
      </c>
      <c r="AK58" s="13">
        <f t="shared" si="35"/>
        <v>72.452047356957053</v>
      </c>
      <c r="AL58" s="20">
        <f t="shared" si="4"/>
        <v>659.29725567586672</v>
      </c>
      <c r="AM58" s="59">
        <f t="shared" si="5"/>
        <v>952.63058900920009</v>
      </c>
      <c r="AN58" s="59">
        <f ca="1">AVERAGE(OFFSET($AM$3,0,0,'Données projet'!$E$10+1,1))-AVERAGE(OFFSET($H$3,0,0,'Données projet'!$E$10+1,1))</f>
        <v>245.5026179711341</v>
      </c>
      <c r="AO58" s="59">
        <f t="shared" si="36"/>
        <v>204.32077840562567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0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2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1">
        <f t="shared" si="32"/>
        <v>10.255200877844658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66">
        <f t="shared" si="1"/>
        <v>369.51940819557939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0</v>
      </c>
      <c r="O59" s="13">
        <f>N59*VLOOKUP('Données projet'!$B$9,Paramètres!$A$1:$I$89,3,0)*VLOOKUP('Données projet'!$B$9,Paramètres!$A$1:$I$89,5,0)</f>
        <v>0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148.39628895278571</v>
      </c>
      <c r="T59" s="59">
        <f t="shared" si="34"/>
        <v>361.07991692964788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73.803907614198806</v>
      </c>
      <c r="AA59" s="21">
        <f>EXP(-LN(2)/25)*AA58+(1-EXP(-LN(2)/25))/(LN(2)/25)*Calculateur!V59*Calculateur!X59*VLOOKUP('Données projet'!$B$9,Paramètres!$A$1:$I$89,3,0)*0.475*44/12</f>
        <v>6.9920806554813133</v>
      </c>
      <c r="AB59" s="21">
        <f>EXP(-LN(2)/2)*AB58+(1-EXP(-LN(2)/2))/(LN(2)/2)*V59*Y59*VLOOKUP('Données projet'!$B$9,Paramètres!$A$1:$I$89,3,0)*0.475*44/12</f>
        <v>5.4885261233587515E-6</v>
      </c>
      <c r="AC59" s="22">
        <f t="shared" si="3"/>
        <v>80.795993758206251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9.0502649999999907</v>
      </c>
      <c r="AI59" s="13">
        <f>IF('Données projet'!$A$62&gt;35,AI58+AH59-AQ58,IF(A59&lt;'Données projet'!$A$62,$AF$205^A59,IF(A59='Données projet'!$A$62,'Données projet'!$B$62,AI58+AH59-AQ58)))</f>
        <v>289.35413999999997</v>
      </c>
      <c r="AJ59" s="13">
        <f>AI59*VLOOKUP('Données projet'!$B$10,Paramètres!$A$1:$I$89,3,0)*VLOOKUP('Données projet'!$B$10,Paramètres!$A$1:$I$89,5,0)</f>
        <v>315.97472087999995</v>
      </c>
      <c r="AK59" s="13">
        <f t="shared" si="35"/>
        <v>74.515200010288709</v>
      </c>
      <c r="AL59" s="20">
        <f t="shared" si="4"/>
        <v>680.1032788839193</v>
      </c>
      <c r="AM59" s="59">
        <f t="shared" si="5"/>
        <v>973.43661221725256</v>
      </c>
      <c r="AN59" s="59">
        <f ca="1">AVERAGE(OFFSET($AM$3,0,0,'Données projet'!$E$10+1,1))-AVERAGE(OFFSET($H$3,0,0,'Données projet'!$E$10+1,1))</f>
        <v>245.5026179711341</v>
      </c>
      <c r="AO59" s="59">
        <f t="shared" si="36"/>
        <v>204.32077840562567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0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2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1">
        <f t="shared" si="32"/>
        <v>10.41684623515679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66">
        <f t="shared" si="1"/>
        <v>370.842457192898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0</v>
      </c>
      <c r="O60" s="13">
        <f>N60*VLOOKUP('Données projet'!$B$9,Paramètres!$A$1:$I$89,3,0)*VLOOKUP('Données projet'!$B$9,Paramètres!$A$1:$I$89,5,0)</f>
        <v>0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148.39628895278571</v>
      </c>
      <c r="T60" s="59">
        <f t="shared" si="34"/>
        <v>361.07991692964788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72.356658001823064</v>
      </c>
      <c r="AA60" s="21">
        <f>EXP(-LN(2)/25)*AA59+(1-EXP(-LN(2)/25))/(LN(2)/25)*Calculateur!V60*Calculateur!X60*VLOOKUP('Données projet'!$B$9,Paramètres!$A$1:$I$89,3,0)*0.475*44/12</f>
        <v>6.8008818422596358</v>
      </c>
      <c r="AB60" s="21">
        <f>EXP(-LN(2)/2)*AB59+(1-EXP(-LN(2)/2))/(LN(2)/2)*V60*Y60*VLOOKUP('Données projet'!$B$9,Paramètres!$A$1:$I$89,3,0)*0.475*44/12</f>
        <v>3.8809740405464866E-6</v>
      </c>
      <c r="AC60" s="22">
        <f t="shared" si="3"/>
        <v>79.15754372505674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9.0502649999999907</v>
      </c>
      <c r="AI60" s="13">
        <f>IF('Données projet'!$A$62&gt;35,AI59+AH60-AQ59,IF(A60&lt;'Données projet'!$A$62,$AF$205^A60,IF(A60='Données projet'!$A$62,'Données projet'!$B$62,AI59+AH60-AQ59)))</f>
        <v>298.40440499999994</v>
      </c>
      <c r="AJ60" s="13">
        <f>AI60*VLOOKUP('Données projet'!$B$10,Paramètres!$A$1:$I$89,3,0)*VLOOKUP('Données projet'!$B$10,Paramètres!$A$1:$I$89,5,0)</f>
        <v>325.85761025999994</v>
      </c>
      <c r="AK60" s="13">
        <f t="shared" si="35"/>
        <v>76.570853714097822</v>
      </c>
      <c r="AL60" s="20">
        <f t="shared" si="4"/>
        <v>700.89624142155355</v>
      </c>
      <c r="AM60" s="59">
        <f t="shared" si="5"/>
        <v>994.22957475488693</v>
      </c>
      <c r="AN60" s="59">
        <f ca="1">AVERAGE(OFFSET($AM$3,0,0,'Données projet'!$E$10+1,1))-AVERAGE(OFFSET($H$3,0,0,'Données projet'!$E$10+1,1))</f>
        <v>245.5026179711341</v>
      </c>
      <c r="AO60" s="59">
        <f t="shared" si="36"/>
        <v>204.32077840562567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0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2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1">
        <f t="shared" si="32"/>
        <v>10.578161814566396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66">
        <f t="shared" si="1"/>
        <v>372.16493182703641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0</v>
      </c>
      <c r="O61" s="13">
        <f>N61*VLOOKUP('Données projet'!$B$9,Paramètres!$A$1:$I$89,3,0)*VLOOKUP('Données projet'!$B$9,Paramètres!$A$1:$I$89,5,0)</f>
        <v>0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148.39628895278571</v>
      </c>
      <c r="T61" s="59">
        <f t="shared" si="34"/>
        <v>361.07991692964788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70.937788071610896</v>
      </c>
      <c r="AA61" s="21">
        <f>EXP(-LN(2)/25)*AA60+(1-EXP(-LN(2)/25))/(LN(2)/25)*Calculateur!V61*Calculateur!X61*VLOOKUP('Données projet'!$B$9,Paramètres!$A$1:$I$89,3,0)*0.475*44/12</f>
        <v>6.6149113706402138</v>
      </c>
      <c r="AB61" s="21">
        <f>EXP(-LN(2)/2)*AB60+(1-EXP(-LN(2)/2))/(LN(2)/2)*V61*Y61*VLOOKUP('Données projet'!$B$9,Paramètres!$A$1:$I$89,3,0)*0.475*44/12</f>
        <v>2.7442630616793758E-6</v>
      </c>
      <c r="AC61" s="22">
        <f t="shared" si="3"/>
        <v>77.552702186514168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9.0502649999999907</v>
      </c>
      <c r="AI61" s="13">
        <f>IF('Données projet'!$A$62&gt;35,AI60+AH61-AQ60,IF(A61&lt;'Données projet'!$A$62,$AF$205^A61,IF(A61='Données projet'!$A$62,'Données projet'!$B$62,AI60+AH61-AQ60)))</f>
        <v>307.45466999999991</v>
      </c>
      <c r="AJ61" s="13">
        <f>AI61*VLOOKUP('Données projet'!$B$10,Paramètres!$A$1:$I$89,3,0)*VLOOKUP('Données projet'!$B$10,Paramètres!$A$1:$I$89,5,0)</f>
        <v>335.74049963999994</v>
      </c>
      <c r="AK61" s="13">
        <f t="shared" si="35"/>
        <v>78.619262007527524</v>
      </c>
      <c r="AL61" s="20">
        <f t="shared" si="4"/>
        <v>721.67658486944367</v>
      </c>
      <c r="AM61" s="59">
        <f t="shared" si="5"/>
        <v>1015.009918202777</v>
      </c>
      <c r="AN61" s="59">
        <f ca="1">AVERAGE(OFFSET($AM$3,0,0,'Données projet'!$E$10+1,1))-AVERAGE(OFFSET($H$3,0,0,'Données projet'!$E$10+1,1))</f>
        <v>245.5026179711341</v>
      </c>
      <c r="AO61" s="59">
        <f t="shared" si="36"/>
        <v>204.32077840562567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0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0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2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1">
        <f t="shared" si="32"/>
        <v>10.739153957997569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66">
        <f t="shared" si="1"/>
        <v>373.48684314351237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0</v>
      </c>
      <c r="O62" s="13">
        <f>N62*VLOOKUP('Données projet'!$B$9,Paramètres!$A$1:$I$89,3,0)*VLOOKUP('Données projet'!$B$9,Paramètres!$A$1:$I$89,5,0)</f>
        <v>0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148.39628895278571</v>
      </c>
      <c r="T62" s="59">
        <f t="shared" si="34"/>
        <v>361.07991692964788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69.546741315304999</v>
      </c>
      <c r="AA62" s="21">
        <f>EXP(-LN(2)/25)*AA61+(1-EXP(-LN(2)/25))/(LN(2)/25)*Calculateur!V62*Calculateur!X62*VLOOKUP('Données projet'!$B$9,Paramètres!$A$1:$I$89,3,0)*0.475*44/12</f>
        <v>6.4340262713469869</v>
      </c>
      <c r="AB62" s="21">
        <f>EXP(-LN(2)/2)*AB61+(1-EXP(-LN(2)/2))/(LN(2)/2)*V62*Y62*VLOOKUP('Données projet'!$B$9,Paramètres!$A$1:$I$89,3,0)*0.475*44/12</f>
        <v>1.9404870202732433E-6</v>
      </c>
      <c r="AC62" s="22">
        <f t="shared" si="3"/>
        <v>75.980769527139003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9.0502649999999907</v>
      </c>
      <c r="AI62" s="13">
        <f>IF('Données projet'!$A$62&gt;35,AI61+AH62-AQ61,IF(A62&lt;'Données projet'!$A$62,$AF$205^A62,IF(A62='Données projet'!$A$62,'Données projet'!$B$62,AI61+AH62-AQ61)))</f>
        <v>316.50493499999988</v>
      </c>
      <c r="AJ62" s="13">
        <f>AI62*VLOOKUP('Données projet'!$B$10,Paramètres!$A$1:$I$89,3,0)*VLOOKUP('Données projet'!$B$10,Paramètres!$A$1:$I$89,5,0)</f>
        <v>345.62338901999988</v>
      </c>
      <c r="AK62" s="13">
        <f t="shared" si="35"/>
        <v>80.660662654729023</v>
      </c>
      <c r="AL62" s="20">
        <f t="shared" si="4"/>
        <v>742.44472333348619</v>
      </c>
      <c r="AM62" s="59">
        <f t="shared" si="5"/>
        <v>1035.7780566668196</v>
      </c>
      <c r="AN62" s="59">
        <f ca="1">AVERAGE(OFFSET($AM$3,0,0,'Données projet'!$E$10+1,1))-AVERAGE(OFFSET($H$3,0,0,'Données projet'!$E$10+1,1))</f>
        <v>245.5026179711341</v>
      </c>
      <c r="AO62" s="59">
        <f t="shared" si="36"/>
        <v>204.32077840562567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0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0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2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1">
        <f t="shared" si="32"/>
        <v>10.89982878007377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66">
        <f t="shared" si="1"/>
        <v>374.80820179196172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0</v>
      </c>
      <c r="O63" s="13">
        <f>N63*VLOOKUP('Données projet'!$B$9,Paramètres!$A$1:$I$89,3,0)*VLOOKUP('Données projet'!$B$9,Paramètres!$A$1:$I$89,5,0)</f>
        <v>0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148.39628895278571</v>
      </c>
      <c r="T63" s="59">
        <f t="shared" si="34"/>
        <v>361.07991692964788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68.182972137435513</v>
      </c>
      <c r="AA63" s="21">
        <f>EXP(-LN(2)/25)*AA62+(1-EXP(-LN(2)/25))/(LN(2)/25)*Calculateur!V63*Calculateur!X63*VLOOKUP('Données projet'!$B$9,Paramètres!$A$1:$I$89,3,0)*0.475*44/12</f>
        <v>6.2580874846062668</v>
      </c>
      <c r="AB63" s="21">
        <f>EXP(-LN(2)/2)*AB62+(1-EXP(-LN(2)/2))/(LN(2)/2)*V63*Y63*VLOOKUP('Données projet'!$B$9,Paramètres!$A$1:$I$89,3,0)*0.475*44/12</f>
        <v>1.3721315308396879E-6</v>
      </c>
      <c r="AC63" s="22">
        <f t="shared" si="3"/>
        <v>74.441060994173313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325.55520000000001</v>
      </c>
      <c r="AG63" s="12">
        <f>VLOOKUP(A63,'Données projet'!$A$61:$I$81,9,0)</f>
        <v>9.0502649999999907</v>
      </c>
      <c r="AH63" s="12">
        <f t="array" ref="AH63">INDEX(AG:AG,MIN(IF(ISNUMBER(AG63:AG259),ROW(AG63:AG259),"")))</f>
        <v>9.0502649999999907</v>
      </c>
      <c r="AI63" s="13">
        <f>IF('Données projet'!$A$62&gt;35,AI62+AH63-AQ62,IF(A63&lt;'Données projet'!$A$62,$AF$205^A63,IF(A63='Données projet'!$A$62,'Données projet'!$B$62,AI62+AH63-AQ62)))</f>
        <v>325.55519999999984</v>
      </c>
      <c r="AJ63" s="13">
        <f>AI63*VLOOKUP('Données projet'!$B$10,Paramètres!$A$1:$I$89,3,0)*VLOOKUP('Données projet'!$B$10,Paramètres!$A$1:$I$89,5,0)</f>
        <v>355.50627839999981</v>
      </c>
      <c r="AK63" s="13">
        <f t="shared" si="35"/>
        <v>82.695279049034994</v>
      </c>
      <c r="AL63" s="20">
        <f t="shared" si="4"/>
        <v>763.20104589040227</v>
      </c>
      <c r="AM63" s="59">
        <f t="shared" si="5"/>
        <v>1056.5343792237356</v>
      </c>
      <c r="AN63" s="59">
        <f ca="1">AVERAGE(OFFSET($AM$3,0,0,'Données projet'!$E$10+1,1))-AVERAGE(OFFSET($H$3,0,0,'Données projet'!$E$10+1,1))</f>
        <v>245.5026179711341</v>
      </c>
      <c r="AO63" s="59">
        <f t="shared" si="36"/>
        <v>204.32077840562567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0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0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2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1">
        <f t="shared" si="32"/>
        <v>11.060192179914555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66">
        <f t="shared" si="1"/>
        <v>376.12901804668445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0</v>
      </c>
      <c r="O64" s="13">
        <f>N64*VLOOKUP('Données projet'!$B$9,Paramètres!$A$1:$I$89,3,0)*VLOOKUP('Données projet'!$B$9,Paramètres!$A$1:$I$89,5,0)</f>
        <v>0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148.39628895278571</v>
      </c>
      <c r="T64" s="59">
        <f t="shared" si="34"/>
        <v>361.07991692964788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66.845945641326978</v>
      </c>
      <c r="AA64" s="21">
        <f>EXP(-LN(2)/25)*AA63+(1-EXP(-LN(2)/25))/(LN(2)/25)*Calculateur!V64*Calculateur!X64*VLOOKUP('Données projet'!$B$9,Paramètres!$A$1:$I$89,3,0)*0.475*44/12</f>
        <v>6.0869597532411905</v>
      </c>
      <c r="AB64" s="21">
        <f>EXP(-LN(2)/2)*AB63+(1-EXP(-LN(2)/2))/(LN(2)/2)*V64*Y64*VLOOKUP('Données projet'!$B$9,Paramètres!$A$1:$I$89,3,0)*0.475*44/12</f>
        <v>9.7024351013662166E-7</v>
      </c>
      <c r="AC64" s="22">
        <f t="shared" si="3"/>
        <v>72.932906364811672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325.55519999999984</v>
      </c>
      <c r="AJ64" s="13">
        <f>AI64*VLOOKUP('Données projet'!$B$10,Paramètres!$A$1:$I$89,3,0)*VLOOKUP('Données projet'!$B$10,Paramètres!$A$1:$I$89,5,0)</f>
        <v>355.50627839999981</v>
      </c>
      <c r="AK64" s="13">
        <f t="shared" si="35"/>
        <v>82.695279049034994</v>
      </c>
      <c r="AL64" s="20">
        <f t="shared" si="4"/>
        <v>763.20104589040227</v>
      </c>
      <c r="AM64" s="59">
        <f t="shared" si="5"/>
        <v>1056.5343792237356</v>
      </c>
      <c r="AN64" s="59">
        <f ca="1">AVERAGE(OFFSET($AM$3,0,0,'Données projet'!$E$10+1,1))-AVERAGE(OFFSET($H$3,0,0,'Données projet'!$E$10+1,1))</f>
        <v>245.5026179711341</v>
      </c>
      <c r="AO64" s="59">
        <f t="shared" si="36"/>
        <v>204.32077840562567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0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0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2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1">
        <f t="shared" si="32"/>
        <v>11.220249852136822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66">
        <f t="shared" si="1"/>
        <v>377.44930182580492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0</v>
      </c>
      <c r="O65" s="13">
        <f>N65*VLOOKUP('Données projet'!$B$9,Paramètres!$A$1:$I$89,3,0)*VLOOKUP('Données projet'!$B$9,Paramètres!$A$1:$I$89,5,0)</f>
        <v>0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148.39628895278571</v>
      </c>
      <c r="T65" s="59">
        <f t="shared" si="34"/>
        <v>361.07991692964788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65.535137419301492</v>
      </c>
      <c r="AA65" s="21">
        <f>EXP(-LN(2)/25)*AA64+(1-EXP(-LN(2)/25))/(LN(2)/25)*Calculateur!V65*Calculateur!X65*VLOOKUP('Données projet'!$B$9,Paramètres!$A$1:$I$89,3,0)*0.475*44/12</f>
        <v>5.9205115186895085</v>
      </c>
      <c r="AB65" s="21">
        <f>EXP(-LN(2)/2)*AB64+(1-EXP(-LN(2)/2))/(LN(2)/2)*V65*Y65*VLOOKUP('Données projet'!$B$9,Paramètres!$A$1:$I$89,3,0)*0.475*44/12</f>
        <v>6.8606576541984394E-7</v>
      </c>
      <c r="AC65" s="22">
        <f t="shared" si="3"/>
        <v>71.455649624056761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325.55519999999984</v>
      </c>
      <c r="AJ65" s="13">
        <f>AI65*VLOOKUP('Données projet'!$B$10,Paramètres!$A$1:$I$89,3,0)*VLOOKUP('Données projet'!$B$10,Paramètres!$A$1:$I$89,5,0)</f>
        <v>355.50627839999981</v>
      </c>
      <c r="AK65" s="13">
        <f t="shared" si="35"/>
        <v>82.695279049034994</v>
      </c>
      <c r="AL65" s="20">
        <f t="shared" si="4"/>
        <v>763.20104589040227</v>
      </c>
      <c r="AM65" s="59">
        <f t="shared" si="5"/>
        <v>1056.5343792237356</v>
      </c>
      <c r="AN65" s="59">
        <f ca="1">AVERAGE(OFFSET($AM$3,0,0,'Données projet'!$E$10+1,1))-AVERAGE(OFFSET($H$3,0,0,'Données projet'!$E$10+1,1))</f>
        <v>245.5026179711341</v>
      </c>
      <c r="AO65" s="59">
        <f t="shared" si="36"/>
        <v>204.32077840562567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0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0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2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1">
        <f t="shared" si="32"/>
        <v>11.380007297126165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66">
        <f t="shared" si="1"/>
        <v>378.76906270916135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>
        <f>N66*VLOOKUP('Données projet'!$B$9,Paramètres!$A$1:$I$89,3,0)*VLOOKUP('Données projet'!$B$9,Paramètres!$A$1:$I$89,5,0)</f>
        <v>0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148.39628895278571</v>
      </c>
      <c r="T66" s="59">
        <f t="shared" si="34"/>
        <v>361.07991692964788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64.250033346995863</v>
      </c>
      <c r="AA66" s="21">
        <f>EXP(-LN(2)/25)*AA65+(1-EXP(-LN(2)/25))/(LN(2)/25)*Calculateur!V66*Calculateur!X66*VLOOKUP('Données projet'!$B$9,Paramètres!$A$1:$I$89,3,0)*0.475*44/12</f>
        <v>5.7586148198647749</v>
      </c>
      <c r="AB66" s="21">
        <f>EXP(-LN(2)/2)*AB65+(1-EXP(-LN(2)/2))/(LN(2)/2)*V66*Y66*VLOOKUP('Données projet'!$B$9,Paramètres!$A$1:$I$89,3,0)*0.475*44/12</f>
        <v>4.8512175506831083E-7</v>
      </c>
      <c r="AC66" s="22">
        <f t="shared" si="3"/>
        <v>70.008648651982398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325.55519999999984</v>
      </c>
      <c r="AJ66" s="13">
        <f>AI66*VLOOKUP('Données projet'!$B$10,Paramètres!$A$1:$I$89,3,0)*VLOOKUP('Données projet'!$B$10,Paramètres!$A$1:$I$89,5,0)</f>
        <v>355.50627839999981</v>
      </c>
      <c r="AK66" s="13">
        <f t="shared" si="35"/>
        <v>82.695279049034994</v>
      </c>
      <c r="AL66" s="20">
        <f t="shared" si="4"/>
        <v>763.20104589040227</v>
      </c>
      <c r="AM66" s="59">
        <f t="shared" si="5"/>
        <v>1056.5343792237356</v>
      </c>
      <c r="AN66" s="59">
        <f ca="1">AVERAGE(OFFSET($AM$3,0,0,'Données projet'!$E$10+1,1))-AVERAGE(OFFSET($H$3,0,0,'Données projet'!$E$10+1,1))</f>
        <v>245.5026179711341</v>
      </c>
      <c r="AO66" s="59">
        <f t="shared" si="36"/>
        <v>204.32077840562567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0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0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2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1">
        <f t="shared" si="32"/>
        <v>11.539469830637575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66">
        <f t="shared" si="1"/>
        <v>380.08830995502706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>
        <f>N67*VLOOKUP('Données projet'!$B$9,Paramètres!$A$1:$I$89,3,0)*VLOOKUP('Données projet'!$B$9,Paramètres!$A$1:$I$89,5,0)</f>
        <v>0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148.39628895278571</v>
      </c>
      <c r="T67" s="59">
        <f t="shared" si="34"/>
        <v>361.07991692964788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62.990129381712059</v>
      </c>
      <c r="AA67" s="21">
        <f>EXP(-LN(2)/25)*AA66+(1-EXP(-LN(2)/25))/(LN(2)/25)*Calculateur!V67*Calculateur!X67*VLOOKUP('Données projet'!$B$9,Paramètres!$A$1:$I$89,3,0)*0.475*44/12</f>
        <v>5.6011451947831805</v>
      </c>
      <c r="AB67" s="21">
        <f>EXP(-LN(2)/2)*AB66+(1-EXP(-LN(2)/2))/(LN(2)/2)*V67*Y67*VLOOKUP('Données projet'!$B$9,Paramètres!$A$1:$I$89,3,0)*0.475*44/12</f>
        <v>3.4303288270992197E-7</v>
      </c>
      <c r="AC67" s="22">
        <f t="shared" si="3"/>
        <v>68.591274919528118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325.55519999999984</v>
      </c>
      <c r="AJ67" s="13">
        <f>AI67*VLOOKUP('Données projet'!$B$10,Paramètres!$A$1:$I$89,3,0)*VLOOKUP('Données projet'!$B$10,Paramètres!$A$1:$I$89,5,0)</f>
        <v>355.50627839999981</v>
      </c>
      <c r="AK67" s="13">
        <f t="shared" si="35"/>
        <v>82.695279049034994</v>
      </c>
      <c r="AL67" s="20">
        <f t="shared" si="4"/>
        <v>763.20104589040227</v>
      </c>
      <c r="AM67" s="59">
        <f t="shared" si="5"/>
        <v>1056.5343792237356</v>
      </c>
      <c r="AN67" s="59">
        <f ca="1">AVERAGE(OFFSET($AM$3,0,0,'Données projet'!$E$10+1,1))-AVERAGE(OFFSET($H$3,0,0,'Données projet'!$E$10+1,1))</f>
        <v>245.5026179711341</v>
      </c>
      <c r="AO67" s="59">
        <f t="shared" si="36"/>
        <v>204.32077840562567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0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0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2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1">
        <f t="shared" si="32"/>
        <v>11.698642592779086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66">
        <f t="shared" ref="H68:H131" si="56">(B68+E68+F68)*44/12+(C68+D68)*0.475*44/12</f>
        <v>381.40705251575685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>
        <f>N68*VLOOKUP('Données projet'!$B$9,Paramètres!$A$1:$I$89,3,0)*VLOOKUP('Données projet'!$B$9,Paramètres!$A$1:$I$89,5,0)</f>
        <v>0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148.39628895278571</v>
      </c>
      <c r="T68" s="59">
        <f t="shared" si="34"/>
        <v>361.07991692964788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61.754931364721934</v>
      </c>
      <c r="AA68" s="21">
        <f>EXP(-LN(2)/25)*AA67+(1-EXP(-LN(2)/25))/(LN(2)/25)*Calculateur!V68*Calculateur!X68*VLOOKUP('Données projet'!$B$9,Paramètres!$A$1:$I$89,3,0)*0.475*44/12</f>
        <v>5.4479815848804103</v>
      </c>
      <c r="AB68" s="21">
        <f>EXP(-LN(2)/2)*AB67+(1-EXP(-LN(2)/2))/(LN(2)/2)*V68*Y68*VLOOKUP('Données projet'!$B$9,Paramètres!$A$1:$I$89,3,0)*0.475*44/12</f>
        <v>2.4256087753415542E-7</v>
      </c>
      <c r="AC68" s="22">
        <f t="shared" ref="AC68:AC131" si="57">SUM(Z68:AB68)</f>
        <v>67.202913192163223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325.55519999999984</v>
      </c>
      <c r="AJ68" s="13">
        <f>AI68*VLOOKUP('Données projet'!$B$10,Paramètres!$A$1:$I$89,3,0)*VLOOKUP('Données projet'!$B$10,Paramètres!$A$1:$I$89,5,0)</f>
        <v>355.50627839999981</v>
      </c>
      <c r="AK68" s="13">
        <f t="shared" si="35"/>
        <v>82.695279049034994</v>
      </c>
      <c r="AL68" s="20">
        <f t="shared" ref="AL68:AL131" si="58">(AJ68+AK68)*0.475*44/12</f>
        <v>763.20104589040227</v>
      </c>
      <c r="AM68" s="59">
        <f t="shared" ref="AM68:AM131" si="59">AL68+(AD68+AE68)*44/12</f>
        <v>1056.5343792237356</v>
      </c>
      <c r="AN68" s="59">
        <f ca="1">AVERAGE(OFFSET($AM$3,0,0,'Données projet'!$E$10+1,1))-AVERAGE(OFFSET($H$3,0,0,'Données projet'!$E$10+1,1))</f>
        <v>245.5026179711341</v>
      </c>
      <c r="AO68" s="59">
        <f t="shared" si="36"/>
        <v>204.32077840562567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0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0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2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1">
        <f t="shared" ref="D69:D132" si="86">IFERROR(EXP(-1.0587+0.8836*LN(C69)+0.284),0)</f>
        <v>11.857530556426889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66">
        <f t="shared" si="56"/>
        <v>382.7252990524434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>
        <f>N69*VLOOKUP('Données projet'!$B$9,Paramètres!$A$1:$I$89,3,0)*VLOOKUP('Données projet'!$B$9,Paramètres!$A$1:$I$89,5,0)</f>
        <v>0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148.39628895278571</v>
      </c>
      <c r="T69" s="59">
        <f t="shared" ref="T69:T132" si="88">$T$3</f>
        <v>361.07991692964788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60.54395482744858</v>
      </c>
      <c r="AA69" s="21">
        <f>EXP(-LN(2)/25)*AA68+(1-EXP(-LN(2)/25))/(LN(2)/25)*Calculateur!V69*Calculateur!X69*VLOOKUP('Données projet'!$B$9,Paramètres!$A$1:$I$89,3,0)*0.475*44/12</f>
        <v>5.2990062419449551</v>
      </c>
      <c r="AB69" s="21">
        <f>EXP(-LN(2)/2)*AB68+(1-EXP(-LN(2)/2))/(LN(2)/2)*V69*Y69*VLOOKUP('Données projet'!$B$9,Paramètres!$A$1:$I$89,3,0)*0.475*44/12</f>
        <v>1.7151644135496099E-7</v>
      </c>
      <c r="AC69" s="22">
        <f t="shared" si="57"/>
        <v>65.842961240909986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325.55519999999984</v>
      </c>
      <c r="AJ69" s="13">
        <f>AI69*VLOOKUP('Données projet'!$B$10,Paramètres!$A$1:$I$89,3,0)*VLOOKUP('Données projet'!$B$10,Paramètres!$A$1:$I$89,5,0)</f>
        <v>355.50627839999981</v>
      </c>
      <c r="AK69" s="13">
        <f t="shared" ref="AK69:AK132" si="89">EXP(-1.0587+0.8836*LN(AJ69)+0.284)</f>
        <v>82.695279049034994</v>
      </c>
      <c r="AL69" s="20">
        <f t="shared" si="58"/>
        <v>763.20104589040227</v>
      </c>
      <c r="AM69" s="59">
        <f t="shared" si="59"/>
        <v>1056.5343792237356</v>
      </c>
      <c r="AN69" s="59">
        <f ca="1">AVERAGE(OFFSET($AM$3,0,0,'Données projet'!$E$10+1,1))-AVERAGE(OFFSET($H$3,0,0,'Données projet'!$E$10+1,1))</f>
        <v>245.5026179711341</v>
      </c>
      <c r="AO69" s="59">
        <f t="shared" ref="AO69:AO132" si="90">$AO$3</f>
        <v>204.32077840562567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0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0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2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1">
        <f t="shared" si="86"/>
        <v>12.016138535115942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66">
        <f t="shared" si="56"/>
        <v>384.04305794866019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>
        <f>N70*VLOOKUP('Données projet'!$B$9,Paramètres!$A$1:$I$89,3,0)*VLOOKUP('Données projet'!$B$9,Paramètres!$A$1:$I$89,5,0)</f>
        <v>0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148.39628895278571</v>
      </c>
      <c r="T70" s="59">
        <f t="shared" si="88"/>
        <v>361.07991692964788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59.356724801448408</v>
      </c>
      <c r="AA70" s="21">
        <f>EXP(-LN(2)/25)*AA69+(1-EXP(-LN(2)/25))/(LN(2)/25)*Calculateur!V70*Calculateur!X70*VLOOKUP('Données projet'!$B$9,Paramètres!$A$1:$I$89,3,0)*0.475*44/12</f>
        <v>5.1541046375963431</v>
      </c>
      <c r="AB70" s="21">
        <f>EXP(-LN(2)/2)*AB69+(1-EXP(-LN(2)/2))/(LN(2)/2)*V70*Y70*VLOOKUP('Données projet'!$B$9,Paramètres!$A$1:$I$89,3,0)*0.475*44/12</f>
        <v>1.2128043876707771E-7</v>
      </c>
      <c r="AC70" s="22">
        <f t="shared" si="57"/>
        <v>64.510829560325192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325.55519999999984</v>
      </c>
      <c r="AJ70" s="13">
        <f>AI70*VLOOKUP('Données projet'!$B$10,Paramètres!$A$1:$I$89,3,0)*VLOOKUP('Données projet'!$B$10,Paramètres!$A$1:$I$89,5,0)</f>
        <v>355.50627839999981</v>
      </c>
      <c r="AK70" s="13">
        <f t="shared" si="89"/>
        <v>82.695279049034994</v>
      </c>
      <c r="AL70" s="20">
        <f t="shared" si="58"/>
        <v>763.20104589040227</v>
      </c>
      <c r="AM70" s="59">
        <f t="shared" si="59"/>
        <v>1056.5343792237356</v>
      </c>
      <c r="AN70" s="59">
        <f ca="1">AVERAGE(OFFSET($AM$3,0,0,'Données projet'!$E$10+1,1))-AVERAGE(OFFSET($H$3,0,0,'Données projet'!$E$10+1,1))</f>
        <v>245.5026179711341</v>
      </c>
      <c r="AO70" s="59">
        <f t="shared" si="90"/>
        <v>204.32077840562567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0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0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2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1">
        <f t="shared" si="86"/>
        <v>12.174471190446138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66">
        <f t="shared" si="56"/>
        <v>385.36033732336028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>
        <f>N71*VLOOKUP('Données projet'!$B$9,Paramètres!$A$1:$I$89,3,0)*VLOOKUP('Données projet'!$B$9,Paramètres!$A$1:$I$89,5,0)</f>
        <v>0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148.39628895278571</v>
      </c>
      <c r="T71" s="59">
        <f t="shared" si="88"/>
        <v>361.07991692964788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58.192775632119286</v>
      </c>
      <c r="AA71" s="21">
        <f>EXP(-LN(2)/25)*AA70+(1-EXP(-LN(2)/25))/(LN(2)/25)*Calculateur!V71*Calculateur!X71*VLOOKUP('Données projet'!$B$9,Paramètres!$A$1:$I$89,3,0)*0.475*44/12</f>
        <v>5.013165375238688</v>
      </c>
      <c r="AB71" s="21">
        <f>EXP(-LN(2)/2)*AB70+(1-EXP(-LN(2)/2))/(LN(2)/2)*V71*Y71*VLOOKUP('Données projet'!$B$9,Paramètres!$A$1:$I$89,3,0)*0.475*44/12</f>
        <v>8.5758220677480493E-8</v>
      </c>
      <c r="AC71" s="22">
        <f t="shared" si="57"/>
        <v>63.205941093116195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325.55519999999984</v>
      </c>
      <c r="AJ71" s="13">
        <f>AI71*VLOOKUP('Données projet'!$B$10,Paramètres!$A$1:$I$89,3,0)*VLOOKUP('Données projet'!$B$10,Paramètres!$A$1:$I$89,5,0)</f>
        <v>355.50627839999981</v>
      </c>
      <c r="AK71" s="13">
        <f t="shared" si="89"/>
        <v>82.695279049034994</v>
      </c>
      <c r="AL71" s="20">
        <f t="shared" si="58"/>
        <v>763.20104589040227</v>
      </c>
      <c r="AM71" s="59">
        <f t="shared" si="59"/>
        <v>1056.5343792237356</v>
      </c>
      <c r="AN71" s="59">
        <f ca="1">AVERAGE(OFFSET($AM$3,0,0,'Données projet'!$E$10+1,1))-AVERAGE(OFFSET($H$3,0,0,'Données projet'!$E$10+1,1))</f>
        <v>245.5026179711341</v>
      </c>
      <c r="AO71" s="59">
        <f t="shared" si="90"/>
        <v>204.32077840562567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0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0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2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1">
        <f t="shared" si="86"/>
        <v>12.332533039040444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66">
        <f t="shared" si="56"/>
        <v>386.67714504299533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>
        <f>N72*VLOOKUP('Données projet'!$B$9,Paramètres!$A$1:$I$89,3,0)*VLOOKUP('Données projet'!$B$9,Paramètres!$A$1:$I$89,5,0)</f>
        <v>0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148.39628895278571</v>
      </c>
      <c r="T72" s="59">
        <f t="shared" si="88"/>
        <v>361.07991692964788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57.051650796061814</v>
      </c>
      <c r="AA72" s="21">
        <f>EXP(-LN(2)/25)*AA71+(1-EXP(-LN(2)/25))/(LN(2)/25)*Calculateur!V72*Calculateur!X72*VLOOKUP('Données projet'!$B$9,Paramètres!$A$1:$I$89,3,0)*0.475*44/12</f>
        <v>4.8760801044218764</v>
      </c>
      <c r="AB72" s="21">
        <f>EXP(-LN(2)/2)*AB71+(1-EXP(-LN(2)/2))/(LN(2)/2)*V72*Y72*VLOOKUP('Données projet'!$B$9,Paramètres!$A$1:$I$89,3,0)*0.475*44/12</f>
        <v>6.0640219383538854E-8</v>
      </c>
      <c r="AC72" s="22">
        <f t="shared" si="57"/>
        <v>61.927730961123906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325.55519999999984</v>
      </c>
      <c r="AJ72" s="13">
        <f>AI72*VLOOKUP('Données projet'!$B$10,Paramètres!$A$1:$I$89,3,0)*VLOOKUP('Données projet'!$B$10,Paramètres!$A$1:$I$89,5,0)</f>
        <v>355.50627839999981</v>
      </c>
      <c r="AK72" s="13">
        <f t="shared" si="89"/>
        <v>82.695279049034994</v>
      </c>
      <c r="AL72" s="20">
        <f t="shared" si="58"/>
        <v>763.20104589040227</v>
      </c>
      <c r="AM72" s="59">
        <f t="shared" si="59"/>
        <v>1056.5343792237356</v>
      </c>
      <c r="AN72" s="59">
        <f ca="1">AVERAGE(OFFSET($AM$3,0,0,'Données projet'!$E$10+1,1))-AVERAGE(OFFSET($H$3,0,0,'Données projet'!$E$10+1,1))</f>
        <v>245.5026179711341</v>
      </c>
      <c r="AO72" s="59">
        <f t="shared" si="90"/>
        <v>204.32077840562567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0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0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2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1">
        <f t="shared" si="86"/>
        <v>12.490328459088207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66">
        <f t="shared" si="56"/>
        <v>387.99348873291189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>
        <f>N73*VLOOKUP('Données projet'!$B$9,Paramètres!$A$1:$I$89,3,0)*VLOOKUP('Données projet'!$B$9,Paramètres!$A$1:$I$89,5,0)</f>
        <v>0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148.39628895278571</v>
      </c>
      <c r="T73" s="59">
        <f t="shared" si="88"/>
        <v>361.07991692964788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55.932902722022007</v>
      </c>
      <c r="AA73" s="21">
        <f>EXP(-LN(2)/25)*AA72+(1-EXP(-LN(2)/25))/(LN(2)/25)*Calculateur!V73*Calculateur!X73*VLOOKUP('Données projet'!$B$9,Paramètres!$A$1:$I$89,3,0)*0.475*44/12</f>
        <v>4.7427434375445516</v>
      </c>
      <c r="AB73" s="21">
        <f>EXP(-LN(2)/2)*AB72+(1-EXP(-LN(2)/2))/(LN(2)/2)*V73*Y73*VLOOKUP('Données projet'!$B$9,Paramètres!$A$1:$I$89,3,0)*0.475*44/12</f>
        <v>4.2879110338740246E-8</v>
      </c>
      <c r="AC73" s="22">
        <f t="shared" si="57"/>
        <v>60.67564620244567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325.55519999999984</v>
      </c>
      <c r="AJ73" s="13">
        <f>AI73*VLOOKUP('Données projet'!$B$10,Paramètres!$A$1:$I$89,3,0)*VLOOKUP('Données projet'!$B$10,Paramètres!$A$1:$I$89,5,0)</f>
        <v>355.50627839999981</v>
      </c>
      <c r="AK73" s="13">
        <f t="shared" si="89"/>
        <v>82.695279049034994</v>
      </c>
      <c r="AL73" s="20">
        <f t="shared" si="58"/>
        <v>763.20104589040227</v>
      </c>
      <c r="AM73" s="59">
        <f t="shared" si="59"/>
        <v>1056.5343792237356</v>
      </c>
      <c r="AN73" s="59">
        <f ca="1">AVERAGE(OFFSET($AM$3,0,0,'Données projet'!$E$10+1,1))-AVERAGE(OFFSET($H$3,0,0,'Données projet'!$E$10+1,1))</f>
        <v>245.5026179711341</v>
      </c>
      <c r="AO73" s="59">
        <f t="shared" si="90"/>
        <v>204.32077840562567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0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0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2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1">
        <f t="shared" si="86"/>
        <v>12.64786169650392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66">
        <f t="shared" si="56"/>
        <v>389.30937578807755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148.39628895278571</v>
      </c>
      <c r="T74" s="59">
        <f t="shared" si="88"/>
        <v>361.07991692964788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54.836092615345173</v>
      </c>
      <c r="AA74" s="21">
        <f>EXP(-LN(2)/25)*AA73+(1-EXP(-LN(2)/25))/(LN(2)/25)*Calculateur!V74*Calculateur!X74*VLOOKUP('Données projet'!$B$9,Paramètres!$A$1:$I$89,3,0)*0.475*44/12</f>
        <v>4.613052868834858</v>
      </c>
      <c r="AB74" s="21">
        <f>EXP(-LN(2)/2)*AB73+(1-EXP(-LN(2)/2))/(LN(2)/2)*V74*Y74*VLOOKUP('Données projet'!$B$9,Paramètres!$A$1:$I$89,3,0)*0.475*44/12</f>
        <v>3.0320109691769427E-8</v>
      </c>
      <c r="AC74" s="22">
        <f t="shared" si="57"/>
        <v>59.449145514500138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325.55519999999984</v>
      </c>
      <c r="AJ74" s="13">
        <f>AI74*VLOOKUP('Données projet'!$B$10,Paramètres!$A$1:$I$89,3,0)*VLOOKUP('Données projet'!$B$10,Paramètres!$A$1:$I$89,5,0)</f>
        <v>355.50627839999981</v>
      </c>
      <c r="AK74" s="13">
        <f t="shared" si="89"/>
        <v>82.695279049034994</v>
      </c>
      <c r="AL74" s="20">
        <f t="shared" si="58"/>
        <v>763.20104589040227</v>
      </c>
      <c r="AM74" s="59">
        <f t="shared" si="59"/>
        <v>1056.5343792237356</v>
      </c>
      <c r="AN74" s="59">
        <f ca="1">AVERAGE(OFFSET($AM$3,0,0,'Données projet'!$E$10+1,1))-AVERAGE(OFFSET($H$3,0,0,'Données projet'!$E$10+1,1))</f>
        <v>245.5026179711341</v>
      </c>
      <c r="AO74" s="59">
        <f t="shared" si="90"/>
        <v>204.32077840562567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0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0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2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1">
        <f t="shared" si="86"/>
        <v>12.80513687072917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66">
        <f t="shared" si="56"/>
        <v>390.62481338318656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148.39628895278571</v>
      </c>
      <c r="T75" s="59">
        <f t="shared" si="88"/>
        <v>361.07991692964788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53.760790285872162</v>
      </c>
      <c r="AA75" s="21">
        <f>EXP(-LN(2)/25)*AA74+(1-EXP(-LN(2)/25))/(LN(2)/25)*Calculateur!V75*Calculateur!X75*VLOOKUP('Données projet'!$B$9,Paramètres!$A$1:$I$89,3,0)*0.475*44/12</f>
        <v>4.4869086955466617</v>
      </c>
      <c r="AB75" s="21">
        <f>EXP(-LN(2)/2)*AB74+(1-EXP(-LN(2)/2))/(LN(2)/2)*V75*Y75*VLOOKUP('Données projet'!$B$9,Paramètres!$A$1:$I$89,3,0)*0.475*44/12</f>
        <v>2.1439555169370123E-8</v>
      </c>
      <c r="AC75" s="22">
        <f t="shared" si="57"/>
        <v>58.247699002858376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325.55519999999984</v>
      </c>
      <c r="AJ75" s="13">
        <f>AI75*VLOOKUP('Données projet'!$B$10,Paramètres!$A$1:$I$89,3,0)*VLOOKUP('Données projet'!$B$10,Paramètres!$A$1:$I$89,5,0)</f>
        <v>355.50627839999981</v>
      </c>
      <c r="AK75" s="13">
        <f t="shared" si="89"/>
        <v>82.695279049034994</v>
      </c>
      <c r="AL75" s="20">
        <f t="shared" si="58"/>
        <v>763.20104589040227</v>
      </c>
      <c r="AM75" s="59">
        <f t="shared" si="59"/>
        <v>1056.5343792237356</v>
      </c>
      <c r="AN75" s="59">
        <f ca="1">AVERAGE(OFFSET($AM$3,0,0,'Données projet'!$E$10+1,1))-AVERAGE(OFFSET($H$3,0,0,'Données projet'!$E$10+1,1))</f>
        <v>245.5026179711341</v>
      </c>
      <c r="AO75" s="59">
        <f t="shared" si="90"/>
        <v>204.32077840562567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0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0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2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1">
        <f t="shared" si="86"/>
        <v>12.962157980203079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66">
        <f t="shared" si="56"/>
        <v>391.93980848218695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148.39628895278571</v>
      </c>
      <c r="T76" s="59">
        <f t="shared" si="88"/>
        <v>361.07991692964788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52.706573979210454</v>
      </c>
      <c r="AA76" s="21">
        <f>EXP(-LN(2)/25)*AA75+(1-EXP(-LN(2)/25))/(LN(2)/25)*Calculateur!V76*Calculateur!X76*VLOOKUP('Données projet'!$B$9,Paramètres!$A$1:$I$89,3,0)*0.475*44/12</f>
        <v>4.3642139413106653</v>
      </c>
      <c r="AB76" s="21">
        <f>EXP(-LN(2)/2)*AB75+(1-EXP(-LN(2)/2))/(LN(2)/2)*V76*Y76*VLOOKUP('Données projet'!$B$9,Paramètres!$A$1:$I$89,3,0)*0.475*44/12</f>
        <v>1.5160054845884713E-8</v>
      </c>
      <c r="AC76" s="22">
        <f t="shared" si="57"/>
        <v>57.070787935681174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325.55519999999984</v>
      </c>
      <c r="AJ76" s="13">
        <f>AI76*VLOOKUP('Données projet'!$B$10,Paramètres!$A$1:$I$89,3,0)*VLOOKUP('Données projet'!$B$10,Paramètres!$A$1:$I$89,5,0)</f>
        <v>355.50627839999981</v>
      </c>
      <c r="AK76" s="13">
        <f t="shared" si="89"/>
        <v>82.695279049034994</v>
      </c>
      <c r="AL76" s="20">
        <f t="shared" si="58"/>
        <v>763.20104589040227</v>
      </c>
      <c r="AM76" s="59">
        <f t="shared" si="59"/>
        <v>1056.5343792237356</v>
      </c>
      <c r="AN76" s="59">
        <f ca="1">AVERAGE(OFFSET($AM$3,0,0,'Données projet'!$E$10+1,1))-AVERAGE(OFFSET($H$3,0,0,'Données projet'!$E$10+1,1))</f>
        <v>245.5026179711341</v>
      </c>
      <c r="AO76" s="59">
        <f t="shared" si="90"/>
        <v>204.32077840562567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0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0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2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1">
        <f t="shared" si="86"/>
        <v>13.118928907524445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66">
        <f t="shared" si="56"/>
        <v>393.25436784727162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148.39628895278571</v>
      </c>
      <c r="T77" s="59">
        <f t="shared" si="88"/>
        <v>361.07991692964788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51.673030211313929</v>
      </c>
      <c r="AA77" s="21">
        <f>EXP(-LN(2)/25)*AA76+(1-EXP(-LN(2)/25))/(LN(2)/25)*Calculateur!V77*Calculateur!X77*VLOOKUP('Données projet'!$B$9,Paramètres!$A$1:$I$89,3,0)*0.475*44/12</f>
        <v>4.2448742815814882</v>
      </c>
      <c r="AB77" s="21">
        <f>EXP(-LN(2)/2)*AB76+(1-EXP(-LN(2)/2))/(LN(2)/2)*V77*Y77*VLOOKUP('Données projet'!$B$9,Paramètres!$A$1:$I$89,3,0)*0.475*44/12</f>
        <v>1.0719777584685062E-8</v>
      </c>
      <c r="AC77" s="22">
        <f t="shared" si="57"/>
        <v>55.917904503615198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325.55519999999984</v>
      </c>
      <c r="AJ77" s="13">
        <f>AI77*VLOOKUP('Données projet'!$B$10,Paramètres!$A$1:$I$89,3,0)*VLOOKUP('Données projet'!$B$10,Paramètres!$A$1:$I$89,5,0)</f>
        <v>355.50627839999981</v>
      </c>
      <c r="AK77" s="13">
        <f t="shared" si="89"/>
        <v>82.695279049034994</v>
      </c>
      <c r="AL77" s="20">
        <f t="shared" si="58"/>
        <v>763.20104589040227</v>
      </c>
      <c r="AM77" s="59">
        <f t="shared" si="59"/>
        <v>1056.5343792237356</v>
      </c>
      <c r="AN77" s="59">
        <f ca="1">AVERAGE(OFFSET($AM$3,0,0,'Données projet'!$E$10+1,1))-AVERAGE(OFFSET($H$3,0,0,'Données projet'!$E$10+1,1))</f>
        <v>245.5026179711341</v>
      </c>
      <c r="AO77" s="59">
        <f t="shared" si="90"/>
        <v>204.32077840562567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0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0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2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1">
        <f t="shared" si="86"/>
        <v>13.275453424326999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66">
        <f t="shared" si="56"/>
        <v>394.56849804736942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148.39628895278571</v>
      </c>
      <c r="T78" s="59">
        <f t="shared" si="88"/>
        <v>361.07991692964788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50.659753606306403</v>
      </c>
      <c r="AA78" s="21">
        <f>EXP(-LN(2)/25)*AA77+(1-EXP(-LN(2)/25))/(LN(2)/25)*Calculateur!V78*Calculateur!X78*VLOOKUP('Données projet'!$B$9,Paramètres!$A$1:$I$89,3,0)*0.475*44/12</f>
        <v>4.1287979711234053</v>
      </c>
      <c r="AB78" s="21">
        <f>EXP(-LN(2)/2)*AB77+(1-EXP(-LN(2)/2))/(LN(2)/2)*V78*Y78*VLOOKUP('Données projet'!$B$9,Paramètres!$A$1:$I$89,3,0)*0.475*44/12</f>
        <v>7.5800274229423567E-9</v>
      </c>
      <c r="AC78" s="22">
        <f t="shared" si="57"/>
        <v>54.788551585009834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325.55519999999984</v>
      </c>
      <c r="AJ78" s="13">
        <f>AI78*VLOOKUP('Données projet'!$B$10,Paramètres!$A$1:$I$89,3,0)*VLOOKUP('Données projet'!$B$10,Paramètres!$A$1:$I$89,5,0)</f>
        <v>355.50627839999981</v>
      </c>
      <c r="AK78" s="13">
        <f t="shared" si="89"/>
        <v>82.695279049034994</v>
      </c>
      <c r="AL78" s="20">
        <f t="shared" si="58"/>
        <v>763.20104589040227</v>
      </c>
      <c r="AM78" s="59">
        <f t="shared" si="59"/>
        <v>1056.5343792237356</v>
      </c>
      <c r="AN78" s="59">
        <f ca="1">AVERAGE(OFFSET($AM$3,0,0,'Données projet'!$E$10+1,1))-AVERAGE(OFFSET($H$3,0,0,'Données projet'!$E$10+1,1))</f>
        <v>245.5026179711341</v>
      </c>
      <c r="AO78" s="59">
        <f t="shared" si="90"/>
        <v>204.32077840562567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0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0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2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1">
        <f t="shared" si="86"/>
        <v>13.431735195887123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66">
        <f t="shared" si="56"/>
        <v>395.88220546616998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148.39628895278571</v>
      </c>
      <c r="T79" s="59">
        <f t="shared" si="88"/>
        <v>361.07991692964788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49.66634673748537</v>
      </c>
      <c r="AA79" s="21">
        <f>EXP(-LN(2)/25)*AA78+(1-EXP(-LN(2)/25))/(LN(2)/25)*Calculateur!V79*Calculateur!X79*VLOOKUP('Données projet'!$B$9,Paramètres!$A$1:$I$89,3,0)*0.475*44/12</f>
        <v>4.0158957734789871</v>
      </c>
      <c r="AB79" s="21">
        <f>EXP(-LN(2)/2)*AB78+(1-EXP(-LN(2)/2))/(LN(2)/2)*V79*Y79*VLOOKUP('Données projet'!$B$9,Paramètres!$A$1:$I$89,3,0)*0.475*44/12</f>
        <v>5.3598887923425308E-9</v>
      </c>
      <c r="AC79" s="22">
        <f t="shared" si="57"/>
        <v>53.682242516324244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325.55519999999984</v>
      </c>
      <c r="AJ79" s="13">
        <f>AI79*VLOOKUP('Données projet'!$B$10,Paramètres!$A$1:$I$89,3,0)*VLOOKUP('Données projet'!$B$10,Paramètres!$A$1:$I$89,5,0)</f>
        <v>355.50627839999981</v>
      </c>
      <c r="AK79" s="13">
        <f t="shared" si="89"/>
        <v>82.695279049034994</v>
      </c>
      <c r="AL79" s="20">
        <f t="shared" si="58"/>
        <v>763.20104589040227</v>
      </c>
      <c r="AM79" s="59">
        <f t="shared" si="59"/>
        <v>1056.5343792237356</v>
      </c>
      <c r="AN79" s="59">
        <f ca="1">AVERAGE(OFFSET($AM$3,0,0,'Données projet'!$E$10+1,1))-AVERAGE(OFFSET($H$3,0,0,'Données projet'!$E$10+1,1))</f>
        <v>245.5026179711341</v>
      </c>
      <c r="AO79" s="59">
        <f t="shared" si="90"/>
        <v>204.32077840562567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0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0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2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1">
        <f t="shared" si="86"/>
        <v>13.587777785482281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66">
        <f t="shared" si="56"/>
        <v>397.19549630971488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148.39628895278571</v>
      </c>
      <c r="T80" s="59">
        <f t="shared" si="88"/>
        <v>361.07991692964788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48.692419971443556</v>
      </c>
      <c r="AA80" s="21">
        <f>EXP(-LN(2)/25)*AA79+(1-EXP(-LN(2)/25))/(LN(2)/25)*Calculateur!V80*Calculateur!X80*VLOOKUP('Données projet'!$B$9,Paramètres!$A$1:$I$89,3,0)*0.475*44/12</f>
        <v>3.9060808923664241</v>
      </c>
      <c r="AB80" s="21">
        <f>EXP(-LN(2)/2)*AB79+(1-EXP(-LN(2)/2))/(LN(2)/2)*V80*Y80*VLOOKUP('Données projet'!$B$9,Paramètres!$A$1:$I$89,3,0)*0.475*44/12</f>
        <v>3.7900137114711784E-9</v>
      </c>
      <c r="AC80" s="22">
        <f t="shared" si="57"/>
        <v>52.598500867599995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325.55519999999984</v>
      </c>
      <c r="AJ80" s="13">
        <f>AI80*VLOOKUP('Données projet'!$B$10,Paramètres!$A$1:$I$89,3,0)*VLOOKUP('Données projet'!$B$10,Paramètres!$A$1:$I$89,5,0)</f>
        <v>355.50627839999981</v>
      </c>
      <c r="AK80" s="13">
        <f t="shared" si="89"/>
        <v>82.695279049034994</v>
      </c>
      <c r="AL80" s="20">
        <f t="shared" si="58"/>
        <v>763.20104589040227</v>
      </c>
      <c r="AM80" s="59">
        <f t="shared" si="59"/>
        <v>1056.5343792237356</v>
      </c>
      <c r="AN80" s="59">
        <f ca="1">AVERAGE(OFFSET($AM$3,0,0,'Données projet'!$E$10+1,1))-AVERAGE(OFFSET($H$3,0,0,'Données projet'!$E$10+1,1))</f>
        <v>245.5026179711341</v>
      </c>
      <c r="AO80" s="59">
        <f t="shared" si="90"/>
        <v>204.32077840562567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0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0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2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1">
        <f t="shared" si="86"/>
        <v>13.74358465851647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66">
        <f t="shared" si="56"/>
        <v>398.50837661358275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148.39628895278571</v>
      </c>
      <c r="T81" s="59">
        <f t="shared" si="88"/>
        <v>361.07991692964788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47.737591315247151</v>
      </c>
      <c r="AA81" s="21">
        <f>EXP(-LN(2)/25)*AA80+(1-EXP(-LN(2)/25))/(LN(2)/25)*Calculateur!V81*Calculateur!X81*VLOOKUP('Données projet'!$B$9,Paramètres!$A$1:$I$89,3,0)*0.475*44/12</f>
        <v>3.7992689049527977</v>
      </c>
      <c r="AB81" s="21">
        <f>EXP(-LN(2)/2)*AB80+(1-EXP(-LN(2)/2))/(LN(2)/2)*V81*Y81*VLOOKUP('Données projet'!$B$9,Paramètres!$A$1:$I$89,3,0)*0.475*44/12</f>
        <v>2.6799443961712654E-9</v>
      </c>
      <c r="AC81" s="22">
        <f t="shared" si="57"/>
        <v>51.536860222879895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325.55519999999984</v>
      </c>
      <c r="AJ81" s="13">
        <f>AI81*VLOOKUP('Données projet'!$B$10,Paramètres!$A$1:$I$89,3,0)*VLOOKUP('Données projet'!$B$10,Paramètres!$A$1:$I$89,5,0)</f>
        <v>355.50627839999981</v>
      </c>
      <c r="AK81" s="13">
        <f t="shared" si="89"/>
        <v>82.695279049034994</v>
      </c>
      <c r="AL81" s="20">
        <f t="shared" si="58"/>
        <v>763.20104589040227</v>
      </c>
      <c r="AM81" s="59">
        <f t="shared" si="59"/>
        <v>1056.5343792237356</v>
      </c>
      <c r="AN81" s="59">
        <f ca="1">AVERAGE(OFFSET($AM$3,0,0,'Données projet'!$E$10+1,1))-AVERAGE(OFFSET($H$3,0,0,'Données projet'!$E$10+1,1))</f>
        <v>245.5026179711341</v>
      </c>
      <c r="AO81" s="59">
        <f t="shared" si="90"/>
        <v>204.32077840562567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0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0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2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1">
        <f t="shared" si="86"/>
        <v>13.899159186428221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66">
        <f t="shared" si="56"/>
        <v>399.82085224969569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148.39628895278571</v>
      </c>
      <c r="T82" s="59">
        <f t="shared" si="88"/>
        <v>361.07991692964788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46.801486266610787</v>
      </c>
      <c r="AA82" s="21">
        <f>EXP(-LN(2)/25)*AA81+(1-EXP(-LN(2)/25))/(LN(2)/25)*Calculateur!V82*Calculateur!X82*VLOOKUP('Données projet'!$B$9,Paramètres!$A$1:$I$89,3,0)*0.475*44/12</f>
        <v>3.6953776969519949</v>
      </c>
      <c r="AB82" s="21">
        <f>EXP(-LN(2)/2)*AB81+(1-EXP(-LN(2)/2))/(LN(2)/2)*V82*Y82*VLOOKUP('Données projet'!$B$9,Paramètres!$A$1:$I$89,3,0)*0.475*44/12</f>
        <v>1.8950068557355892E-9</v>
      </c>
      <c r="AC82" s="22">
        <f t="shared" si="57"/>
        <v>50.496863965457791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325.55519999999984</v>
      </c>
      <c r="AJ82" s="13">
        <f>AI82*VLOOKUP('Données projet'!$B$10,Paramètres!$A$1:$I$89,3,0)*VLOOKUP('Données projet'!$B$10,Paramètres!$A$1:$I$89,5,0)</f>
        <v>355.50627839999981</v>
      </c>
      <c r="AK82" s="13">
        <f t="shared" si="89"/>
        <v>82.695279049034994</v>
      </c>
      <c r="AL82" s="20">
        <f t="shared" si="58"/>
        <v>763.20104589040227</v>
      </c>
      <c r="AM82" s="59">
        <f t="shared" si="59"/>
        <v>1056.5343792237356</v>
      </c>
      <c r="AN82" s="59">
        <f ca="1">AVERAGE(OFFSET($AM$3,0,0,'Données projet'!$E$10+1,1))-AVERAGE(OFFSET($H$3,0,0,'Données projet'!$E$10+1,1))</f>
        <v>245.5026179711341</v>
      </c>
      <c r="AO82" s="59">
        <f t="shared" si="90"/>
        <v>204.32077840562567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0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0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2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1">
        <f t="shared" si="86"/>
        <v>14.054504650394959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66">
        <f t="shared" si="56"/>
        <v>401.13292893277111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148.39628895278571</v>
      </c>
      <c r="T83" s="59">
        <f t="shared" si="88"/>
        <v>361.07991692964788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45.883737667010479</v>
      </c>
      <c r="AA83" s="21">
        <f>EXP(-LN(2)/25)*AA82+(1-EXP(-LN(2)/25))/(LN(2)/25)*Calculateur!V83*Calculateur!X83*VLOOKUP('Données projet'!$B$9,Paramètres!$A$1:$I$89,3,0)*0.475*44/12</f>
        <v>3.5943273994973755</v>
      </c>
      <c r="AB83" s="21">
        <f>EXP(-LN(2)/2)*AB82+(1-EXP(-LN(2)/2))/(LN(2)/2)*V83*Y83*VLOOKUP('Données projet'!$B$9,Paramètres!$A$1:$I$89,3,0)*0.475*44/12</f>
        <v>1.3399721980856327E-9</v>
      </c>
      <c r="AC83" s="22">
        <f t="shared" si="57"/>
        <v>49.478065067847822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325.55519999999984</v>
      </c>
      <c r="AJ83" s="13">
        <f>AI83*VLOOKUP('Données projet'!$B$10,Paramètres!$A$1:$I$89,3,0)*VLOOKUP('Données projet'!$B$10,Paramètres!$A$1:$I$89,5,0)</f>
        <v>355.50627839999981</v>
      </c>
      <c r="AK83" s="13">
        <f t="shared" si="89"/>
        <v>82.695279049034994</v>
      </c>
      <c r="AL83" s="20">
        <f t="shared" si="58"/>
        <v>763.20104589040227</v>
      </c>
      <c r="AM83" s="59">
        <f t="shared" si="59"/>
        <v>1056.5343792237356</v>
      </c>
      <c r="AN83" s="59">
        <f ca="1">AVERAGE(OFFSET($AM$3,0,0,'Données projet'!$E$10+1,1))-AVERAGE(OFFSET($H$3,0,0,'Données projet'!$E$10+1,1))</f>
        <v>245.5026179711341</v>
      </c>
      <c r="AO83" s="59">
        <f t="shared" si="90"/>
        <v>204.32077840562567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0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0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2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1">
        <f t="shared" si="86"/>
        <v>14.209624244846959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66">
        <f t="shared" si="56"/>
        <v>402.44461222644168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148.39628895278571</v>
      </c>
      <c r="T84" s="59">
        <f t="shared" si="88"/>
        <v>361.07991692964788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44.983985557676959</v>
      </c>
      <c r="AA84" s="21">
        <f>EXP(-LN(2)/25)*AA83+(1-EXP(-LN(2)/25))/(LN(2)/25)*Calculateur!V84*Calculateur!X84*VLOOKUP('Données projet'!$B$9,Paramètres!$A$1:$I$89,3,0)*0.475*44/12</f>
        <v>3.4960403277406567</v>
      </c>
      <c r="AB84" s="21">
        <f>EXP(-LN(2)/2)*AB83+(1-EXP(-LN(2)/2))/(LN(2)/2)*V84*Y84*VLOOKUP('Données projet'!$B$9,Paramètres!$A$1:$I$89,3,0)*0.475*44/12</f>
        <v>9.4750342786779459E-10</v>
      </c>
      <c r="AC84" s="22">
        <f t="shared" si="57"/>
        <v>48.480025886365119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325.55519999999984</v>
      </c>
      <c r="AJ84" s="13">
        <f>AI84*VLOOKUP('Données projet'!$B$10,Paramètres!$A$1:$I$89,3,0)*VLOOKUP('Données projet'!$B$10,Paramètres!$A$1:$I$89,5,0)</f>
        <v>355.50627839999981</v>
      </c>
      <c r="AK84" s="13">
        <f t="shared" si="89"/>
        <v>82.695279049034994</v>
      </c>
      <c r="AL84" s="20">
        <f t="shared" si="58"/>
        <v>763.20104589040227</v>
      </c>
      <c r="AM84" s="59">
        <f t="shared" si="59"/>
        <v>1056.5343792237356</v>
      </c>
      <c r="AN84" s="59">
        <f ca="1">AVERAGE(OFFSET($AM$3,0,0,'Données projet'!$E$10+1,1))-AVERAGE(OFFSET($H$3,0,0,'Données projet'!$E$10+1,1))</f>
        <v>245.5026179711341</v>
      </c>
      <c r="AO84" s="59">
        <f t="shared" si="90"/>
        <v>204.32077840562567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0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0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2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1">
        <f t="shared" si="86"/>
        <v>14.364521080802797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66">
        <f t="shared" si="56"/>
        <v>403.75590754906477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148.39628895278571</v>
      </c>
      <c r="T85" s="59">
        <f t="shared" si="88"/>
        <v>361.07991692964788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44.101877038412873</v>
      </c>
      <c r="AA85" s="21">
        <f>EXP(-LN(2)/25)*AA84+(1-EXP(-LN(2)/25))/(LN(2)/25)*Calculateur!V85*Calculateur!X85*VLOOKUP('Données projet'!$B$9,Paramètres!$A$1:$I$89,3,0)*0.475*44/12</f>
        <v>3.4004409211298179</v>
      </c>
      <c r="AB85" s="21">
        <f>EXP(-LN(2)/2)*AB84+(1-EXP(-LN(2)/2))/(LN(2)/2)*V85*Y85*VLOOKUP('Données projet'!$B$9,Paramètres!$A$1:$I$89,3,0)*0.475*44/12</f>
        <v>6.6998609904281635E-10</v>
      </c>
      <c r="AC85" s="22">
        <f t="shared" si="57"/>
        <v>47.502317960212679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325.55519999999984</v>
      </c>
      <c r="AJ85" s="13">
        <f>AI85*VLOOKUP('Données projet'!$B$10,Paramètres!$A$1:$I$89,3,0)*VLOOKUP('Données projet'!$B$10,Paramètres!$A$1:$I$89,5,0)</f>
        <v>355.50627839999981</v>
      </c>
      <c r="AK85" s="13">
        <f t="shared" si="89"/>
        <v>82.695279049034994</v>
      </c>
      <c r="AL85" s="20">
        <f t="shared" si="58"/>
        <v>763.20104589040227</v>
      </c>
      <c r="AM85" s="59">
        <f t="shared" si="59"/>
        <v>1056.5343792237356</v>
      </c>
      <c r="AN85" s="59">
        <f ca="1">AVERAGE(OFFSET($AM$3,0,0,'Données projet'!$E$10+1,1))-AVERAGE(OFFSET($H$3,0,0,'Données projet'!$E$10+1,1))</f>
        <v>245.5026179711341</v>
      </c>
      <c r="AO85" s="59">
        <f t="shared" si="90"/>
        <v>204.32077840562567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0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0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2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1">
        <f t="shared" si="86"/>
        <v>14.519198189037443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66">
        <f t="shared" si="56"/>
        <v>405.0668201792401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148.39628895278571</v>
      </c>
      <c r="T86" s="59">
        <f t="shared" si="88"/>
        <v>361.07991692964788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43.237066129178487</v>
      </c>
      <c r="AA86" s="21">
        <f>EXP(-LN(2)/25)*AA85+(1-EXP(-LN(2)/25))/(LN(2)/25)*Calculateur!V86*Calculateur!X86*VLOOKUP('Données projet'!$B$9,Paramètres!$A$1:$I$89,3,0)*0.475*44/12</f>
        <v>3.3074556853201069</v>
      </c>
      <c r="AB86" s="21">
        <f>EXP(-LN(2)/2)*AB85+(1-EXP(-LN(2)/2))/(LN(2)/2)*V86*Y86*VLOOKUP('Données projet'!$B$9,Paramètres!$A$1:$I$89,3,0)*0.475*44/12</f>
        <v>4.737517139338973E-10</v>
      </c>
      <c r="AC86" s="22">
        <f t="shared" si="57"/>
        <v>46.544521814972349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325.55519999999984</v>
      </c>
      <c r="AJ86" s="13">
        <f>AI86*VLOOKUP('Données projet'!$B$10,Paramètres!$A$1:$I$89,3,0)*VLOOKUP('Données projet'!$B$10,Paramètres!$A$1:$I$89,5,0)</f>
        <v>355.50627839999981</v>
      </c>
      <c r="AK86" s="13">
        <f t="shared" si="89"/>
        <v>82.695279049034994</v>
      </c>
      <c r="AL86" s="20">
        <f t="shared" si="58"/>
        <v>763.20104589040227</v>
      </c>
      <c r="AM86" s="59">
        <f t="shared" si="59"/>
        <v>1056.5343792237356</v>
      </c>
      <c r="AN86" s="59">
        <f ca="1">AVERAGE(OFFSET($AM$3,0,0,'Données projet'!$E$10+1,1))-AVERAGE(OFFSET($H$3,0,0,'Données projet'!$E$10+1,1))</f>
        <v>245.5026179711341</v>
      </c>
      <c r="AO86" s="59">
        <f t="shared" si="90"/>
        <v>204.32077840562567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0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0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2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1">
        <f t="shared" si="86"/>
        <v>14.673658523093403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66">
        <f t="shared" si="56"/>
        <v>406.37735526105422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148.39628895278571</v>
      </c>
      <c r="T87" s="59">
        <f t="shared" si="88"/>
        <v>361.07991692964788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42.389213634391616</v>
      </c>
      <c r="AA87" s="21">
        <f>EXP(-LN(2)/25)*AA86+(1-EXP(-LN(2)/25))/(LN(2)/25)*Calculateur!V87*Calculateur!X87*VLOOKUP('Données projet'!$B$9,Paramètres!$A$1:$I$89,3,0)*0.475*44/12</f>
        <v>3.2170131356734935</v>
      </c>
      <c r="AB87" s="21">
        <f>EXP(-LN(2)/2)*AB86+(1-EXP(-LN(2)/2))/(LN(2)/2)*V87*Y87*VLOOKUP('Données projet'!$B$9,Paramètres!$A$1:$I$89,3,0)*0.475*44/12</f>
        <v>3.3499304952140817E-10</v>
      </c>
      <c r="AC87" s="22">
        <f t="shared" si="57"/>
        <v>45.606226770400099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325.55519999999984</v>
      </c>
      <c r="AJ87" s="13">
        <f>AI87*VLOOKUP('Données projet'!$B$10,Paramètres!$A$1:$I$89,3,0)*VLOOKUP('Données projet'!$B$10,Paramètres!$A$1:$I$89,5,0)</f>
        <v>355.50627839999981</v>
      </c>
      <c r="AK87" s="13">
        <f t="shared" si="89"/>
        <v>82.695279049034994</v>
      </c>
      <c r="AL87" s="20">
        <f t="shared" si="58"/>
        <v>763.20104589040227</v>
      </c>
      <c r="AM87" s="59">
        <f t="shared" si="59"/>
        <v>1056.5343792237356</v>
      </c>
      <c r="AN87" s="59">
        <f ca="1">AVERAGE(OFFSET($AM$3,0,0,'Données projet'!$E$10+1,1))-AVERAGE(OFFSET($H$3,0,0,'Données projet'!$E$10+1,1))</f>
        <v>245.5026179711341</v>
      </c>
      <c r="AO87" s="59">
        <f t="shared" si="90"/>
        <v>204.32077840562567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0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0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2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1">
        <f t="shared" si="86"/>
        <v>14.827904962144244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66">
        <f t="shared" si="56"/>
        <v>407.6875178090678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148.39628895278571</v>
      </c>
      <c r="T88" s="59">
        <f t="shared" si="88"/>
        <v>361.07991692964788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41.557987009888556</v>
      </c>
      <c r="AA88" s="21">
        <f>EXP(-LN(2)/25)*AA87+(1-EXP(-LN(2)/25))/(LN(2)/25)*Calculateur!V88*Calculateur!X88*VLOOKUP('Données projet'!$B$9,Paramètres!$A$1:$I$89,3,0)*0.475*44/12</f>
        <v>3.1290437423031334</v>
      </c>
      <c r="AB88" s="21">
        <f>EXP(-LN(2)/2)*AB87+(1-EXP(-LN(2)/2))/(LN(2)/2)*V88*Y88*VLOOKUP('Données projet'!$B$9,Paramètres!$A$1:$I$89,3,0)*0.475*44/12</f>
        <v>2.3687585696694865E-10</v>
      </c>
      <c r="AC88" s="22">
        <f t="shared" si="57"/>
        <v>44.687030752428562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325.55519999999984</v>
      </c>
      <c r="AJ88" s="13">
        <f>AI88*VLOOKUP('Données projet'!$B$10,Paramètres!$A$1:$I$89,3,0)*VLOOKUP('Données projet'!$B$10,Paramètres!$A$1:$I$89,5,0)</f>
        <v>355.50627839999981</v>
      </c>
      <c r="AK88" s="13">
        <f t="shared" si="89"/>
        <v>82.695279049034994</v>
      </c>
      <c r="AL88" s="20">
        <f t="shared" si="58"/>
        <v>763.20104589040227</v>
      </c>
      <c r="AM88" s="59">
        <f t="shared" si="59"/>
        <v>1056.5343792237356</v>
      </c>
      <c r="AN88" s="59">
        <f ca="1">AVERAGE(OFFSET($AM$3,0,0,'Données projet'!$E$10+1,1))-AVERAGE(OFFSET($H$3,0,0,'Données projet'!$E$10+1,1))</f>
        <v>245.5026179711341</v>
      </c>
      <c r="AO88" s="59">
        <f t="shared" si="90"/>
        <v>204.32077840562567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0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0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2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1">
        <f t="shared" si="86"/>
        <v>14.981940313719663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66">
        <f t="shared" si="56"/>
        <v>408.99731271306166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148.39628895278571</v>
      </c>
      <c r="T89" s="59">
        <f t="shared" si="88"/>
        <v>361.07991692964788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40.743060232493825</v>
      </c>
      <c r="AA89" s="21">
        <f>EXP(-LN(2)/25)*AA88+(1-EXP(-LN(2)/25))/(LN(2)/25)*Calculateur!V89*Calculateur!X89*VLOOKUP('Données projet'!$B$9,Paramètres!$A$1:$I$89,3,0)*0.475*44/12</f>
        <v>3.0434798766205953</v>
      </c>
      <c r="AB89" s="21">
        <f>EXP(-LN(2)/2)*AB88+(1-EXP(-LN(2)/2))/(LN(2)/2)*V89*Y89*VLOOKUP('Données projet'!$B$9,Paramètres!$A$1:$I$89,3,0)*0.475*44/12</f>
        <v>1.6749652476070409E-10</v>
      </c>
      <c r="AC89" s="22">
        <f t="shared" si="57"/>
        <v>43.786540109281916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325.55519999999984</v>
      </c>
      <c r="AJ89" s="13">
        <f>AI89*VLOOKUP('Données projet'!$B$10,Paramètres!$A$1:$I$89,3,0)*VLOOKUP('Données projet'!$B$10,Paramètres!$A$1:$I$89,5,0)</f>
        <v>355.50627839999981</v>
      </c>
      <c r="AK89" s="13">
        <f t="shared" si="89"/>
        <v>82.695279049034994</v>
      </c>
      <c r="AL89" s="20">
        <f t="shared" si="58"/>
        <v>763.20104589040227</v>
      </c>
      <c r="AM89" s="59">
        <f t="shared" si="59"/>
        <v>1056.5343792237356</v>
      </c>
      <c r="AN89" s="59">
        <f ca="1">AVERAGE(OFFSET($AM$3,0,0,'Données projet'!$E$10+1,1))-AVERAGE(OFFSET($H$3,0,0,'Données projet'!$E$10+1,1))</f>
        <v>245.5026179711341</v>
      </c>
      <c r="AO89" s="59">
        <f t="shared" si="90"/>
        <v>204.32077840562567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0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0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2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1">
        <f t="shared" si="86"/>
        <v>15.135767316300113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66">
        <f t="shared" si="56"/>
        <v>410.30674474255591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148.39628895278571</v>
      </c>
      <c r="T90" s="59">
        <f t="shared" si="88"/>
        <v>361.07991692964788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39.944113672147552</v>
      </c>
      <c r="AA90" s="21">
        <f>EXP(-LN(2)/25)*AA89+(1-EXP(-LN(2)/25))/(LN(2)/25)*Calculateur!V90*Calculateur!X90*VLOOKUP('Données projet'!$B$9,Paramètres!$A$1:$I$89,3,0)*0.475*44/12</f>
        <v>2.9602557593447543</v>
      </c>
      <c r="AB90" s="21">
        <f>EXP(-LN(2)/2)*AB89+(1-EXP(-LN(2)/2))/(LN(2)/2)*V90*Y90*VLOOKUP('Données projet'!$B$9,Paramètres!$A$1:$I$89,3,0)*0.475*44/12</f>
        <v>1.1843792848347432E-10</v>
      </c>
      <c r="AC90" s="22">
        <f t="shared" si="57"/>
        <v>42.904369431610746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325.55519999999984</v>
      </c>
      <c r="AJ90" s="13">
        <f>AI90*VLOOKUP('Données projet'!$B$10,Paramètres!$A$1:$I$89,3,0)*VLOOKUP('Données projet'!$B$10,Paramètres!$A$1:$I$89,5,0)</f>
        <v>355.50627839999981</v>
      </c>
      <c r="AK90" s="13">
        <f t="shared" si="89"/>
        <v>82.695279049034994</v>
      </c>
      <c r="AL90" s="20">
        <f t="shared" si="58"/>
        <v>763.20104589040227</v>
      </c>
      <c r="AM90" s="59">
        <f t="shared" si="59"/>
        <v>1056.5343792237356</v>
      </c>
      <c r="AN90" s="59">
        <f ca="1">AVERAGE(OFFSET($AM$3,0,0,'Données projet'!$E$10+1,1))-AVERAGE(OFFSET($H$3,0,0,'Données projet'!$E$10+1,1))</f>
        <v>245.5026179711341</v>
      </c>
      <c r="AO90" s="59">
        <f t="shared" si="90"/>
        <v>204.32077840562567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0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0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2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1">
        <f t="shared" si="86"/>
        <v>15.289388641788751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66">
        <f t="shared" si="56"/>
        <v>411.6158185511153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148.39628895278571</v>
      </c>
      <c r="T91" s="59">
        <f t="shared" si="88"/>
        <v>361.07991692964788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39.16083396654038</v>
      </c>
      <c r="AA91" s="21">
        <f>EXP(-LN(2)/25)*AA90+(1-EXP(-LN(2)/25))/(LN(2)/25)*Calculateur!V91*Calculateur!X91*VLOOKUP('Données projet'!$B$9,Paramètres!$A$1:$I$89,3,0)*0.475*44/12</f>
        <v>2.8793074099323874</v>
      </c>
      <c r="AB91" s="21">
        <f>EXP(-LN(2)/2)*AB90+(1-EXP(-LN(2)/2))/(LN(2)/2)*V91*Y91*VLOOKUP('Données projet'!$B$9,Paramètres!$A$1:$I$89,3,0)*0.475*44/12</f>
        <v>8.3748262380352044E-11</v>
      </c>
      <c r="AC91" s="22">
        <f t="shared" si="57"/>
        <v>42.04014137655652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325.55519999999984</v>
      </c>
      <c r="AJ91" s="13">
        <f>AI91*VLOOKUP('Données projet'!$B$10,Paramètres!$A$1:$I$89,3,0)*VLOOKUP('Données projet'!$B$10,Paramètres!$A$1:$I$89,5,0)</f>
        <v>355.50627839999981</v>
      </c>
      <c r="AK91" s="13">
        <f t="shared" si="89"/>
        <v>82.695279049034994</v>
      </c>
      <c r="AL91" s="20">
        <f t="shared" si="58"/>
        <v>763.20104589040227</v>
      </c>
      <c r="AM91" s="59">
        <f t="shared" si="59"/>
        <v>1056.5343792237356</v>
      </c>
      <c r="AN91" s="59">
        <f ca="1">AVERAGE(OFFSET($AM$3,0,0,'Données projet'!$E$10+1,1))-AVERAGE(OFFSET($H$3,0,0,'Données projet'!$E$10+1,1))</f>
        <v>245.5026179711341</v>
      </c>
      <c r="AO91" s="59">
        <f t="shared" si="90"/>
        <v>204.32077840562567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0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0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2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1">
        <f t="shared" si="86"/>
        <v>15.442806897867856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66">
        <f t="shared" si="56"/>
        <v>412.92453868045305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148.39628895278571</v>
      </c>
      <c r="T92" s="59">
        <f t="shared" si="88"/>
        <v>361.07991692964788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38.392913898206722</v>
      </c>
      <c r="AA92" s="21">
        <f>EXP(-LN(2)/25)*AA91+(1-EXP(-LN(2)/25))/(LN(2)/25)*Calculateur!V92*Calculateur!X92*VLOOKUP('Données projet'!$B$9,Paramètres!$A$1:$I$89,3,0)*0.475*44/12</f>
        <v>2.8005725973915903</v>
      </c>
      <c r="AB92" s="21">
        <f>EXP(-LN(2)/2)*AB91+(1-EXP(-LN(2)/2))/(LN(2)/2)*V92*Y92*VLOOKUP('Données projet'!$B$9,Paramètres!$A$1:$I$89,3,0)*0.475*44/12</f>
        <v>5.9218964241737162E-11</v>
      </c>
      <c r="AC92" s="22">
        <f t="shared" si="57"/>
        <v>41.193486495657531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325.55519999999984</v>
      </c>
      <c r="AJ92" s="13">
        <f>AI92*VLOOKUP('Données projet'!$B$10,Paramètres!$A$1:$I$89,3,0)*VLOOKUP('Données projet'!$B$10,Paramètres!$A$1:$I$89,5,0)</f>
        <v>355.50627839999981</v>
      </c>
      <c r="AK92" s="13">
        <f t="shared" si="89"/>
        <v>82.695279049034994</v>
      </c>
      <c r="AL92" s="20">
        <f t="shared" si="58"/>
        <v>763.20104589040227</v>
      </c>
      <c r="AM92" s="59">
        <f t="shared" si="59"/>
        <v>1056.5343792237356</v>
      </c>
      <c r="AN92" s="59">
        <f ca="1">AVERAGE(OFFSET($AM$3,0,0,'Données projet'!$E$10+1,1))-AVERAGE(OFFSET($H$3,0,0,'Données projet'!$E$10+1,1))</f>
        <v>245.5026179711341</v>
      </c>
      <c r="AO92" s="59">
        <f t="shared" si="90"/>
        <v>204.32077840562567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0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0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2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1">
        <f t="shared" si="86"/>
        <v>15.596024630246252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66">
        <f t="shared" si="56"/>
        <v>414.23290956434545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148.39628895278571</v>
      </c>
      <c r="T93" s="59">
        <f t="shared" si="88"/>
        <v>361.07991692964788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37.640052274028093</v>
      </c>
      <c r="AA93" s="21">
        <f>EXP(-LN(2)/25)*AA92+(1-EXP(-LN(2)/25))/(LN(2)/25)*Calculateur!V93*Calculateur!X93*VLOOKUP('Données projet'!$B$9,Paramètres!$A$1:$I$89,3,0)*0.475*44/12</f>
        <v>2.7239907924402051</v>
      </c>
      <c r="AB93" s="21">
        <f>EXP(-LN(2)/2)*AB92+(1-EXP(-LN(2)/2))/(LN(2)/2)*V93*Y93*VLOOKUP('Données projet'!$B$9,Paramètres!$A$1:$I$89,3,0)*0.475*44/12</f>
        <v>4.1874131190176022E-11</v>
      </c>
      <c r="AC93" s="22">
        <f t="shared" si="57"/>
        <v>40.36404306651017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325.55519999999984</v>
      </c>
      <c r="AJ93" s="13">
        <f>AI93*VLOOKUP('Données projet'!$B$10,Paramètres!$A$1:$I$89,3,0)*VLOOKUP('Données projet'!$B$10,Paramètres!$A$1:$I$89,5,0)</f>
        <v>355.50627839999981</v>
      </c>
      <c r="AK93" s="13">
        <f t="shared" si="89"/>
        <v>82.695279049034994</v>
      </c>
      <c r="AL93" s="20">
        <f t="shared" si="58"/>
        <v>763.20104589040227</v>
      </c>
      <c r="AM93" s="59">
        <f t="shared" si="59"/>
        <v>1056.5343792237356</v>
      </c>
      <c r="AN93" s="59">
        <f ca="1">AVERAGE(OFFSET($AM$3,0,0,'Données projet'!$E$10+1,1))-AVERAGE(OFFSET($H$3,0,0,'Données projet'!$E$10+1,1))</f>
        <v>245.5026179711341</v>
      </c>
      <c r="AO93" s="59">
        <f t="shared" si="90"/>
        <v>204.32077840562567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0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0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2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1">
        <f t="shared" si="86"/>
        <v>15.749044324804029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66">
        <f t="shared" si="56"/>
        <v>415.54093553236692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148.39628895278571</v>
      </c>
      <c r="T94" s="59">
        <f t="shared" si="88"/>
        <v>361.07991692964788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36.90195380709936</v>
      </c>
      <c r="AA94" s="21">
        <f>EXP(-LN(2)/25)*AA93+(1-EXP(-LN(2)/25))/(LN(2)/25)*Calculateur!V94*Calculateur!X94*VLOOKUP('Données projet'!$B$9,Paramètres!$A$1:$I$89,3,0)*0.475*44/12</f>
        <v>2.6495031209724775</v>
      </c>
      <c r="AB94" s="21">
        <f>EXP(-LN(2)/2)*AB93+(1-EXP(-LN(2)/2))/(LN(2)/2)*V94*Y94*VLOOKUP('Données projet'!$B$9,Paramètres!$A$1:$I$89,3,0)*0.475*44/12</f>
        <v>2.9609482120868581E-11</v>
      </c>
      <c r="AC94" s="22">
        <f t="shared" si="57"/>
        <v>39.551456928101445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325.55519999999984</v>
      </c>
      <c r="AJ94" s="13">
        <f>AI94*VLOOKUP('Données projet'!$B$10,Paramètres!$A$1:$I$89,3,0)*VLOOKUP('Données projet'!$B$10,Paramètres!$A$1:$I$89,5,0)</f>
        <v>355.50627839999981</v>
      </c>
      <c r="AK94" s="13">
        <f t="shared" si="89"/>
        <v>82.695279049034994</v>
      </c>
      <c r="AL94" s="20">
        <f t="shared" si="58"/>
        <v>763.20104589040227</v>
      </c>
      <c r="AM94" s="59">
        <f t="shared" si="59"/>
        <v>1056.5343792237356</v>
      </c>
      <c r="AN94" s="59">
        <f ca="1">AVERAGE(OFFSET($AM$3,0,0,'Données projet'!$E$10+1,1))-AVERAGE(OFFSET($H$3,0,0,'Données projet'!$E$10+1,1))</f>
        <v>245.5026179711341</v>
      </c>
      <c r="AO94" s="59">
        <f t="shared" si="90"/>
        <v>204.32077840562567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0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0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2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1">
        <f t="shared" si="86"/>
        <v>15.901868409640313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66">
        <f t="shared" si="56"/>
        <v>416.84862081345676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148.39628895278571</v>
      </c>
      <c r="T95" s="59">
        <f t="shared" si="88"/>
        <v>361.07991692964788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36.178329000911489</v>
      </c>
      <c r="AA95" s="21">
        <f>EXP(-LN(2)/25)*AA94+(1-EXP(-LN(2)/25))/(LN(2)/25)*Calculateur!V95*Calculateur!X95*VLOOKUP('Données projet'!$B$9,Paramètres!$A$1:$I$89,3,0)*0.475*44/12</f>
        <v>2.5770523187981715</v>
      </c>
      <c r="AB95" s="21">
        <f>EXP(-LN(2)/2)*AB94+(1-EXP(-LN(2)/2))/(LN(2)/2)*V95*Y95*VLOOKUP('Données projet'!$B$9,Paramètres!$A$1:$I$89,3,0)*0.475*44/12</f>
        <v>2.0937065595088011E-11</v>
      </c>
      <c r="AC95" s="22">
        <f t="shared" si="57"/>
        <v>38.755381319730603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325.55519999999984</v>
      </c>
      <c r="AJ95" s="13">
        <f>AI95*VLOOKUP('Données projet'!$B$10,Paramètres!$A$1:$I$89,3,0)*VLOOKUP('Données projet'!$B$10,Paramètres!$A$1:$I$89,5,0)</f>
        <v>355.50627839999981</v>
      </c>
      <c r="AK95" s="13">
        <f t="shared" si="89"/>
        <v>82.695279049034994</v>
      </c>
      <c r="AL95" s="20">
        <f t="shared" si="58"/>
        <v>763.20104589040227</v>
      </c>
      <c r="AM95" s="59">
        <f t="shared" si="59"/>
        <v>1056.5343792237356</v>
      </c>
      <c r="AN95" s="59">
        <f ca="1">AVERAGE(OFFSET($AM$3,0,0,'Données projet'!$E$10+1,1))-AVERAGE(OFFSET($H$3,0,0,'Données projet'!$E$10+1,1))</f>
        <v>245.5026179711341</v>
      </c>
      <c r="AO95" s="59">
        <f t="shared" si="90"/>
        <v>204.32077840562567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0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0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2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1">
        <f t="shared" si="86"/>
        <v>16.054499257029473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66">
        <f t="shared" si="56"/>
        <v>418.15596953932624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148.39628895278571</v>
      </c>
      <c r="T96" s="59">
        <f t="shared" si="88"/>
        <v>361.07991692964788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35.468894035805413</v>
      </c>
      <c r="AA96" s="21">
        <f>EXP(-LN(2)/25)*AA95+(1-EXP(-LN(2)/25))/(LN(2)/25)*Calculateur!V96*Calculateur!X96*VLOOKUP('Données projet'!$B$9,Paramètres!$A$1:$I$89,3,0)*0.475*44/12</f>
        <v>2.506582687619344</v>
      </c>
      <c r="AB96" s="21">
        <f>EXP(-LN(2)/2)*AB95+(1-EXP(-LN(2)/2))/(LN(2)/2)*V96*Y96*VLOOKUP('Données projet'!$B$9,Paramètres!$A$1:$I$89,3,0)*0.475*44/12</f>
        <v>1.480474106043429E-11</v>
      </c>
      <c r="AC96" s="22">
        <f t="shared" si="57"/>
        <v>37.975476723439563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325.55519999999984</v>
      </c>
      <c r="AJ96" s="13">
        <f>AI96*VLOOKUP('Données projet'!$B$10,Paramètres!$A$1:$I$89,3,0)*VLOOKUP('Données projet'!$B$10,Paramètres!$A$1:$I$89,5,0)</f>
        <v>355.50627839999981</v>
      </c>
      <c r="AK96" s="13">
        <f t="shared" si="89"/>
        <v>82.695279049034994</v>
      </c>
      <c r="AL96" s="20">
        <f t="shared" si="58"/>
        <v>763.20104589040227</v>
      </c>
      <c r="AM96" s="59">
        <f t="shared" si="59"/>
        <v>1056.5343792237356</v>
      </c>
      <c r="AN96" s="59">
        <f ca="1">AVERAGE(OFFSET($AM$3,0,0,'Données projet'!$E$10+1,1))-AVERAGE(OFFSET($H$3,0,0,'Données projet'!$E$10+1,1))</f>
        <v>245.5026179711341</v>
      </c>
      <c r="AO96" s="59">
        <f t="shared" si="90"/>
        <v>204.32077840562567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0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0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2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1">
        <f t="shared" si="86"/>
        <v>16.206939185290693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66">
        <f t="shared" si="56"/>
        <v>419.46298574771453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148.39628895278571</v>
      </c>
      <c r="T97" s="59">
        <f t="shared" si="88"/>
        <v>361.07991692964788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34.773370657652464</v>
      </c>
      <c r="AA97" s="21">
        <f>EXP(-LN(2)/25)*AA96+(1-EXP(-LN(2)/25))/(LN(2)/25)*Calculateur!V97*Calculateur!X97*VLOOKUP('Données projet'!$B$9,Paramètres!$A$1:$I$89,3,0)*0.475*44/12</f>
        <v>2.4380400522109382</v>
      </c>
      <c r="AB97" s="21">
        <f>EXP(-LN(2)/2)*AB96+(1-EXP(-LN(2)/2))/(LN(2)/2)*V97*Y97*VLOOKUP('Données projet'!$B$9,Paramètres!$A$1:$I$89,3,0)*0.475*44/12</f>
        <v>1.0468532797544005E-11</v>
      </c>
      <c r="AC97" s="22">
        <f t="shared" si="57"/>
        <v>37.211410709873867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325.55519999999984</v>
      </c>
      <c r="AJ97" s="13">
        <f>AI97*VLOOKUP('Données projet'!$B$10,Paramètres!$A$1:$I$89,3,0)*VLOOKUP('Données projet'!$B$10,Paramètres!$A$1:$I$89,5,0)</f>
        <v>355.50627839999981</v>
      </c>
      <c r="AK97" s="13">
        <f t="shared" si="89"/>
        <v>82.695279049034994</v>
      </c>
      <c r="AL97" s="20">
        <f t="shared" si="58"/>
        <v>763.20104589040227</v>
      </c>
      <c r="AM97" s="59">
        <f t="shared" si="59"/>
        <v>1056.5343792237356</v>
      </c>
      <c r="AN97" s="59">
        <f ca="1">AVERAGE(OFFSET($AM$3,0,0,'Données projet'!$E$10+1,1))-AVERAGE(OFFSET($H$3,0,0,'Données projet'!$E$10+1,1))</f>
        <v>245.5026179711341</v>
      </c>
      <c r="AO97" s="59">
        <f t="shared" si="90"/>
        <v>204.32077840562567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0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0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2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1">
        <f t="shared" si="86"/>
        <v>16.359190460575874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66">
        <f t="shared" si="56"/>
        <v>420.76967338550281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148.39628895278571</v>
      </c>
      <c r="T98" s="59">
        <f t="shared" si="88"/>
        <v>361.07991692964788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34.091486068717721</v>
      </c>
      <c r="AA98" s="21">
        <f>EXP(-LN(2)/25)*AA97+(1-EXP(-LN(2)/25))/(LN(2)/25)*Calculateur!V98*Calculateur!X98*VLOOKUP('Données projet'!$B$9,Paramètres!$A$1:$I$89,3,0)*0.475*44/12</f>
        <v>2.3713717187722758</v>
      </c>
      <c r="AB98" s="21">
        <f>EXP(-LN(2)/2)*AB97+(1-EXP(-LN(2)/2))/(LN(2)/2)*V98*Y98*VLOOKUP('Données projet'!$B$9,Paramètres!$A$1:$I$89,3,0)*0.475*44/12</f>
        <v>7.4023705302171452E-12</v>
      </c>
      <c r="AC98" s="22">
        <f t="shared" si="57"/>
        <v>36.462857787497398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325.55519999999984</v>
      </c>
      <c r="AJ98" s="13">
        <f>AI98*VLOOKUP('Données projet'!$B$10,Paramètres!$A$1:$I$89,3,0)*VLOOKUP('Données projet'!$B$10,Paramètres!$A$1:$I$89,5,0)</f>
        <v>355.50627839999981</v>
      </c>
      <c r="AK98" s="13">
        <f t="shared" si="89"/>
        <v>82.695279049034994</v>
      </c>
      <c r="AL98" s="20">
        <f t="shared" si="58"/>
        <v>763.20104589040227</v>
      </c>
      <c r="AM98" s="59">
        <f t="shared" si="59"/>
        <v>1056.5343792237356</v>
      </c>
      <c r="AN98" s="59">
        <f ca="1">AVERAGE(OFFSET($AM$3,0,0,'Données projet'!$E$10+1,1))-AVERAGE(OFFSET($H$3,0,0,'Données projet'!$E$10+1,1))</f>
        <v>245.5026179711341</v>
      </c>
      <c r="AO98" s="59">
        <f t="shared" si="90"/>
        <v>204.32077840562567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0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0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2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1">
        <f t="shared" si="86"/>
        <v>16.51125529857994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66">
        <f t="shared" si="56"/>
        <v>422.07603631169331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148.39628895278571</v>
      </c>
      <c r="T99" s="59">
        <f t="shared" si="88"/>
        <v>361.07991692964788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33.422972820663453</v>
      </c>
      <c r="AA99" s="21">
        <f>EXP(-LN(2)/25)*AA98+(1-EXP(-LN(2)/25))/(LN(2)/25)*Calculateur!V99*Calculateur!X99*VLOOKUP('Données projet'!$B$9,Paramètres!$A$1:$I$89,3,0)*0.475*44/12</f>
        <v>2.306526434417429</v>
      </c>
      <c r="AB99" s="21">
        <f>EXP(-LN(2)/2)*AB98+(1-EXP(-LN(2)/2))/(LN(2)/2)*V99*Y99*VLOOKUP('Données projet'!$B$9,Paramètres!$A$1:$I$89,3,0)*0.475*44/12</f>
        <v>5.2342663987720027E-12</v>
      </c>
      <c r="AC99" s="22">
        <f t="shared" si="57"/>
        <v>35.729499255086118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325.55519999999984</v>
      </c>
      <c r="AJ99" s="13">
        <f>AI99*VLOOKUP('Données projet'!$B$10,Paramètres!$A$1:$I$89,3,0)*VLOOKUP('Données projet'!$B$10,Paramètres!$A$1:$I$89,5,0)</f>
        <v>355.50627839999981</v>
      </c>
      <c r="AK99" s="13">
        <f t="shared" si="89"/>
        <v>82.695279049034994</v>
      </c>
      <c r="AL99" s="20">
        <f t="shared" si="58"/>
        <v>763.20104589040227</v>
      </c>
      <c r="AM99" s="59">
        <f t="shared" si="59"/>
        <v>1056.5343792237356</v>
      </c>
      <c r="AN99" s="59">
        <f ca="1">AVERAGE(OFFSET($AM$3,0,0,'Données projet'!$E$10+1,1))-AVERAGE(OFFSET($H$3,0,0,'Données projet'!$E$10+1,1))</f>
        <v>245.5026179711341</v>
      </c>
      <c r="AO99" s="59">
        <f t="shared" si="90"/>
        <v>204.32077840562567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0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0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2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1">
        <f t="shared" si="86"/>
        <v>16.663135866177953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66">
        <f t="shared" si="56"/>
        <v>423.38207830025976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148.39628895278571</v>
      </c>
      <c r="T100" s="59">
        <f t="shared" si="88"/>
        <v>361.07991692964788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32.76756870965071</v>
      </c>
      <c r="AA100" s="21">
        <f>EXP(-LN(2)/25)*AA99+(1-EXP(-LN(2)/25))/(LN(2)/25)*Calculateur!V100*Calculateur!X100*VLOOKUP('Données projet'!$B$9,Paramètres!$A$1:$I$89,3,0)*0.475*44/12</f>
        <v>2.2434543477733309</v>
      </c>
      <c r="AB100" s="21">
        <f>EXP(-LN(2)/2)*AB99+(1-EXP(-LN(2)/2))/(LN(2)/2)*V100*Y100*VLOOKUP('Données projet'!$B$9,Paramètres!$A$1:$I$89,3,0)*0.475*44/12</f>
        <v>3.7011852651085726E-12</v>
      </c>
      <c r="AC100" s="22">
        <f t="shared" si="57"/>
        <v>35.011023057427742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325.55519999999984</v>
      </c>
      <c r="AJ100" s="13">
        <f>AI100*VLOOKUP('Données projet'!$B$10,Paramètres!$A$1:$I$89,3,0)*VLOOKUP('Données projet'!$B$10,Paramètres!$A$1:$I$89,5,0)</f>
        <v>355.50627839999981</v>
      </c>
      <c r="AK100" s="13">
        <f t="shared" si="89"/>
        <v>82.695279049034994</v>
      </c>
      <c r="AL100" s="20">
        <f t="shared" si="58"/>
        <v>763.20104589040227</v>
      </c>
      <c r="AM100" s="59">
        <f t="shared" si="59"/>
        <v>1056.5343792237356</v>
      </c>
      <c r="AN100" s="59">
        <f ca="1">AVERAGE(OFFSET($AM$3,0,0,'Données projet'!$E$10+1,1))-AVERAGE(OFFSET($H$3,0,0,'Données projet'!$E$10+1,1))</f>
        <v>245.5026179711341</v>
      </c>
      <c r="AO100" s="59">
        <f t="shared" si="90"/>
        <v>204.32077840562567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0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2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1">
        <f t="shared" si="86"/>
        <v>16.81483428299277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66">
        <f t="shared" si="56"/>
        <v>424.68780304287895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148.39628895278571</v>
      </c>
      <c r="T101" s="59">
        <f t="shared" si="88"/>
        <v>361.07991692964788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32.125016673497896</v>
      </c>
      <c r="AA101" s="21">
        <f>EXP(-LN(2)/25)*AA100+(1-EXP(-LN(2)/25))/(LN(2)/25)*Calculateur!V101*Calculateur!X101*VLOOKUP('Données projet'!$B$9,Paramètres!$A$1:$I$89,3,0)*0.475*44/12</f>
        <v>2.1821069706553327</v>
      </c>
      <c r="AB101" s="21">
        <f>EXP(-LN(2)/2)*AB100+(1-EXP(-LN(2)/2))/(LN(2)/2)*V101*Y101*VLOOKUP('Données projet'!$B$9,Paramètres!$A$1:$I$89,3,0)*0.475*44/12</f>
        <v>2.6171331993860014E-12</v>
      </c>
      <c r="AC101" s="22">
        <f t="shared" si="57"/>
        <v>34.307123644155844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325.55519999999984</v>
      </c>
      <c r="AJ101" s="13">
        <f>AI101*VLOOKUP('Données projet'!$B$10,Paramètres!$A$1:$I$89,3,0)*VLOOKUP('Données projet'!$B$10,Paramètres!$A$1:$I$89,5,0)</f>
        <v>355.50627839999981</v>
      </c>
      <c r="AK101" s="13">
        <f t="shared" si="89"/>
        <v>82.695279049034994</v>
      </c>
      <c r="AL101" s="20">
        <f t="shared" si="58"/>
        <v>763.20104589040227</v>
      </c>
      <c r="AM101" s="59">
        <f t="shared" si="59"/>
        <v>1056.5343792237356</v>
      </c>
      <c r="AN101" s="59">
        <f ca="1">AVERAGE(OFFSET($AM$3,0,0,'Données projet'!$E$10+1,1))-AVERAGE(OFFSET($H$3,0,0,'Données projet'!$E$10+1,1))</f>
        <v>245.5026179711341</v>
      </c>
      <c r="AO101" s="59">
        <f t="shared" si="90"/>
        <v>204.32077840562567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0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2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1">
        <f t="shared" si="86"/>
        <v>16.96635262289686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66">
        <f t="shared" si="56"/>
        <v>425.9932141515452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148.39628895278571</v>
      </c>
      <c r="T102" s="59">
        <f t="shared" si="88"/>
        <v>361.07991692964788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31.495064690855994</v>
      </c>
      <c r="AA102" s="21">
        <f>EXP(-LN(2)/25)*AA101+(1-EXP(-LN(2)/25))/(LN(2)/25)*Calculateur!V102*Calculateur!X102*VLOOKUP('Données projet'!$B$9,Paramètres!$A$1:$I$89,3,0)*0.475*44/12</f>
        <v>2.1224371407907441</v>
      </c>
      <c r="AB102" s="21">
        <f>EXP(-LN(2)/2)*AB101+(1-EXP(-LN(2)/2))/(LN(2)/2)*V102*Y102*VLOOKUP('Données projet'!$B$9,Paramètres!$A$1:$I$89,3,0)*0.475*44/12</f>
        <v>1.8505926325542863E-12</v>
      </c>
      <c r="AC102" s="22">
        <f t="shared" si="57"/>
        <v>33.617501831648582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325.55519999999984</v>
      </c>
      <c r="AJ102" s="13">
        <f>AI102*VLOOKUP('Données projet'!$B$10,Paramètres!$A$1:$I$89,3,0)*VLOOKUP('Données projet'!$B$10,Paramètres!$A$1:$I$89,5,0)</f>
        <v>355.50627839999981</v>
      </c>
      <c r="AK102" s="13">
        <f t="shared" si="89"/>
        <v>82.695279049034994</v>
      </c>
      <c r="AL102" s="20">
        <f t="shared" si="58"/>
        <v>763.20104589040227</v>
      </c>
      <c r="AM102" s="59">
        <f t="shared" si="59"/>
        <v>1056.5343792237356</v>
      </c>
      <c r="AN102" s="59">
        <f ca="1">AVERAGE(OFFSET($AM$3,0,0,'Données projet'!$E$10+1,1))-AVERAGE(OFFSET($H$3,0,0,'Données projet'!$E$10+1,1))</f>
        <v>245.5026179711341</v>
      </c>
      <c r="AO102" s="59">
        <f t="shared" si="90"/>
        <v>204.32077840562567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0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2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1">
        <f t="shared" si="86"/>
        <v>17.117692915451709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66">
        <f t="shared" si="56"/>
        <v>427.29831516107822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148.39628895278571</v>
      </c>
      <c r="T103" s="59">
        <f t="shared" si="88"/>
        <v>361.07991692964788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30.877465682360931</v>
      </c>
      <c r="AA103" s="21">
        <f>EXP(-LN(2)/25)*AA102+(1-EXP(-LN(2)/25))/(LN(2)/25)*Calculateur!V103*Calculateur!X103*VLOOKUP('Données projet'!$B$9,Paramètres!$A$1:$I$89,3,0)*0.475*44/12</f>
        <v>2.0643989855617026</v>
      </c>
      <c r="AB103" s="21">
        <f>EXP(-LN(2)/2)*AB102+(1-EXP(-LN(2)/2))/(LN(2)/2)*V103*Y103*VLOOKUP('Données projet'!$B$9,Paramètres!$A$1:$I$89,3,0)*0.475*44/12</f>
        <v>1.3085665996930007E-12</v>
      </c>
      <c r="AC103" s="22">
        <f t="shared" si="57"/>
        <v>32.941864667923944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325.55519999999984</v>
      </c>
      <c r="AJ103" s="13">
        <f>AI103*VLOOKUP('Données projet'!$B$10,Paramètres!$A$1:$I$89,3,0)*VLOOKUP('Données projet'!$B$10,Paramètres!$A$1:$I$89,5,0)</f>
        <v>355.50627839999981</v>
      </c>
      <c r="AK103" s="13">
        <f t="shared" si="89"/>
        <v>82.695279049034994</v>
      </c>
      <c r="AL103" s="20">
        <f t="shared" si="58"/>
        <v>763.20104589040227</v>
      </c>
      <c r="AM103" s="59">
        <f t="shared" si="59"/>
        <v>1056.5343792237356</v>
      </c>
      <c r="AN103" s="59">
        <f ca="1">AVERAGE(OFFSET($AM$3,0,0,'Données projet'!$E$10+1,1))-AVERAGE(OFFSET($H$3,0,0,'Données projet'!$E$10+1,1))</f>
        <v>245.5026179711341</v>
      </c>
      <c r="AO103" s="59">
        <f t="shared" si="90"/>
        <v>204.32077840562567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0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2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1">
        <f t="shared" si="86"/>
        <v>17.268857147288056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66">
        <f t="shared" si="56"/>
        <v>428.60310953152657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148.39628895278571</v>
      </c>
      <c r="T104" s="59">
        <f t="shared" si="88"/>
        <v>361.07991692964788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30.271977413724258</v>
      </c>
      <c r="AA104" s="21">
        <f>EXP(-LN(2)/25)*AA103+(1-EXP(-LN(2)/25))/(LN(2)/25)*Calculateur!V104*Calculateur!X104*VLOOKUP('Données projet'!$B$9,Paramètres!$A$1:$I$89,3,0)*0.475*44/12</f>
        <v>2.0079478867394935</v>
      </c>
      <c r="AB104" s="21">
        <f>EXP(-LN(2)/2)*AB103+(1-EXP(-LN(2)/2))/(LN(2)/2)*V104*Y104*VLOOKUP('Données projet'!$B$9,Paramètres!$A$1:$I$89,3,0)*0.475*44/12</f>
        <v>9.2529631627714316E-13</v>
      </c>
      <c r="AC104" s="22">
        <f t="shared" si="57"/>
        <v>32.279925300464676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325.55519999999984</v>
      </c>
      <c r="AJ104" s="13">
        <f>AI104*VLOOKUP('Données projet'!$B$10,Paramètres!$A$1:$I$89,3,0)*VLOOKUP('Données projet'!$B$10,Paramètres!$A$1:$I$89,5,0)</f>
        <v>355.50627839999981</v>
      </c>
      <c r="AK104" s="13">
        <f t="shared" si="89"/>
        <v>82.695279049034994</v>
      </c>
      <c r="AL104" s="20">
        <f t="shared" si="58"/>
        <v>763.20104589040227</v>
      </c>
      <c r="AM104" s="59">
        <f t="shared" si="59"/>
        <v>1056.5343792237356</v>
      </c>
      <c r="AN104" s="59">
        <f ca="1">AVERAGE(OFFSET($AM$3,0,0,'Données projet'!$E$10+1,1))-AVERAGE(OFFSET($H$3,0,0,'Données projet'!$E$10+1,1))</f>
        <v>245.5026179711341</v>
      </c>
      <c r="AO104" s="59">
        <f t="shared" si="90"/>
        <v>204.32077840562567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0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2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1">
        <f t="shared" si="86"/>
        <v>17.419847263429784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66">
        <f t="shared" si="56"/>
        <v>429.9076006504734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148.39628895278571</v>
      </c>
      <c r="T105" s="59">
        <f t="shared" si="88"/>
        <v>361.07991692964788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29.678362400724172</v>
      </c>
      <c r="AA105" s="21">
        <f>EXP(-LN(2)/25)*AA104+(1-EXP(-LN(2)/25))/(LN(2)/25)*Calculateur!V105*Calculateur!X105*VLOOKUP('Données projet'!$B$9,Paramètres!$A$1:$I$89,3,0)*0.475*44/12</f>
        <v>1.953040446183212</v>
      </c>
      <c r="AB105" s="21">
        <f>EXP(-LN(2)/2)*AB104+(1-EXP(-LN(2)/2))/(LN(2)/2)*V105*Y105*VLOOKUP('Données projet'!$B$9,Paramètres!$A$1:$I$89,3,0)*0.475*44/12</f>
        <v>6.5428329984650034E-13</v>
      </c>
      <c r="AC105" s="22">
        <f t="shared" si="57"/>
        <v>31.631402846908038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325.55519999999984</v>
      </c>
      <c r="AJ105" s="13">
        <f>AI105*VLOOKUP('Données projet'!$B$10,Paramètres!$A$1:$I$89,3,0)*VLOOKUP('Données projet'!$B$10,Paramètres!$A$1:$I$89,5,0)</f>
        <v>355.50627839999981</v>
      </c>
      <c r="AK105" s="13">
        <f t="shared" si="89"/>
        <v>82.695279049034994</v>
      </c>
      <c r="AL105" s="20">
        <f t="shared" si="58"/>
        <v>763.20104589040227</v>
      </c>
      <c r="AM105" s="59">
        <f t="shared" si="59"/>
        <v>1056.5343792237356</v>
      </c>
      <c r="AN105" s="59">
        <f ca="1">AVERAGE(OFFSET($AM$3,0,0,'Données projet'!$E$10+1,1))-AVERAGE(OFFSET($H$3,0,0,'Données projet'!$E$10+1,1))</f>
        <v>245.5026179711341</v>
      </c>
      <c r="AO105" s="59">
        <f t="shared" si="90"/>
        <v>204.32077840562567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0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2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1">
        <f t="shared" si="86"/>
        <v>17.570665168564602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66">
        <f t="shared" si="56"/>
        <v>431.21179183524987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148.39628895278571</v>
      </c>
      <c r="T106" s="59">
        <f t="shared" si="88"/>
        <v>361.07991692964788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29.096387816059611</v>
      </c>
      <c r="AA106" s="21">
        <f>EXP(-LN(2)/25)*AA105+(1-EXP(-LN(2)/25))/(LN(2)/25)*Calculateur!V106*Calculateur!X106*VLOOKUP('Données projet'!$B$9,Paramètres!$A$1:$I$89,3,0)*0.475*44/12</f>
        <v>1.8996344524763988</v>
      </c>
      <c r="AB106" s="21">
        <f>EXP(-LN(2)/2)*AB105+(1-EXP(-LN(2)/2))/(LN(2)/2)*V106*Y106*VLOOKUP('Données projet'!$B$9,Paramètres!$A$1:$I$89,3,0)*0.475*44/12</f>
        <v>4.6264815813857158E-13</v>
      </c>
      <c r="AC106" s="22">
        <f t="shared" si="57"/>
        <v>30.996022268536471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325.55519999999984</v>
      </c>
      <c r="AJ106" s="13">
        <f>AI106*VLOOKUP('Données projet'!$B$10,Paramètres!$A$1:$I$89,3,0)*VLOOKUP('Données projet'!$B$10,Paramètres!$A$1:$I$89,5,0)</f>
        <v>355.50627839999981</v>
      </c>
      <c r="AK106" s="13">
        <f t="shared" si="89"/>
        <v>82.695279049034994</v>
      </c>
      <c r="AL106" s="20">
        <f t="shared" si="58"/>
        <v>763.20104589040227</v>
      </c>
      <c r="AM106" s="59">
        <f t="shared" si="59"/>
        <v>1056.5343792237356</v>
      </c>
      <c r="AN106" s="59">
        <f ca="1">AVERAGE(OFFSET($AM$3,0,0,'Données projet'!$E$10+1,1))-AVERAGE(OFFSET($H$3,0,0,'Données projet'!$E$10+1,1))</f>
        <v>245.5026179711341</v>
      </c>
      <c r="AO106" s="59">
        <f t="shared" si="90"/>
        <v>204.32077840562567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0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2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1">
        <f t="shared" si="86"/>
        <v>17.721312728263729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66">
        <f t="shared" si="56"/>
        <v>432.51568633505917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148.39628895278571</v>
      </c>
      <c r="T107" s="59">
        <f t="shared" si="88"/>
        <v>361.07991692964788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28.525825398030875</v>
      </c>
      <c r="AA107" s="21">
        <f>EXP(-LN(2)/25)*AA106+(1-EXP(-LN(2)/25))/(LN(2)/25)*Calculateur!V107*Calculateur!X107*VLOOKUP('Données projet'!$B$9,Paramètres!$A$1:$I$89,3,0)*0.475*44/12</f>
        <v>1.8476888484759975</v>
      </c>
      <c r="AB107" s="21">
        <f>EXP(-LN(2)/2)*AB106+(1-EXP(-LN(2)/2))/(LN(2)/2)*V107*Y107*VLOOKUP('Données projet'!$B$9,Paramètres!$A$1:$I$89,3,0)*0.475*44/12</f>
        <v>3.2714164992325017E-13</v>
      </c>
      <c r="AC107" s="22">
        <f t="shared" si="57"/>
        <v>30.373514246507199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325.55519999999984</v>
      </c>
      <c r="AJ107" s="13">
        <f>AI107*VLOOKUP('Données projet'!$B$10,Paramètres!$A$1:$I$89,3,0)*VLOOKUP('Données projet'!$B$10,Paramètres!$A$1:$I$89,5,0)</f>
        <v>355.50627839999981</v>
      </c>
      <c r="AK107" s="13">
        <f t="shared" si="89"/>
        <v>82.695279049034994</v>
      </c>
      <c r="AL107" s="20">
        <f t="shared" si="58"/>
        <v>763.20104589040227</v>
      </c>
      <c r="AM107" s="59">
        <f t="shared" si="59"/>
        <v>1056.5343792237356</v>
      </c>
      <c r="AN107" s="59">
        <f ca="1">AVERAGE(OFFSET($AM$3,0,0,'Données projet'!$E$10+1,1))-AVERAGE(OFFSET($H$3,0,0,'Données projet'!$E$10+1,1))</f>
        <v>245.5026179711341</v>
      </c>
      <c r="AO107" s="59">
        <f t="shared" si="90"/>
        <v>204.32077840562567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0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2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1">
        <f t="shared" si="86"/>
        <v>17.871791770153557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66">
        <f t="shared" si="56"/>
        <v>433.81928733301731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148.39628895278571</v>
      </c>
      <c r="T108" s="59">
        <f t="shared" si="88"/>
        <v>361.07991692964788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27.966451361010972</v>
      </c>
      <c r="AA108" s="21">
        <f>EXP(-LN(2)/25)*AA107+(1-EXP(-LN(2)/25))/(LN(2)/25)*Calculateur!V108*Calculateur!X108*VLOOKUP('Données projet'!$B$9,Paramètres!$A$1:$I$89,3,0)*0.475*44/12</f>
        <v>1.7971636997486877</v>
      </c>
      <c r="AB108" s="21">
        <f>EXP(-LN(2)/2)*AB107+(1-EXP(-LN(2)/2))/(LN(2)/2)*V108*Y108*VLOOKUP('Données projet'!$B$9,Paramètres!$A$1:$I$89,3,0)*0.475*44/12</f>
        <v>2.3132407906928579E-13</v>
      </c>
      <c r="AC108" s="22">
        <f t="shared" si="57"/>
        <v>29.763615060759889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325.55519999999984</v>
      </c>
      <c r="AJ108" s="13">
        <f>AI108*VLOOKUP('Données projet'!$B$10,Paramètres!$A$1:$I$89,3,0)*VLOOKUP('Données projet'!$B$10,Paramètres!$A$1:$I$89,5,0)</f>
        <v>355.50627839999981</v>
      </c>
      <c r="AK108" s="13">
        <f t="shared" si="89"/>
        <v>82.695279049034994</v>
      </c>
      <c r="AL108" s="20">
        <f t="shared" si="58"/>
        <v>763.20104589040227</v>
      </c>
      <c r="AM108" s="59">
        <f t="shared" si="59"/>
        <v>1056.5343792237356</v>
      </c>
      <c r="AN108" s="59">
        <f ca="1">AVERAGE(OFFSET($AM$3,0,0,'Données projet'!$E$10+1,1))-AVERAGE(OFFSET($H$3,0,0,'Données projet'!$E$10+1,1))</f>
        <v>245.5026179711341</v>
      </c>
      <c r="AO108" s="59">
        <f t="shared" si="90"/>
        <v>204.32077840562567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0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2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1">
        <f t="shared" si="86"/>
        <v>18.022104085041239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66">
        <f t="shared" si="56"/>
        <v>435.12259794811337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148.39628895278571</v>
      </c>
      <c r="T109" s="59">
        <f t="shared" si="88"/>
        <v>361.07991692964788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27.418046307672554</v>
      </c>
      <c r="AA109" s="21">
        <f>EXP(-LN(2)/25)*AA108+(1-EXP(-LN(2)/25))/(LN(2)/25)*Calculateur!V109*Calculateur!X109*VLOOKUP('Données projet'!$B$9,Paramètres!$A$1:$I$89,3,0)*0.475*44/12</f>
        <v>1.7480201638703283</v>
      </c>
      <c r="AB109" s="21">
        <f>EXP(-LN(2)/2)*AB108+(1-EXP(-LN(2)/2))/(LN(2)/2)*V109*Y109*VLOOKUP('Données projet'!$B$9,Paramètres!$A$1:$I$89,3,0)*0.475*44/12</f>
        <v>1.6357082496162509E-13</v>
      </c>
      <c r="AC109" s="22">
        <f t="shared" si="57"/>
        <v>29.166066471543047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325.55519999999984</v>
      </c>
      <c r="AJ109" s="13">
        <f>AI109*VLOOKUP('Données projet'!$B$10,Paramètres!$A$1:$I$89,3,0)*VLOOKUP('Données projet'!$B$10,Paramètres!$A$1:$I$89,5,0)</f>
        <v>355.50627839999981</v>
      </c>
      <c r="AK109" s="13">
        <f t="shared" si="89"/>
        <v>82.695279049034994</v>
      </c>
      <c r="AL109" s="20">
        <f t="shared" si="58"/>
        <v>763.20104589040227</v>
      </c>
      <c r="AM109" s="59">
        <f t="shared" si="59"/>
        <v>1056.5343792237356</v>
      </c>
      <c r="AN109" s="59">
        <f ca="1">AVERAGE(OFFSET($AM$3,0,0,'Données projet'!$E$10+1,1))-AVERAGE(OFFSET($H$3,0,0,'Données projet'!$E$10+1,1))</f>
        <v>245.5026179711341</v>
      </c>
      <c r="AO109" s="59">
        <f t="shared" si="90"/>
        <v>204.32077840562567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0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2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1">
        <f t="shared" si="86"/>
        <v>18.172251427996631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66">
        <f t="shared" si="56"/>
        <v>436.42562123709399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148.39628895278571</v>
      </c>
      <c r="T110" s="59">
        <f t="shared" si="88"/>
        <v>361.07991692964788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26.880395142936049</v>
      </c>
      <c r="AA110" s="21">
        <f>EXP(-LN(2)/25)*AA109+(1-EXP(-LN(2)/25))/(LN(2)/25)*Calculateur!V110*Calculateur!X110*VLOOKUP('Données projet'!$B$9,Paramètres!$A$1:$I$89,3,0)*0.475*44/12</f>
        <v>1.7002204605649089</v>
      </c>
      <c r="AB110" s="21">
        <f>EXP(-LN(2)/2)*AB109+(1-EXP(-LN(2)/2))/(LN(2)/2)*V110*Y110*VLOOKUP('Données projet'!$B$9,Paramètres!$A$1:$I$89,3,0)*0.475*44/12</f>
        <v>1.1566203953464289E-13</v>
      </c>
      <c r="AC110" s="22">
        <f t="shared" si="57"/>
        <v>28.580615603501077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325.55519999999984</v>
      </c>
      <c r="AJ110" s="13">
        <f>AI110*VLOOKUP('Données projet'!$B$10,Paramètres!$A$1:$I$89,3,0)*VLOOKUP('Données projet'!$B$10,Paramètres!$A$1:$I$89,5,0)</f>
        <v>355.50627839999981</v>
      </c>
      <c r="AK110" s="13">
        <f t="shared" si="89"/>
        <v>82.695279049034994</v>
      </c>
      <c r="AL110" s="20">
        <f t="shared" si="58"/>
        <v>763.20104589040227</v>
      </c>
      <c r="AM110" s="59">
        <f t="shared" si="59"/>
        <v>1056.5343792237356</v>
      </c>
      <c r="AN110" s="59">
        <f ca="1">AVERAGE(OFFSET($AM$3,0,0,'Données projet'!$E$10+1,1))-AVERAGE(OFFSET($H$3,0,0,'Données projet'!$E$10+1,1))</f>
        <v>245.5026179711341</v>
      </c>
      <c r="AO110" s="59">
        <f t="shared" si="90"/>
        <v>204.32077840562567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0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2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1">
        <f t="shared" si="86"/>
        <v>18.322235519392716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66">
        <f t="shared" si="56"/>
        <v>437.7283601962755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148.39628895278571</v>
      </c>
      <c r="T111" s="59">
        <f t="shared" si="88"/>
        <v>361.07991692964788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26.353286989605195</v>
      </c>
      <c r="AA111" s="21">
        <f>EXP(-LN(2)/25)*AA110+(1-EXP(-LN(2)/25))/(LN(2)/25)*Calculateur!V111*Calculateur!X111*VLOOKUP('Données projet'!$B$9,Paramètres!$A$1:$I$89,3,0)*0.475*44/12</f>
        <v>1.6537278426600535</v>
      </c>
      <c r="AB111" s="21">
        <f>EXP(-LN(2)/2)*AB110+(1-EXP(-LN(2)/2))/(LN(2)/2)*V111*Y111*VLOOKUP('Données projet'!$B$9,Paramètres!$A$1:$I$89,3,0)*0.475*44/12</f>
        <v>8.1785412480812543E-14</v>
      </c>
      <c r="AC111" s="22">
        <f t="shared" si="57"/>
        <v>28.00701483226533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325.55519999999984</v>
      </c>
      <c r="AJ111" s="13">
        <f>AI111*VLOOKUP('Données projet'!$B$10,Paramètres!$A$1:$I$89,3,0)*VLOOKUP('Données projet'!$B$10,Paramètres!$A$1:$I$89,5,0)</f>
        <v>355.50627839999981</v>
      </c>
      <c r="AK111" s="13">
        <f t="shared" si="89"/>
        <v>82.695279049034994</v>
      </c>
      <c r="AL111" s="20">
        <f t="shared" si="58"/>
        <v>763.20104589040227</v>
      </c>
      <c r="AM111" s="59">
        <f t="shared" si="59"/>
        <v>1056.5343792237356</v>
      </c>
      <c r="AN111" s="59">
        <f ca="1">AVERAGE(OFFSET($AM$3,0,0,'Données projet'!$E$10+1,1))-AVERAGE(OFFSET($H$3,0,0,'Données projet'!$E$10+1,1))</f>
        <v>245.5026179711341</v>
      </c>
      <c r="AO111" s="59">
        <f t="shared" si="90"/>
        <v>204.32077840562567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0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2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1">
        <f t="shared" si="86"/>
        <v>18.472058045906209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66">
        <f t="shared" si="56"/>
        <v>439.03081776328651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148.39628895278571</v>
      </c>
      <c r="T112" s="59">
        <f t="shared" si="88"/>
        <v>361.07991692964788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25.836515105656932</v>
      </c>
      <c r="AA112" s="21">
        <f>EXP(-LN(2)/25)*AA111+(1-EXP(-LN(2)/25))/(LN(2)/25)*Calculateur!V112*Calculateur!X112*VLOOKUP('Données projet'!$B$9,Paramètres!$A$1:$I$89,3,0)*0.475*44/12</f>
        <v>1.6085065678367467</v>
      </c>
      <c r="AB112" s="21">
        <f>EXP(-LN(2)/2)*AB111+(1-EXP(-LN(2)/2))/(LN(2)/2)*V112*Y112*VLOOKUP('Données projet'!$B$9,Paramètres!$A$1:$I$89,3,0)*0.475*44/12</f>
        <v>5.7831019767321447E-14</v>
      </c>
      <c r="AC112" s="22">
        <f t="shared" si="57"/>
        <v>27.445021673493734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325.55519999999984</v>
      </c>
      <c r="AJ112" s="13">
        <f>AI112*VLOOKUP('Données projet'!$B$10,Paramètres!$A$1:$I$89,3,0)*VLOOKUP('Données projet'!$B$10,Paramètres!$A$1:$I$89,5,0)</f>
        <v>355.50627839999981</v>
      </c>
      <c r="AK112" s="13">
        <f t="shared" si="89"/>
        <v>82.695279049034994</v>
      </c>
      <c r="AL112" s="20">
        <f t="shared" si="58"/>
        <v>763.20104589040227</v>
      </c>
      <c r="AM112" s="59">
        <f t="shared" si="59"/>
        <v>1056.5343792237356</v>
      </c>
      <c r="AN112" s="59">
        <f ca="1">AVERAGE(OFFSET($AM$3,0,0,'Données projet'!$E$10+1,1))-AVERAGE(OFFSET($H$3,0,0,'Données projet'!$E$10+1,1))</f>
        <v>245.5026179711341</v>
      </c>
      <c r="AO112" s="59">
        <f t="shared" si="90"/>
        <v>204.32077840562567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0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2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1">
        <f t="shared" si="86"/>
        <v>18.621720661480627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66">
        <f t="shared" si="56"/>
        <v>440.3329968187453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148.39628895278571</v>
      </c>
      <c r="T113" s="59">
        <f t="shared" si="88"/>
        <v>361.07991692964788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25.329876803153169</v>
      </c>
      <c r="AA113" s="21">
        <f>EXP(-LN(2)/25)*AA112+(1-EXP(-LN(2)/25))/(LN(2)/25)*Calculateur!V113*Calculateur!X113*VLOOKUP('Données projet'!$B$9,Paramètres!$A$1:$I$89,3,0)*0.475*44/12</f>
        <v>1.5645218711515667</v>
      </c>
      <c r="AB113" s="21">
        <f>EXP(-LN(2)/2)*AB112+(1-EXP(-LN(2)/2))/(LN(2)/2)*V113*Y113*VLOOKUP('Données projet'!$B$9,Paramètres!$A$1:$I$89,3,0)*0.475*44/12</f>
        <v>4.0892706240406271E-14</v>
      </c>
      <c r="AC113" s="22">
        <f t="shared" si="57"/>
        <v>26.894398674304778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325.55519999999984</v>
      </c>
      <c r="AJ113" s="13">
        <f>AI113*VLOOKUP('Données projet'!$B$10,Paramètres!$A$1:$I$89,3,0)*VLOOKUP('Données projet'!$B$10,Paramètres!$A$1:$I$89,5,0)</f>
        <v>355.50627839999981</v>
      </c>
      <c r="AK113" s="13">
        <f t="shared" si="89"/>
        <v>82.695279049034994</v>
      </c>
      <c r="AL113" s="20">
        <f t="shared" si="58"/>
        <v>763.20104589040227</v>
      </c>
      <c r="AM113" s="59">
        <f t="shared" si="59"/>
        <v>1056.5343792237356</v>
      </c>
      <c r="AN113" s="59">
        <f ca="1">AVERAGE(OFFSET($AM$3,0,0,'Données projet'!$E$10+1,1))-AVERAGE(OFFSET($H$3,0,0,'Données projet'!$E$10+1,1))</f>
        <v>245.5026179711341</v>
      </c>
      <c r="AO113" s="59">
        <f t="shared" si="90"/>
        <v>204.32077840562567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0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2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1">
        <f t="shared" si="86"/>
        <v>18.771224988253078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66">
        <f t="shared" si="56"/>
        <v>441.634900187874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148.39628895278571</v>
      </c>
      <c r="T114" s="59">
        <f t="shared" si="88"/>
        <v>361.07991692964788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24.833173368742653</v>
      </c>
      <c r="AA114" s="21">
        <f>EXP(-LN(2)/25)*AA113+(1-EXP(-LN(2)/25))/(LN(2)/25)*Calculateur!V114*Calculateur!X114*VLOOKUP('Données projet'!$B$9,Paramètres!$A$1:$I$89,3,0)*0.475*44/12</f>
        <v>1.5217399383102976</v>
      </c>
      <c r="AB114" s="21">
        <f>EXP(-LN(2)/2)*AB113+(1-EXP(-LN(2)/2))/(LN(2)/2)*V114*Y114*VLOOKUP('Données projet'!$B$9,Paramètres!$A$1:$I$89,3,0)*0.475*44/12</f>
        <v>2.8915509883660724E-14</v>
      </c>
      <c r="AC114" s="22">
        <f t="shared" si="57"/>
        <v>26.354913307052978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325.55519999999984</v>
      </c>
      <c r="AJ114" s="13">
        <f>AI114*VLOOKUP('Données projet'!$B$10,Paramètres!$A$1:$I$89,3,0)*VLOOKUP('Données projet'!$B$10,Paramètres!$A$1:$I$89,5,0)</f>
        <v>355.50627839999981</v>
      </c>
      <c r="AK114" s="13">
        <f t="shared" si="89"/>
        <v>82.695279049034994</v>
      </c>
      <c r="AL114" s="20">
        <f t="shared" si="58"/>
        <v>763.20104589040227</v>
      </c>
      <c r="AM114" s="59">
        <f t="shared" si="59"/>
        <v>1056.5343792237356</v>
      </c>
      <c r="AN114" s="59">
        <f ca="1">AVERAGE(OFFSET($AM$3,0,0,'Données projet'!$E$10+1,1))-AVERAGE(OFFSET($H$3,0,0,'Données projet'!$E$10+1,1))</f>
        <v>245.5026179711341</v>
      </c>
      <c r="AO114" s="59">
        <f t="shared" si="90"/>
        <v>204.32077840562567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0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2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1">
        <f t="shared" si="86"/>
        <v>18.92057261744694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66">
        <f t="shared" si="56"/>
        <v>442.9365306420533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148.39628895278571</v>
      </c>
      <c r="T115" s="59">
        <f t="shared" si="88"/>
        <v>361.07991692964788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24.34620998572175</v>
      </c>
      <c r="AA115" s="21">
        <f>EXP(-LN(2)/25)*AA114+(1-EXP(-LN(2)/25))/(LN(2)/25)*Calculateur!V115*Calculateur!X115*VLOOKUP('Données projet'!$B$9,Paramètres!$A$1:$I$89,3,0)*0.475*44/12</f>
        <v>1.4801278796723771</v>
      </c>
      <c r="AB115" s="21">
        <f>EXP(-LN(2)/2)*AB114+(1-EXP(-LN(2)/2))/(LN(2)/2)*V115*Y115*VLOOKUP('Données projet'!$B$9,Paramètres!$A$1:$I$89,3,0)*0.475*44/12</f>
        <v>2.0446353120203136E-14</v>
      </c>
      <c r="AC115" s="22">
        <f t="shared" si="57"/>
        <v>25.826337865394148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325.55519999999984</v>
      </c>
      <c r="AJ115" s="13">
        <f>AI115*VLOOKUP('Données projet'!$B$10,Paramètres!$A$1:$I$89,3,0)*VLOOKUP('Données projet'!$B$10,Paramètres!$A$1:$I$89,5,0)</f>
        <v>355.50627839999981</v>
      </c>
      <c r="AK115" s="13">
        <f t="shared" si="89"/>
        <v>82.695279049034994</v>
      </c>
      <c r="AL115" s="20">
        <f t="shared" si="58"/>
        <v>763.20104589040227</v>
      </c>
      <c r="AM115" s="59">
        <f t="shared" si="59"/>
        <v>1056.5343792237356</v>
      </c>
      <c r="AN115" s="59">
        <f ca="1">AVERAGE(OFFSET($AM$3,0,0,'Données projet'!$E$10+1,1))-AVERAGE(OFFSET($H$3,0,0,'Données projet'!$E$10+1,1))</f>
        <v>245.5026179711341</v>
      </c>
      <c r="AO115" s="59">
        <f t="shared" si="90"/>
        <v>204.32077840562567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0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2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1">
        <f t="shared" si="86"/>
        <v>19.069765110231589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66">
        <f t="shared" si="56"/>
        <v>444.23789090031983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148.39628895278571</v>
      </c>
      <c r="T116" s="59">
        <f t="shared" si="88"/>
        <v>361.07991692964788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23.868795657623551</v>
      </c>
      <c r="AA116" s="21">
        <f>EXP(-LN(2)/25)*AA115+(1-EXP(-LN(2)/25))/(LN(2)/25)*Calculateur!V116*Calculateur!X116*VLOOKUP('Données projet'!$B$9,Paramètres!$A$1:$I$89,3,0)*0.475*44/12</f>
        <v>1.4396537049661937</v>
      </c>
      <c r="AB116" s="21">
        <f>EXP(-LN(2)/2)*AB115+(1-EXP(-LN(2)/2))/(LN(2)/2)*V116*Y116*VLOOKUP('Données projet'!$B$9,Paramètres!$A$1:$I$89,3,0)*0.475*44/12</f>
        <v>1.4457754941830362E-14</v>
      </c>
      <c r="AC116" s="22">
        <f t="shared" si="57"/>
        <v>25.308449362589759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325.55519999999984</v>
      </c>
      <c r="AJ116" s="13">
        <f>AI116*VLOOKUP('Données projet'!$B$10,Paramètres!$A$1:$I$89,3,0)*VLOOKUP('Données projet'!$B$10,Paramètres!$A$1:$I$89,5,0)</f>
        <v>355.50627839999981</v>
      </c>
      <c r="AK116" s="13">
        <f t="shared" si="89"/>
        <v>82.695279049034994</v>
      </c>
      <c r="AL116" s="20">
        <f t="shared" si="58"/>
        <v>763.20104589040227</v>
      </c>
      <c r="AM116" s="59">
        <f t="shared" si="59"/>
        <v>1056.5343792237356</v>
      </c>
      <c r="AN116" s="59">
        <f ca="1">AVERAGE(OFFSET($AM$3,0,0,'Données projet'!$E$10+1,1))-AVERAGE(OFFSET($H$3,0,0,'Données projet'!$E$10+1,1))</f>
        <v>245.5026179711341</v>
      </c>
      <c r="AO116" s="59">
        <f t="shared" si="90"/>
        <v>204.32077840562567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0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2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1">
        <f t="shared" si="86"/>
        <v>19.218803998550822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66">
        <f t="shared" si="56"/>
        <v>445.53898363080918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148.39628895278571</v>
      </c>
      <c r="T117" s="59">
        <f t="shared" si="88"/>
        <v>361.07991692964788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23.400743133305369</v>
      </c>
      <c r="AA117" s="21">
        <f>EXP(-LN(2)/25)*AA116+(1-EXP(-LN(2)/25))/(LN(2)/25)*Calculateur!V117*Calculateur!X117*VLOOKUP('Données projet'!$B$9,Paramètres!$A$1:$I$89,3,0)*0.475*44/12</f>
        <v>1.4002862986957951</v>
      </c>
      <c r="AB117" s="21">
        <f>EXP(-LN(2)/2)*AB116+(1-EXP(-LN(2)/2))/(LN(2)/2)*V117*Y117*VLOOKUP('Données projet'!$B$9,Paramètres!$A$1:$I$89,3,0)*0.475*44/12</f>
        <v>1.0223176560101568E-14</v>
      </c>
      <c r="AC117" s="22">
        <f t="shared" si="57"/>
        <v>24.801029432001176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325.55519999999984</v>
      </c>
      <c r="AJ117" s="13">
        <f>AI117*VLOOKUP('Données projet'!$B$10,Paramètres!$A$1:$I$89,3,0)*VLOOKUP('Données projet'!$B$10,Paramètres!$A$1:$I$89,5,0)</f>
        <v>355.50627839999981</v>
      </c>
      <c r="AK117" s="13">
        <f t="shared" si="89"/>
        <v>82.695279049034994</v>
      </c>
      <c r="AL117" s="20">
        <f t="shared" si="58"/>
        <v>763.20104589040227</v>
      </c>
      <c r="AM117" s="59">
        <f t="shared" si="59"/>
        <v>1056.5343792237356</v>
      </c>
      <c r="AN117" s="59">
        <f ca="1">AVERAGE(OFFSET($AM$3,0,0,'Données projet'!$E$10+1,1))-AVERAGE(OFFSET($H$3,0,0,'Données projet'!$E$10+1,1))</f>
        <v>245.5026179711341</v>
      </c>
      <c r="AO117" s="59">
        <f t="shared" si="90"/>
        <v>204.32077840562567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0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2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1">
        <f t="shared" si="86"/>
        <v>19.367690785921507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66">
        <f t="shared" si="56"/>
        <v>446.83981145214648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148.39628895278571</v>
      </c>
      <c r="T118" s="59">
        <f t="shared" si="88"/>
        <v>361.07991692964788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22.941868833505215</v>
      </c>
      <c r="AA118" s="21">
        <f>EXP(-LN(2)/25)*AA117+(1-EXP(-LN(2)/25))/(LN(2)/25)*Calculateur!V118*Calculateur!X118*VLOOKUP('Données projet'!$B$9,Paramètres!$A$1:$I$89,3,0)*0.475*44/12</f>
        <v>1.3619953962201026</v>
      </c>
      <c r="AB118" s="21">
        <f>EXP(-LN(2)/2)*AB117+(1-EXP(-LN(2)/2))/(LN(2)/2)*V118*Y118*VLOOKUP('Données projet'!$B$9,Paramètres!$A$1:$I$89,3,0)*0.475*44/12</f>
        <v>7.2288774709151809E-15</v>
      </c>
      <c r="AC118" s="22">
        <f t="shared" si="57"/>
        <v>24.303864229725324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325.55519999999984</v>
      </c>
      <c r="AJ118" s="13">
        <f>AI118*VLOOKUP('Données projet'!$B$10,Paramètres!$A$1:$I$89,3,0)*VLOOKUP('Données projet'!$B$10,Paramètres!$A$1:$I$89,5,0)</f>
        <v>355.50627839999981</v>
      </c>
      <c r="AK118" s="13">
        <f t="shared" si="89"/>
        <v>82.695279049034994</v>
      </c>
      <c r="AL118" s="20">
        <f t="shared" si="58"/>
        <v>763.20104589040227</v>
      </c>
      <c r="AM118" s="59">
        <f t="shared" si="59"/>
        <v>1056.5343792237356</v>
      </c>
      <c r="AN118" s="59">
        <f ca="1">AVERAGE(OFFSET($AM$3,0,0,'Données projet'!$E$10+1,1))-AVERAGE(OFFSET($H$3,0,0,'Données projet'!$E$10+1,1))</f>
        <v>245.5026179711341</v>
      </c>
      <c r="AO118" s="59">
        <f t="shared" si="90"/>
        <v>204.32077840562567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0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2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1">
        <f t="shared" si="86"/>
        <v>19.516426948203513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66">
        <f t="shared" si="56"/>
        <v>448.14037693478764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148.39628895278571</v>
      </c>
      <c r="T119" s="59">
        <f t="shared" si="88"/>
        <v>361.07991692964788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22.491992778838455</v>
      </c>
      <c r="AA119" s="21">
        <f>EXP(-LN(2)/25)*AA118+(1-EXP(-LN(2)/25))/(LN(2)/25)*Calculateur!V119*Calculateur!X119*VLOOKUP('Données projet'!$B$9,Paramètres!$A$1:$I$89,3,0)*0.475*44/12</f>
        <v>1.3247515604862388</v>
      </c>
      <c r="AB119" s="21">
        <f>EXP(-LN(2)/2)*AB118+(1-EXP(-LN(2)/2))/(LN(2)/2)*V119*Y119*VLOOKUP('Données projet'!$B$9,Paramètres!$A$1:$I$89,3,0)*0.475*44/12</f>
        <v>5.1115882800507839E-15</v>
      </c>
      <c r="AC119" s="22">
        <f t="shared" si="57"/>
        <v>23.816744339324696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325.55519999999984</v>
      </c>
      <c r="AJ119" s="13">
        <f>AI119*VLOOKUP('Données projet'!$B$10,Paramètres!$A$1:$I$89,3,0)*VLOOKUP('Données projet'!$B$10,Paramètres!$A$1:$I$89,5,0)</f>
        <v>355.50627839999981</v>
      </c>
      <c r="AK119" s="13">
        <f t="shared" si="89"/>
        <v>82.695279049034994</v>
      </c>
      <c r="AL119" s="20">
        <f t="shared" si="58"/>
        <v>763.20104589040227</v>
      </c>
      <c r="AM119" s="59">
        <f t="shared" si="59"/>
        <v>1056.5343792237356</v>
      </c>
      <c r="AN119" s="59">
        <f ca="1">AVERAGE(OFFSET($AM$3,0,0,'Données projet'!$E$10+1,1))-AVERAGE(OFFSET($H$3,0,0,'Données projet'!$E$10+1,1))</f>
        <v>245.5026179711341</v>
      </c>
      <c r="AO119" s="59">
        <f t="shared" si="90"/>
        <v>204.32077840562567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0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2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1">
        <f t="shared" si="86"/>
        <v>19.665013934342443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66">
        <f t="shared" si="56"/>
        <v>449.4406826023129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148.39628895278571</v>
      </c>
      <c r="T120" s="59">
        <f t="shared" si="88"/>
        <v>361.07991692964788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22.050938519206412</v>
      </c>
      <c r="AA120" s="21">
        <f>EXP(-LN(2)/25)*AA119+(1-EXP(-LN(2)/25))/(LN(2)/25)*Calculateur!V120*Calculateur!X120*VLOOKUP('Données projet'!$B$9,Paramètres!$A$1:$I$89,3,0)*0.475*44/12</f>
        <v>1.2885261593990858</v>
      </c>
      <c r="AB120" s="21">
        <f>EXP(-LN(2)/2)*AB119+(1-EXP(-LN(2)/2))/(LN(2)/2)*V120*Y120*VLOOKUP('Données projet'!$B$9,Paramètres!$A$1:$I$89,3,0)*0.475*44/12</f>
        <v>3.6144387354575905E-15</v>
      </c>
      <c r="AC120" s="22">
        <f t="shared" si="57"/>
        <v>23.339464678605502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325.55519999999984</v>
      </c>
      <c r="AJ120" s="13">
        <f>AI120*VLOOKUP('Données projet'!$B$10,Paramètres!$A$1:$I$89,3,0)*VLOOKUP('Données projet'!$B$10,Paramètres!$A$1:$I$89,5,0)</f>
        <v>355.50627839999981</v>
      </c>
      <c r="AK120" s="13">
        <f t="shared" si="89"/>
        <v>82.695279049034994</v>
      </c>
      <c r="AL120" s="20">
        <f t="shared" si="58"/>
        <v>763.20104589040227</v>
      </c>
      <c r="AM120" s="59">
        <f t="shared" si="59"/>
        <v>1056.5343792237356</v>
      </c>
      <c r="AN120" s="59">
        <f ca="1">AVERAGE(OFFSET($AM$3,0,0,'Données projet'!$E$10+1,1))-AVERAGE(OFFSET($H$3,0,0,'Données projet'!$E$10+1,1))</f>
        <v>245.5026179711341</v>
      </c>
      <c r="AO120" s="59">
        <f t="shared" si="90"/>
        <v>204.32077840562567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0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2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1">
        <f t="shared" si="86"/>
        <v>19.813453167086145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66">
        <f t="shared" si="56"/>
        <v>450.74073093267486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148.39628895278571</v>
      </c>
      <c r="T121" s="59">
        <f t="shared" si="88"/>
        <v>361.07991692964788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21.618533064589219</v>
      </c>
      <c r="AA121" s="21">
        <f>EXP(-LN(2)/25)*AA120+(1-EXP(-LN(2)/25))/(LN(2)/25)*Calculateur!V121*Calculateur!X121*VLOOKUP('Données projet'!$B$9,Paramètres!$A$1:$I$89,3,0)*0.475*44/12</f>
        <v>1.253291343809672</v>
      </c>
      <c r="AB121" s="21">
        <f>EXP(-LN(2)/2)*AB120+(1-EXP(-LN(2)/2))/(LN(2)/2)*V121*Y121*VLOOKUP('Données projet'!$B$9,Paramètres!$A$1:$I$89,3,0)*0.475*44/12</f>
        <v>2.555794140025392E-15</v>
      </c>
      <c r="AC121" s="22">
        <f t="shared" si="57"/>
        <v>22.871824408398894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325.55519999999984</v>
      </c>
      <c r="AJ121" s="13">
        <f>AI121*VLOOKUP('Données projet'!$B$10,Paramètres!$A$1:$I$89,3,0)*VLOOKUP('Données projet'!$B$10,Paramètres!$A$1:$I$89,5,0)</f>
        <v>355.50627839999981</v>
      </c>
      <c r="AK121" s="13">
        <f t="shared" si="89"/>
        <v>82.695279049034994</v>
      </c>
      <c r="AL121" s="20">
        <f t="shared" si="58"/>
        <v>763.20104589040227</v>
      </c>
      <c r="AM121" s="59">
        <f t="shared" si="59"/>
        <v>1056.5343792237356</v>
      </c>
      <c r="AN121" s="59">
        <f ca="1">AVERAGE(OFFSET($AM$3,0,0,'Données projet'!$E$10+1,1))-AVERAGE(OFFSET($H$3,0,0,'Données projet'!$E$10+1,1))</f>
        <v>245.5026179711341</v>
      </c>
      <c r="AO121" s="59">
        <f t="shared" si="90"/>
        <v>204.32077840562567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0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2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1">
        <f t="shared" si="86"/>
        <v>19.961746043676328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66">
        <f t="shared" si="56"/>
        <v>452.04052435940275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148.39628895278571</v>
      </c>
      <c r="T122" s="59">
        <f t="shared" si="88"/>
        <v>361.07991692964788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21.194606817195783</v>
      </c>
      <c r="AA122" s="21">
        <f>EXP(-LN(2)/25)*AA121+(1-EXP(-LN(2)/25))/(LN(2)/25)*Calculateur!V122*Calculateur!X122*VLOOKUP('Données projet'!$B$9,Paramètres!$A$1:$I$89,3,0)*0.475*44/12</f>
        <v>1.2190200261054691</v>
      </c>
      <c r="AB122" s="21">
        <f>EXP(-LN(2)/2)*AB121+(1-EXP(-LN(2)/2))/(LN(2)/2)*V122*Y122*VLOOKUP('Données projet'!$B$9,Paramètres!$A$1:$I$89,3,0)*0.475*44/12</f>
        <v>1.8072193677287952E-15</v>
      </c>
      <c r="AC122" s="22">
        <f t="shared" si="57"/>
        <v>22.413626843301255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325.55519999999984</v>
      </c>
      <c r="AJ122" s="13">
        <f>AI122*VLOOKUP('Données projet'!$B$10,Paramètres!$A$1:$I$89,3,0)*VLOOKUP('Données projet'!$B$10,Paramètres!$A$1:$I$89,5,0)</f>
        <v>355.50627839999981</v>
      </c>
      <c r="AK122" s="13">
        <f t="shared" si="89"/>
        <v>82.695279049034994</v>
      </c>
      <c r="AL122" s="20">
        <f t="shared" si="58"/>
        <v>763.20104589040227</v>
      </c>
      <c r="AM122" s="59">
        <f t="shared" si="59"/>
        <v>1056.5343792237356</v>
      </c>
      <c r="AN122" s="59">
        <f ca="1">AVERAGE(OFFSET($AM$3,0,0,'Données projet'!$E$10+1,1))-AVERAGE(OFFSET($H$3,0,0,'Données projet'!$E$10+1,1))</f>
        <v>245.5026179711341</v>
      </c>
      <c r="AO122" s="59">
        <f t="shared" si="90"/>
        <v>204.32077840562567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0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2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1">
        <f t="shared" si="86"/>
        <v>20.109893936516197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66">
        <f t="shared" si="56"/>
        <v>453.34006527276551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148.39628895278571</v>
      </c>
      <c r="T123" s="59">
        <f t="shared" si="88"/>
        <v>361.07991692964788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20.778993504944253</v>
      </c>
      <c r="AA123" s="21">
        <f>EXP(-LN(2)/25)*AA122+(1-EXP(-LN(2)/25))/(LN(2)/25)*Calculateur!V123*Calculateur!X123*VLOOKUP('Données projet'!$B$9,Paramètres!$A$1:$I$89,3,0)*0.475*44/12</f>
        <v>1.1856858593861379</v>
      </c>
      <c r="AB123" s="21">
        <f>EXP(-LN(2)/2)*AB122+(1-EXP(-LN(2)/2))/(LN(2)/2)*V123*Y123*VLOOKUP('Données projet'!$B$9,Paramètres!$A$1:$I$89,3,0)*0.475*44/12</f>
        <v>1.277897070012696E-15</v>
      </c>
      <c r="AC123" s="22">
        <f t="shared" si="57"/>
        <v>21.96467936433039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325.55519999999984</v>
      </c>
      <c r="AJ123" s="13">
        <f>AI123*VLOOKUP('Données projet'!$B$10,Paramètres!$A$1:$I$89,3,0)*VLOOKUP('Données projet'!$B$10,Paramètres!$A$1:$I$89,5,0)</f>
        <v>355.50627839999981</v>
      </c>
      <c r="AK123" s="13">
        <f t="shared" si="89"/>
        <v>82.695279049034994</v>
      </c>
      <c r="AL123" s="20">
        <f t="shared" si="58"/>
        <v>763.20104589040227</v>
      </c>
      <c r="AM123" s="59">
        <f t="shared" si="59"/>
        <v>1056.5343792237356</v>
      </c>
      <c r="AN123" s="59">
        <f ca="1">AVERAGE(OFFSET($AM$3,0,0,'Données projet'!$E$10+1,1))-AVERAGE(OFFSET($H$3,0,0,'Données projet'!$E$10+1,1))</f>
        <v>245.5026179711341</v>
      </c>
      <c r="AO123" s="59">
        <f t="shared" si="90"/>
        <v>204.32077840562567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0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2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1">
        <f t="shared" si="86"/>
        <v>20.257898193815301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66">
        <f t="shared" si="56"/>
        <v>454.63935602089481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148.39628895278571</v>
      </c>
      <c r="T124" s="59">
        <f t="shared" si="88"/>
        <v>361.07991692964788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20.371530116246888</v>
      </c>
      <c r="AA124" s="21">
        <f>EXP(-LN(2)/25)*AA123+(1-EXP(-LN(2)/25))/(LN(2)/25)*Calculateur!V124*Calculateur!X124*VLOOKUP('Données projet'!$B$9,Paramètres!$A$1:$I$89,3,0)*0.475*44/12</f>
        <v>1.1532632172087145</v>
      </c>
      <c r="AB124" s="21">
        <f>EXP(-LN(2)/2)*AB123+(1-EXP(-LN(2)/2))/(LN(2)/2)*V124*Y124*VLOOKUP('Données projet'!$B$9,Paramètres!$A$1:$I$89,3,0)*0.475*44/12</f>
        <v>9.0360968386439761E-16</v>
      </c>
      <c r="AC124" s="22">
        <f t="shared" si="57"/>
        <v>21.524793333455602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325.55519999999984</v>
      </c>
      <c r="AJ124" s="13">
        <f>AI124*VLOOKUP('Données projet'!$B$10,Paramètres!$A$1:$I$89,3,0)*VLOOKUP('Données projet'!$B$10,Paramètres!$A$1:$I$89,5,0)</f>
        <v>355.50627839999981</v>
      </c>
      <c r="AK124" s="13">
        <f t="shared" si="89"/>
        <v>82.695279049034994</v>
      </c>
      <c r="AL124" s="20">
        <f t="shared" si="58"/>
        <v>763.20104589040227</v>
      </c>
      <c r="AM124" s="59">
        <f t="shared" si="59"/>
        <v>1056.5343792237356</v>
      </c>
      <c r="AN124" s="59">
        <f ca="1">AVERAGE(OFFSET($AM$3,0,0,'Données projet'!$E$10+1,1))-AVERAGE(OFFSET($H$3,0,0,'Données projet'!$E$10+1,1))</f>
        <v>245.5026179711341</v>
      </c>
      <c r="AO124" s="59">
        <f t="shared" si="90"/>
        <v>204.32077840562567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0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2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1">
        <f t="shared" si="86"/>
        <v>20.405760140212255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66">
        <f t="shared" si="56"/>
        <v>455.93839891086952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148.39628895278571</v>
      </c>
      <c r="T125" s="59">
        <f t="shared" si="88"/>
        <v>361.07991692964788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19.972056836073751</v>
      </c>
      <c r="AA125" s="21">
        <f>EXP(-LN(2)/25)*AA124+(1-EXP(-LN(2)/25))/(LN(2)/25)*Calculateur!V125*Calculateur!X125*VLOOKUP('Données projet'!$B$9,Paramètres!$A$1:$I$89,3,0)*0.475*44/12</f>
        <v>1.1217271738866654</v>
      </c>
      <c r="AB125" s="21">
        <f>EXP(-LN(2)/2)*AB124+(1-EXP(-LN(2)/2))/(LN(2)/2)*V125*Y125*VLOOKUP('Données projet'!$B$9,Paramètres!$A$1:$I$89,3,0)*0.475*44/12</f>
        <v>6.3894853500634799E-16</v>
      </c>
      <c r="AC125" s="22">
        <f t="shared" si="57"/>
        <v>21.093784009960416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325.55519999999984</v>
      </c>
      <c r="AJ125" s="13">
        <f>AI125*VLOOKUP('Données projet'!$B$10,Paramètres!$A$1:$I$89,3,0)*VLOOKUP('Données projet'!$B$10,Paramètres!$A$1:$I$89,5,0)</f>
        <v>355.50627839999981</v>
      </c>
      <c r="AK125" s="13">
        <f t="shared" si="89"/>
        <v>82.695279049034994</v>
      </c>
      <c r="AL125" s="20">
        <f t="shared" si="58"/>
        <v>763.20104589040227</v>
      </c>
      <c r="AM125" s="59">
        <f t="shared" si="59"/>
        <v>1056.5343792237356</v>
      </c>
      <c r="AN125" s="59">
        <f ca="1">AVERAGE(OFFSET($AM$3,0,0,'Données projet'!$E$10+1,1))-AVERAGE(OFFSET($H$3,0,0,'Données projet'!$E$10+1,1))</f>
        <v>245.5026179711341</v>
      </c>
      <c r="AO125" s="59">
        <f t="shared" si="90"/>
        <v>204.32077840562567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0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2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1">
        <f t="shared" si="86"/>
        <v>20.553481077376667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66">
        <f t="shared" si="56"/>
        <v>457.23719620976419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148.39628895278571</v>
      </c>
      <c r="T126" s="59">
        <f t="shared" si="88"/>
        <v>361.07991692964788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19.580416983270165</v>
      </c>
      <c r="AA126" s="21">
        <f>EXP(-LN(2)/25)*AA125+(1-EXP(-LN(2)/25))/(LN(2)/25)*Calculateur!V126*Calculateur!X126*VLOOKUP('Données projet'!$B$9,Paramètres!$A$1:$I$89,3,0)*0.475*44/12</f>
        <v>1.0910534853276663</v>
      </c>
      <c r="AB126" s="21">
        <f>EXP(-LN(2)/2)*AB125+(1-EXP(-LN(2)/2))/(LN(2)/2)*V126*Y126*VLOOKUP('Données projet'!$B$9,Paramètres!$A$1:$I$89,3,0)*0.475*44/12</f>
        <v>4.5180484193219881E-16</v>
      </c>
      <c r="AC126" s="22">
        <f t="shared" si="57"/>
        <v>20.671470468597832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325.55519999999984</v>
      </c>
      <c r="AJ126" s="13">
        <f>AI126*VLOOKUP('Données projet'!$B$10,Paramètres!$A$1:$I$89,3,0)*VLOOKUP('Données projet'!$B$10,Paramètres!$A$1:$I$89,5,0)</f>
        <v>355.50627839999981</v>
      </c>
      <c r="AK126" s="13">
        <f t="shared" si="89"/>
        <v>82.695279049034994</v>
      </c>
      <c r="AL126" s="20">
        <f t="shared" si="58"/>
        <v>763.20104589040227</v>
      </c>
      <c r="AM126" s="59">
        <f t="shared" si="59"/>
        <v>1056.5343792237356</v>
      </c>
      <c r="AN126" s="59">
        <f ca="1">AVERAGE(OFFSET($AM$3,0,0,'Données projet'!$E$10+1,1))-AVERAGE(OFFSET($H$3,0,0,'Données projet'!$E$10+1,1))</f>
        <v>245.5026179711341</v>
      </c>
      <c r="AO126" s="59">
        <f t="shared" si="90"/>
        <v>204.32077840562567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0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2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1">
        <f t="shared" si="86"/>
        <v>20.701062284590861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66">
        <f t="shared" si="56"/>
        <v>458.53575014566229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148.39628895278571</v>
      </c>
      <c r="T127" s="59">
        <f t="shared" si="88"/>
        <v>361.07991692964788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19.196456949103336</v>
      </c>
      <c r="AA127" s="21">
        <f>EXP(-LN(2)/25)*AA126+(1-EXP(-LN(2)/25))/(LN(2)/25)*Calculateur!V127*Calculateur!X127*VLOOKUP('Données projet'!$B$9,Paramètres!$A$1:$I$89,3,0)*0.475*44/12</f>
        <v>1.061218570395372</v>
      </c>
      <c r="AB127" s="21">
        <f>EXP(-LN(2)/2)*AB126+(1-EXP(-LN(2)/2))/(LN(2)/2)*V127*Y127*VLOOKUP('Données projet'!$B$9,Paramètres!$A$1:$I$89,3,0)*0.475*44/12</f>
        <v>3.1947426750317399E-16</v>
      </c>
      <c r="AC127" s="22">
        <f t="shared" si="57"/>
        <v>20.257675519498708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325.55519999999984</v>
      </c>
      <c r="AJ127" s="13">
        <f>AI127*VLOOKUP('Données projet'!$B$10,Paramètres!$A$1:$I$89,3,0)*VLOOKUP('Données projet'!$B$10,Paramètres!$A$1:$I$89,5,0)</f>
        <v>355.50627839999981</v>
      </c>
      <c r="AK127" s="13">
        <f t="shared" si="89"/>
        <v>82.695279049034994</v>
      </c>
      <c r="AL127" s="20">
        <f t="shared" si="58"/>
        <v>763.20104589040227</v>
      </c>
      <c r="AM127" s="59">
        <f t="shared" si="59"/>
        <v>1056.5343792237356</v>
      </c>
      <c r="AN127" s="59">
        <f ca="1">AVERAGE(OFFSET($AM$3,0,0,'Données projet'!$E$10+1,1))-AVERAGE(OFFSET($H$3,0,0,'Données projet'!$E$10+1,1))</f>
        <v>245.5026179711341</v>
      </c>
      <c r="AO127" s="59">
        <f t="shared" si="90"/>
        <v>204.32077840562567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0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2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1">
        <f t="shared" si="86"/>
        <v>20.848505019312185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66">
        <f t="shared" si="56"/>
        <v>459.83406290863525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148.39628895278571</v>
      </c>
      <c r="T128" s="59">
        <f t="shared" si="88"/>
        <v>361.07991692964788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18.820026137014022</v>
      </c>
      <c r="AA128" s="21">
        <f>EXP(-LN(2)/25)*AA127+(1-EXP(-LN(2)/25))/(LN(2)/25)*Calculateur!V128*Calculateur!X128*VLOOKUP('Données projet'!$B$9,Paramètres!$A$1:$I$89,3,0)*0.475*44/12</f>
        <v>1.0321994927808513</v>
      </c>
      <c r="AB128" s="21">
        <f>EXP(-LN(2)/2)*AB127+(1-EXP(-LN(2)/2))/(LN(2)/2)*V128*Y128*VLOOKUP('Données projet'!$B$9,Paramètres!$A$1:$I$89,3,0)*0.475*44/12</f>
        <v>2.259024209660994E-16</v>
      </c>
      <c r="AC128" s="22">
        <f t="shared" si="57"/>
        <v>19.852225629794873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325.55519999999984</v>
      </c>
      <c r="AJ128" s="13">
        <f>AI128*VLOOKUP('Données projet'!$B$10,Paramètres!$A$1:$I$89,3,0)*VLOOKUP('Données projet'!$B$10,Paramètres!$A$1:$I$89,5,0)</f>
        <v>355.50627839999981</v>
      </c>
      <c r="AK128" s="13">
        <f t="shared" si="89"/>
        <v>82.695279049034994</v>
      </c>
      <c r="AL128" s="20">
        <f t="shared" si="58"/>
        <v>763.20104589040227</v>
      </c>
      <c r="AM128" s="59">
        <f t="shared" si="59"/>
        <v>1056.5343792237356</v>
      </c>
      <c r="AN128" s="59">
        <f ca="1">AVERAGE(OFFSET($AM$3,0,0,'Données projet'!$E$10+1,1))-AVERAGE(OFFSET($H$3,0,0,'Données projet'!$E$10+1,1))</f>
        <v>245.5026179711341</v>
      </c>
      <c r="AO128" s="59">
        <f t="shared" si="90"/>
        <v>204.32077840562567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0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2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1">
        <f t="shared" si="86"/>
        <v>20.995810517717022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66">
        <f t="shared" si="56"/>
        <v>461.1321366516903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148.39628895278571</v>
      </c>
      <c r="T129" s="59">
        <f t="shared" si="88"/>
        <v>361.07991692964788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18.450976903549655</v>
      </c>
      <c r="AA129" s="21">
        <f>EXP(-LN(2)/25)*AA128+(1-EXP(-LN(2)/25))/(LN(2)/25)*Calculateur!V129*Calculateur!X129*VLOOKUP('Données projet'!$B$9,Paramètres!$A$1:$I$89,3,0)*0.475*44/12</f>
        <v>1.0039739433697468</v>
      </c>
      <c r="AB129" s="21">
        <f>EXP(-LN(2)/2)*AB128+(1-EXP(-LN(2)/2))/(LN(2)/2)*V129*Y129*VLOOKUP('Données projet'!$B$9,Paramètres!$A$1:$I$89,3,0)*0.475*44/12</f>
        <v>1.59737133751587E-16</v>
      </c>
      <c r="AC129" s="22">
        <f t="shared" si="57"/>
        <v>19.454950846919402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325.55519999999984</v>
      </c>
      <c r="AJ129" s="13">
        <f>AI129*VLOOKUP('Données projet'!$B$10,Paramètres!$A$1:$I$89,3,0)*VLOOKUP('Données projet'!$B$10,Paramètres!$A$1:$I$89,5,0)</f>
        <v>355.50627839999981</v>
      </c>
      <c r="AK129" s="13">
        <f t="shared" si="89"/>
        <v>82.695279049034994</v>
      </c>
      <c r="AL129" s="20">
        <f t="shared" si="58"/>
        <v>763.20104589040227</v>
      </c>
      <c r="AM129" s="59">
        <f t="shared" si="59"/>
        <v>1056.5343792237356</v>
      </c>
      <c r="AN129" s="59">
        <f ca="1">AVERAGE(OFFSET($AM$3,0,0,'Données projet'!$E$10+1,1))-AVERAGE(OFFSET($H$3,0,0,'Données projet'!$E$10+1,1))</f>
        <v>245.5026179711341</v>
      </c>
      <c r="AO129" s="59">
        <f t="shared" si="90"/>
        <v>204.32077840562567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0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2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1">
        <f t="shared" si="86"/>
        <v>21.142979995226813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66">
        <f t="shared" si="56"/>
        <v>462.4299734916865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148.39628895278571</v>
      </c>
      <c r="T130" s="59">
        <f t="shared" si="88"/>
        <v>361.07991692964788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18.08916450045572</v>
      </c>
      <c r="AA130" s="21">
        <f>EXP(-LN(2)/25)*AA129+(1-EXP(-LN(2)/25))/(LN(2)/25)*Calculateur!V130*Calculateur!X130*VLOOKUP('Données projet'!$B$9,Paramètres!$A$1:$I$89,3,0)*0.475*44/12</f>
        <v>0.97652022309160602</v>
      </c>
      <c r="AB130" s="21">
        <f>EXP(-LN(2)/2)*AB129+(1-EXP(-LN(2)/2))/(LN(2)/2)*V130*Y130*VLOOKUP('Données projet'!$B$9,Paramètres!$A$1:$I$89,3,0)*0.475*44/12</f>
        <v>1.129512104830497E-16</v>
      </c>
      <c r="AC130" s="22">
        <f t="shared" si="57"/>
        <v>19.065684723547324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325.55519999999984</v>
      </c>
      <c r="AJ130" s="13">
        <f>AI130*VLOOKUP('Données projet'!$B$10,Paramètres!$A$1:$I$89,3,0)*VLOOKUP('Données projet'!$B$10,Paramètres!$A$1:$I$89,5,0)</f>
        <v>355.50627839999981</v>
      </c>
      <c r="AK130" s="13">
        <f t="shared" si="89"/>
        <v>82.695279049034994</v>
      </c>
      <c r="AL130" s="20">
        <f t="shared" si="58"/>
        <v>763.20104589040227</v>
      </c>
      <c r="AM130" s="59">
        <f t="shared" si="59"/>
        <v>1056.5343792237356</v>
      </c>
      <c r="AN130" s="59">
        <f ca="1">AVERAGE(OFFSET($AM$3,0,0,'Données projet'!$E$10+1,1))-AVERAGE(OFFSET($H$3,0,0,'Données projet'!$E$10+1,1))</f>
        <v>245.5026179711341</v>
      </c>
      <c r="AO130" s="59">
        <f t="shared" si="90"/>
        <v>204.32077840562567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0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2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1">
        <f t="shared" si="86"/>
        <v>21.290014647017198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66">
        <f t="shared" si="56"/>
        <v>463.72757551022141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148.39628895278571</v>
      </c>
      <c r="T131" s="59">
        <f t="shared" si="88"/>
        <v>361.07991692964788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17.734447017902681</v>
      </c>
      <c r="AA131" s="21">
        <f>EXP(-LN(2)/25)*AA130+(1-EXP(-LN(2)/25))/(LN(2)/25)*Calculateur!V131*Calculateur!X131*VLOOKUP('Données projet'!$B$9,Paramètres!$A$1:$I$89,3,0)*0.475*44/12</f>
        <v>0.94981722623819942</v>
      </c>
      <c r="AB131" s="21">
        <f>EXP(-LN(2)/2)*AB130+(1-EXP(-LN(2)/2))/(LN(2)/2)*V131*Y131*VLOOKUP('Données projet'!$B$9,Paramètres!$A$1:$I$89,3,0)*0.475*44/12</f>
        <v>7.9868566875793499E-17</v>
      </c>
      <c r="AC131" s="22">
        <f t="shared" si="57"/>
        <v>18.684264244140881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325.55519999999984</v>
      </c>
      <c r="AJ131" s="13">
        <f>AI131*VLOOKUP('Données projet'!$B$10,Paramètres!$A$1:$I$89,3,0)*VLOOKUP('Données projet'!$B$10,Paramètres!$A$1:$I$89,5,0)</f>
        <v>355.50627839999981</v>
      </c>
      <c r="AK131" s="13">
        <f t="shared" si="89"/>
        <v>82.695279049034994</v>
      </c>
      <c r="AL131" s="20">
        <f t="shared" si="58"/>
        <v>763.20104589040227</v>
      </c>
      <c r="AM131" s="59">
        <f t="shared" si="59"/>
        <v>1056.5343792237356</v>
      </c>
      <c r="AN131" s="59">
        <f ca="1">AVERAGE(OFFSET($AM$3,0,0,'Données projet'!$E$10+1,1))-AVERAGE(OFFSET($H$3,0,0,'Données projet'!$E$10+1,1))</f>
        <v>245.5026179711341</v>
      </c>
      <c r="AO131" s="59">
        <f t="shared" si="90"/>
        <v>204.32077840562567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0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2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1">
        <f t="shared" si="86"/>
        <v>21.436915648510737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66">
        <f t="shared" ref="H132:H195" si="110">(B132+E132+F132)*44/12+(C132+D132)*0.475*44/12</f>
        <v>465.0249447544893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148.39628895278571</v>
      </c>
      <c r="T132" s="59">
        <f t="shared" si="88"/>
        <v>361.07991692964788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17.386685328826207</v>
      </c>
      <c r="AA132" s="21">
        <f>EXP(-LN(2)/25)*AA131+(1-EXP(-LN(2)/25))/(LN(2)/25)*Calculateur!V132*Calculateur!X132*VLOOKUP('Données projet'!$B$9,Paramètres!$A$1:$I$89,3,0)*0.475*44/12</f>
        <v>0.92384442423799873</v>
      </c>
      <c r="AB132" s="21">
        <f>EXP(-LN(2)/2)*AB131+(1-EXP(-LN(2)/2))/(LN(2)/2)*V132*Y132*VLOOKUP('Données projet'!$B$9,Paramètres!$A$1:$I$89,3,0)*0.475*44/12</f>
        <v>5.6475605241524851E-17</v>
      </c>
      <c r="AC132" s="22">
        <f t="shared" ref="AC132:AC153" si="111">SUM(Z132:AB132)</f>
        <v>18.310529753064205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325.55519999999984</v>
      </c>
      <c r="AJ132" s="13">
        <f>AI132*VLOOKUP('Données projet'!$B$10,Paramètres!$A$1:$I$89,3,0)*VLOOKUP('Données projet'!$B$10,Paramètres!$A$1:$I$89,5,0)</f>
        <v>355.50627839999981</v>
      </c>
      <c r="AK132" s="13">
        <f t="shared" si="89"/>
        <v>82.695279049034994</v>
      </c>
      <c r="AL132" s="20">
        <f t="shared" ref="AL132:AL153" si="112">(AJ132+AK132)*0.475*44/12</f>
        <v>763.20104589040227</v>
      </c>
      <c r="AM132" s="59">
        <f t="shared" ref="AM132:AM195" si="113">AL132+(AD132+AE132)*44/12</f>
        <v>1056.5343792237356</v>
      </c>
      <c r="AN132" s="59">
        <f ca="1">AVERAGE(OFFSET($AM$3,0,0,'Données projet'!$E$10+1,1))-AVERAGE(OFFSET($H$3,0,0,'Données projet'!$E$10+1,1))</f>
        <v>245.5026179711341</v>
      </c>
      <c r="AO132" s="59">
        <f t="shared" si="90"/>
        <v>204.32077840562567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0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2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1">
        <f t="shared" ref="D133:D196" si="140">IFERROR(EXP(-1.0587+0.8836*LN(C133)+0.284),0)</f>
        <v>21.583684155853874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66">
        <f t="shared" si="110"/>
        <v>466.32208323811199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148.39628895278571</v>
      </c>
      <c r="T133" s="59">
        <f t="shared" ref="T133:T196" si="142">$T$3</f>
        <v>361.07991692964788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17.045743034358836</v>
      </c>
      <c r="AA133" s="21">
        <f>EXP(-LN(2)/25)*AA132+(1-EXP(-LN(2)/25))/(LN(2)/25)*Calculateur!V133*Calculateur!X133*VLOOKUP('Données projet'!$B$9,Paramètres!$A$1:$I$89,3,0)*0.475*44/12</f>
        <v>0.89858184987434386</v>
      </c>
      <c r="AB133" s="21">
        <f>EXP(-LN(2)/2)*AB132+(1-EXP(-LN(2)/2))/(LN(2)/2)*V133*Y133*VLOOKUP('Données projet'!$B$9,Paramètres!$A$1:$I$89,3,0)*0.475*44/12</f>
        <v>3.9934283437896749E-17</v>
      </c>
      <c r="AC133" s="22">
        <f t="shared" si="111"/>
        <v>17.944324884233179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325.55519999999984</v>
      </c>
      <c r="AJ133" s="13">
        <f>AI133*VLOOKUP('Données projet'!$B$10,Paramètres!$A$1:$I$89,3,0)*VLOOKUP('Données projet'!$B$10,Paramètres!$A$1:$I$89,5,0)</f>
        <v>355.50627839999981</v>
      </c>
      <c r="AK133" s="13">
        <f t="shared" ref="AK133:AK153" si="143">EXP(-1.0587+0.8836*LN(AJ133)+0.284)</f>
        <v>82.695279049034994</v>
      </c>
      <c r="AL133" s="20">
        <f t="shared" si="112"/>
        <v>763.20104589040227</v>
      </c>
      <c r="AM133" s="59">
        <f t="shared" si="113"/>
        <v>1056.5343792237356</v>
      </c>
      <c r="AN133" s="59">
        <f ca="1">AVERAGE(OFFSET($AM$3,0,0,'Données projet'!$E$10+1,1))-AVERAGE(OFFSET($H$3,0,0,'Données projet'!$E$10+1,1))</f>
        <v>245.5026179711341</v>
      </c>
      <c r="AO133" s="59">
        <f t="shared" ref="AO133:AO196" si="144">$AO$3</f>
        <v>204.32077840562567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0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2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1">
        <f t="shared" si="140"/>
        <v>21.730321306378883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66">
        <f t="shared" si="110"/>
        <v>467.61899294194302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148.39628895278571</v>
      </c>
      <c r="T134" s="59">
        <f t="shared" si="142"/>
        <v>361.07991692964788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16.711486410331702</v>
      </c>
      <c r="AA134" s="21">
        <f>EXP(-LN(2)/25)*AA133+(1-EXP(-LN(2)/25))/(LN(2)/25)*Calculateur!V134*Calculateur!X134*VLOOKUP('Données projet'!$B$9,Paramètres!$A$1:$I$89,3,0)*0.475*44/12</f>
        <v>0.87401008193516416</v>
      </c>
      <c r="AB134" s="21">
        <f>EXP(-LN(2)/2)*AB133+(1-EXP(-LN(2)/2))/(LN(2)/2)*V134*Y134*VLOOKUP('Données projet'!$B$9,Paramètres!$A$1:$I$89,3,0)*0.475*44/12</f>
        <v>2.8237802620762425E-17</v>
      </c>
      <c r="AC134" s="22">
        <f t="shared" si="111"/>
        <v>17.585496492266866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325.55519999999984</v>
      </c>
      <c r="AJ134" s="13">
        <f>AI134*VLOOKUP('Données projet'!$B$10,Paramètres!$A$1:$I$89,3,0)*VLOOKUP('Données projet'!$B$10,Paramètres!$A$1:$I$89,5,0)</f>
        <v>355.50627839999981</v>
      </c>
      <c r="AK134" s="13">
        <f t="shared" si="143"/>
        <v>82.695279049034994</v>
      </c>
      <c r="AL134" s="20">
        <f t="shared" si="112"/>
        <v>763.20104589040227</v>
      </c>
      <c r="AM134" s="59">
        <f t="shared" si="113"/>
        <v>1056.5343792237356</v>
      </c>
      <c r="AN134" s="59">
        <f ca="1">AVERAGE(OFFSET($AM$3,0,0,'Données projet'!$E$10+1,1))-AVERAGE(OFFSET($H$3,0,0,'Données projet'!$E$10+1,1))</f>
        <v>245.5026179711341</v>
      </c>
      <c r="AO134" s="59">
        <f t="shared" si="144"/>
        <v>204.32077840562567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0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2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1">
        <f t="shared" si="140"/>
        <v>21.876828219051234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66">
        <f t="shared" si="110"/>
        <v>468.91567581484742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148.39628895278571</v>
      </c>
      <c r="T135" s="59">
        <f t="shared" si="142"/>
        <v>361.07991692964788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16.383784354825334</v>
      </c>
      <c r="AA135" s="21">
        <f>EXP(-LN(2)/25)*AA134+(1-EXP(-LN(2)/25))/(LN(2)/25)*Calculateur!V135*Calculateur!X135*VLOOKUP('Données projet'!$B$9,Paramètres!$A$1:$I$89,3,0)*0.475*44/12</f>
        <v>0.85011023028245447</v>
      </c>
      <c r="AB135" s="21">
        <f>EXP(-LN(2)/2)*AB134+(1-EXP(-LN(2)/2))/(LN(2)/2)*V135*Y135*VLOOKUP('Données projet'!$B$9,Paramètres!$A$1:$I$89,3,0)*0.475*44/12</f>
        <v>1.9967141718948375E-17</v>
      </c>
      <c r="AC135" s="22">
        <f t="shared" si="111"/>
        <v>17.233894585107787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325.55519999999984</v>
      </c>
      <c r="AJ135" s="13">
        <f>AI135*VLOOKUP('Données projet'!$B$10,Paramètres!$A$1:$I$89,3,0)*VLOOKUP('Données projet'!$B$10,Paramètres!$A$1:$I$89,5,0)</f>
        <v>355.50627839999981</v>
      </c>
      <c r="AK135" s="13">
        <f t="shared" si="143"/>
        <v>82.695279049034994</v>
      </c>
      <c r="AL135" s="20">
        <f t="shared" si="112"/>
        <v>763.20104589040227</v>
      </c>
      <c r="AM135" s="59">
        <f t="shared" si="113"/>
        <v>1056.5343792237356</v>
      </c>
      <c r="AN135" s="59">
        <f ca="1">AVERAGE(OFFSET($AM$3,0,0,'Données projet'!$E$10+1,1))-AVERAGE(OFFSET($H$3,0,0,'Données projet'!$E$10+1,1))</f>
        <v>245.5026179711341</v>
      </c>
      <c r="AO135" s="59">
        <f t="shared" si="144"/>
        <v>204.32077840562567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0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2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1">
        <f t="shared" si="140"/>
        <v>22.023205994903051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66">
        <f t="shared" si="110"/>
        <v>470.21213377445594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148.39628895278571</v>
      </c>
      <c r="T136" s="59">
        <f t="shared" si="142"/>
        <v>361.07991692964788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16.062508336748927</v>
      </c>
      <c r="AA136" s="21">
        <f>EXP(-LN(2)/25)*AA135+(1-EXP(-LN(2)/25))/(LN(2)/25)*Calculateur!V136*Calculateur!X136*VLOOKUP('Données projet'!$B$9,Paramètres!$A$1:$I$89,3,0)*0.475*44/12</f>
        <v>0.82686392133002673</v>
      </c>
      <c r="AB136" s="21">
        <f>EXP(-LN(2)/2)*AB135+(1-EXP(-LN(2)/2))/(LN(2)/2)*V136*Y136*VLOOKUP('Données projet'!$B$9,Paramètres!$A$1:$I$89,3,0)*0.475*44/12</f>
        <v>1.4118901310381213E-17</v>
      </c>
      <c r="AC136" s="22">
        <f t="shared" si="111"/>
        <v>16.889372258078954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325.55519999999984</v>
      </c>
      <c r="AJ136" s="13">
        <f>AI136*VLOOKUP('Données projet'!$B$10,Paramètres!$A$1:$I$89,3,0)*VLOOKUP('Données projet'!$B$10,Paramètres!$A$1:$I$89,5,0)</f>
        <v>355.50627839999981</v>
      </c>
      <c r="AK136" s="13">
        <f t="shared" si="143"/>
        <v>82.695279049034994</v>
      </c>
      <c r="AL136" s="20">
        <f t="shared" si="112"/>
        <v>763.20104589040227</v>
      </c>
      <c r="AM136" s="59">
        <f t="shared" si="113"/>
        <v>1056.5343792237356</v>
      </c>
      <c r="AN136" s="59">
        <f ca="1">AVERAGE(OFFSET($AM$3,0,0,'Données projet'!$E$10+1,1))-AVERAGE(OFFSET($H$3,0,0,'Données projet'!$E$10+1,1))</f>
        <v>245.5026179711341</v>
      </c>
      <c r="AO136" s="59">
        <f t="shared" si="144"/>
        <v>204.32077840562567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0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2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1">
        <f t="shared" si="140"/>
        <v>22.16945571745314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66">
        <f t="shared" si="110"/>
        <v>471.50836870789738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148.39628895278571</v>
      </c>
      <c r="T137" s="59">
        <f t="shared" si="142"/>
        <v>361.07991692964788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15.747532345427976</v>
      </c>
      <c r="AA137" s="21">
        <f>EXP(-LN(2)/25)*AA136+(1-EXP(-LN(2)/25))/(LN(2)/25)*Calculateur!V137*Calculateur!X137*VLOOKUP('Données projet'!$B$9,Paramètres!$A$1:$I$89,3,0)*0.475*44/12</f>
        <v>0.80425328391837336</v>
      </c>
      <c r="AB137" s="21">
        <f>EXP(-LN(2)/2)*AB136+(1-EXP(-LN(2)/2))/(LN(2)/2)*V137*Y137*VLOOKUP('Données projet'!$B$9,Paramètres!$A$1:$I$89,3,0)*0.475*44/12</f>
        <v>9.9835708594741873E-18</v>
      </c>
      <c r="AC137" s="22">
        <f t="shared" si="111"/>
        <v>16.551785629346348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325.55519999999984</v>
      </c>
      <c r="AJ137" s="13">
        <f>AI137*VLOOKUP('Données projet'!$B$10,Paramètres!$A$1:$I$89,3,0)*VLOOKUP('Données projet'!$B$10,Paramètres!$A$1:$I$89,5,0)</f>
        <v>355.50627839999981</v>
      </c>
      <c r="AK137" s="13">
        <f t="shared" si="143"/>
        <v>82.695279049034994</v>
      </c>
      <c r="AL137" s="20">
        <f t="shared" si="112"/>
        <v>763.20104589040227</v>
      </c>
      <c r="AM137" s="59">
        <f t="shared" si="113"/>
        <v>1056.5343792237356</v>
      </c>
      <c r="AN137" s="59">
        <f ca="1">AVERAGE(OFFSET($AM$3,0,0,'Données projet'!$E$10+1,1))-AVERAGE(OFFSET($H$3,0,0,'Données projet'!$E$10+1,1))</f>
        <v>245.5026179711341</v>
      </c>
      <c r="AO137" s="59">
        <f t="shared" si="144"/>
        <v>204.32077840562567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0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2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1">
        <f t="shared" si="140"/>
        <v>22.31557845311416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66">
        <f t="shared" si="110"/>
        <v>472.80438247250697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148.39628895278571</v>
      </c>
      <c r="T138" s="59">
        <f t="shared" si="142"/>
        <v>361.07991692964788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15.438732841180444</v>
      </c>
      <c r="AA138" s="21">
        <f>EXP(-LN(2)/25)*AA137+(1-EXP(-LN(2)/25))/(LN(2)/25)*Calculateur!V138*Calculateur!X138*VLOOKUP('Données projet'!$B$9,Paramètres!$A$1:$I$89,3,0)*0.475*44/12</f>
        <v>0.78226093557578336</v>
      </c>
      <c r="AB138" s="21">
        <f>EXP(-LN(2)/2)*AB137+(1-EXP(-LN(2)/2))/(LN(2)/2)*V138*Y138*VLOOKUP('Données projet'!$B$9,Paramètres!$A$1:$I$89,3,0)*0.475*44/12</f>
        <v>7.0594506551906064E-18</v>
      </c>
      <c r="AC138" s="22">
        <f t="shared" si="111"/>
        <v>16.220993776756227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325.55519999999984</v>
      </c>
      <c r="AJ138" s="13">
        <f>AI138*VLOOKUP('Données projet'!$B$10,Paramètres!$A$1:$I$89,3,0)*VLOOKUP('Données projet'!$B$10,Paramètres!$A$1:$I$89,5,0)</f>
        <v>355.50627839999981</v>
      </c>
      <c r="AK138" s="13">
        <f t="shared" si="143"/>
        <v>82.695279049034994</v>
      </c>
      <c r="AL138" s="20">
        <f t="shared" si="112"/>
        <v>763.20104589040227</v>
      </c>
      <c r="AM138" s="59">
        <f t="shared" si="113"/>
        <v>1056.5343792237356</v>
      </c>
      <c r="AN138" s="59">
        <f ca="1">AVERAGE(OFFSET($AM$3,0,0,'Données projet'!$E$10+1,1))-AVERAGE(OFFSET($H$3,0,0,'Données projet'!$E$10+1,1))</f>
        <v>245.5026179711341</v>
      </c>
      <c r="AO138" s="59">
        <f t="shared" si="144"/>
        <v>204.32077840562567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0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2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1">
        <f t="shared" si="140"/>
        <v>22.461575251587284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66">
        <f t="shared" si="110"/>
        <v>474.10017689651431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148.39628895278571</v>
      </c>
      <c r="T139" s="59">
        <f t="shared" si="142"/>
        <v>361.07991692964788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15.135988706862108</v>
      </c>
      <c r="AA139" s="21">
        <f>EXP(-LN(2)/25)*AA138+(1-EXP(-LN(2)/25))/(LN(2)/25)*Calculateur!V139*Calculateur!X139*VLOOKUP('Données projet'!$B$9,Paramètres!$A$1:$I$89,3,0)*0.475*44/12</f>
        <v>0.76086996915514882</v>
      </c>
      <c r="AB139" s="21">
        <f>EXP(-LN(2)/2)*AB138+(1-EXP(-LN(2)/2))/(LN(2)/2)*V139*Y139*VLOOKUP('Données projet'!$B$9,Paramètres!$A$1:$I$89,3,0)*0.475*44/12</f>
        <v>4.9917854297370937E-18</v>
      </c>
      <c r="AC139" s="22">
        <f t="shared" si="111"/>
        <v>15.896858676017256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325.55519999999984</v>
      </c>
      <c r="AJ139" s="13">
        <f>AI139*VLOOKUP('Données projet'!$B$10,Paramètres!$A$1:$I$89,3,0)*VLOOKUP('Données projet'!$B$10,Paramètres!$A$1:$I$89,5,0)</f>
        <v>355.50627839999981</v>
      </c>
      <c r="AK139" s="13">
        <f t="shared" si="143"/>
        <v>82.695279049034994</v>
      </c>
      <c r="AL139" s="20">
        <f t="shared" si="112"/>
        <v>763.20104589040227</v>
      </c>
      <c r="AM139" s="59">
        <f t="shared" si="113"/>
        <v>1056.5343792237356</v>
      </c>
      <c r="AN139" s="59">
        <f ca="1">AVERAGE(OFFSET($AM$3,0,0,'Données projet'!$E$10+1,1))-AVERAGE(OFFSET($H$3,0,0,'Données projet'!$E$10+1,1))</f>
        <v>245.5026179711341</v>
      </c>
      <c r="AO139" s="59">
        <f t="shared" si="144"/>
        <v>204.32077840562567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0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2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1">
        <f t="shared" si="140"/>
        <v>22.607447146245129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66">
        <f t="shared" si="110"/>
        <v>475.39575377971011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148.39628895278571</v>
      </c>
      <c r="T140" s="59">
        <f t="shared" si="142"/>
        <v>361.07991692964788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14.839181200362065</v>
      </c>
      <c r="AA140" s="21">
        <f>EXP(-LN(2)/25)*AA139+(1-EXP(-LN(2)/25))/(LN(2)/25)*Calculateur!V140*Calculateur!X140*VLOOKUP('Données projet'!$B$9,Paramètres!$A$1:$I$89,3,0)*0.475*44/12</f>
        <v>0.74006393983618857</v>
      </c>
      <c r="AB140" s="21">
        <f>EXP(-LN(2)/2)*AB139+(1-EXP(-LN(2)/2))/(LN(2)/2)*V140*Y140*VLOOKUP('Données projet'!$B$9,Paramètres!$A$1:$I$89,3,0)*0.475*44/12</f>
        <v>3.5297253275953032E-18</v>
      </c>
      <c r="AC140" s="22">
        <f t="shared" si="111"/>
        <v>15.579245140198253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325.55519999999984</v>
      </c>
      <c r="AJ140" s="13">
        <f>AI140*VLOOKUP('Données projet'!$B$10,Paramètres!$A$1:$I$89,3,0)*VLOOKUP('Données projet'!$B$10,Paramètres!$A$1:$I$89,5,0)</f>
        <v>355.50627839999981</v>
      </c>
      <c r="AK140" s="13">
        <f t="shared" si="143"/>
        <v>82.695279049034994</v>
      </c>
      <c r="AL140" s="20">
        <f t="shared" si="112"/>
        <v>763.20104589040227</v>
      </c>
      <c r="AM140" s="59">
        <f t="shared" si="113"/>
        <v>1056.5343792237356</v>
      </c>
      <c r="AN140" s="59">
        <f ca="1">AVERAGE(OFFSET($AM$3,0,0,'Données projet'!$E$10+1,1))-AVERAGE(OFFSET($H$3,0,0,'Données projet'!$E$10+1,1))</f>
        <v>245.5026179711341</v>
      </c>
      <c r="AO140" s="59">
        <f t="shared" si="144"/>
        <v>204.32077840562567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0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2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1">
        <f t="shared" si="140"/>
        <v>22.75319515450283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66">
        <f t="shared" si="110"/>
        <v>476.69111489409227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148.39628895278571</v>
      </c>
      <c r="T141" s="59">
        <f t="shared" si="142"/>
        <v>361.07991692964788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14.548193908029784</v>
      </c>
      <c r="AA141" s="21">
        <f>EXP(-LN(2)/25)*AA140+(1-EXP(-LN(2)/25))/(LN(2)/25)*Calculateur!V141*Calculateur!X141*VLOOKUP('Données projet'!$B$9,Paramètres!$A$1:$I$89,3,0)*0.475*44/12</f>
        <v>0.71982685248309686</v>
      </c>
      <c r="AB141" s="21">
        <f>EXP(-LN(2)/2)*AB140+(1-EXP(-LN(2)/2))/(LN(2)/2)*V141*Y141*VLOOKUP('Données projet'!$B$9,Paramètres!$A$1:$I$89,3,0)*0.475*44/12</f>
        <v>2.4958927148685468E-18</v>
      </c>
      <c r="AC141" s="22">
        <f t="shared" si="111"/>
        <v>15.268020760512881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325.55519999999984</v>
      </c>
      <c r="AJ141" s="13">
        <f>AI141*VLOOKUP('Données projet'!$B$10,Paramètres!$A$1:$I$89,3,0)*VLOOKUP('Données projet'!$B$10,Paramètres!$A$1:$I$89,5,0)</f>
        <v>355.50627839999981</v>
      </c>
      <c r="AK141" s="13">
        <f t="shared" si="143"/>
        <v>82.695279049034994</v>
      </c>
      <c r="AL141" s="20">
        <f t="shared" si="112"/>
        <v>763.20104589040227</v>
      </c>
      <c r="AM141" s="59">
        <f t="shared" si="113"/>
        <v>1056.5343792237356</v>
      </c>
      <c r="AN141" s="59">
        <f ca="1">AVERAGE(OFFSET($AM$3,0,0,'Données projet'!$E$10+1,1))-AVERAGE(OFFSET($H$3,0,0,'Données projet'!$E$10+1,1))</f>
        <v>245.5026179711341</v>
      </c>
      <c r="AO141" s="59">
        <f t="shared" si="144"/>
        <v>204.32077840562567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0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2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1">
        <f t="shared" si="140"/>
        <v>22.898820278178491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66">
        <f t="shared" si="110"/>
        <v>477.98626198449398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148.39628895278571</v>
      </c>
      <c r="T142" s="59">
        <f t="shared" si="142"/>
        <v>361.07991692964788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14.262912699015416</v>
      </c>
      <c r="AA142" s="21">
        <f>EXP(-LN(2)/25)*AA141+(1-EXP(-LN(2)/25))/(LN(2)/25)*Calculateur!V142*Calculateur!X142*VLOOKUP('Données projet'!$B$9,Paramètres!$A$1:$I$89,3,0)*0.475*44/12</f>
        <v>0.70014314934789756</v>
      </c>
      <c r="AB142" s="21">
        <f>EXP(-LN(2)/2)*AB141+(1-EXP(-LN(2)/2))/(LN(2)/2)*V142*Y142*VLOOKUP('Données projet'!$B$9,Paramètres!$A$1:$I$89,3,0)*0.475*44/12</f>
        <v>1.7648626637976516E-18</v>
      </c>
      <c r="AC142" s="22">
        <f t="shared" si="111"/>
        <v>14.963055848363314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325.55519999999984</v>
      </c>
      <c r="AJ142" s="13">
        <f>AI142*VLOOKUP('Données projet'!$B$10,Paramètres!$A$1:$I$89,3,0)*VLOOKUP('Données projet'!$B$10,Paramètres!$A$1:$I$89,5,0)</f>
        <v>355.50627839999981</v>
      </c>
      <c r="AK142" s="13">
        <f t="shared" si="143"/>
        <v>82.695279049034994</v>
      </c>
      <c r="AL142" s="20">
        <f t="shared" si="112"/>
        <v>763.20104589040227</v>
      </c>
      <c r="AM142" s="59">
        <f t="shared" si="113"/>
        <v>1056.5343792237356</v>
      </c>
      <c r="AN142" s="59">
        <f ca="1">AVERAGE(OFFSET($AM$3,0,0,'Données projet'!$E$10+1,1))-AVERAGE(OFFSET($H$3,0,0,'Données projet'!$E$10+1,1))</f>
        <v>245.5026179711341</v>
      </c>
      <c r="AO142" s="59">
        <f t="shared" si="144"/>
        <v>204.32077840562567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0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2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1">
        <f t="shared" si="140"/>
        <v>23.044323503842559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66">
        <f t="shared" si="110"/>
        <v>479.28119676919226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148.39628895278571</v>
      </c>
      <c r="T143" s="59">
        <f t="shared" si="142"/>
        <v>361.07991692964788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13.983225680505464</v>
      </c>
      <c r="AA143" s="21">
        <f>EXP(-LN(2)/25)*AA142+(1-EXP(-LN(2)/25))/(LN(2)/25)*Calculateur!V143*Calculateur!X143*VLOOKUP('Données projet'!$B$9,Paramètres!$A$1:$I$89,3,0)*0.475*44/12</f>
        <v>0.68099769811005129</v>
      </c>
      <c r="AB143" s="21">
        <f>EXP(-LN(2)/2)*AB142+(1-EXP(-LN(2)/2))/(LN(2)/2)*V143*Y143*VLOOKUP('Données projet'!$B$9,Paramètres!$A$1:$I$89,3,0)*0.475*44/12</f>
        <v>1.2479463574342734E-18</v>
      </c>
      <c r="AC143" s="22">
        <f t="shared" si="111"/>
        <v>14.664223378615516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325.55519999999984</v>
      </c>
      <c r="AJ143" s="13">
        <f>AI143*VLOOKUP('Données projet'!$B$10,Paramètres!$A$1:$I$89,3,0)*VLOOKUP('Données projet'!$B$10,Paramètres!$A$1:$I$89,5,0)</f>
        <v>355.50627839999981</v>
      </c>
      <c r="AK143" s="13">
        <f t="shared" si="143"/>
        <v>82.695279049034994</v>
      </c>
      <c r="AL143" s="20">
        <f t="shared" si="112"/>
        <v>763.20104589040227</v>
      </c>
      <c r="AM143" s="59">
        <f t="shared" si="113"/>
        <v>1056.5343792237356</v>
      </c>
      <c r="AN143" s="59">
        <f ca="1">AVERAGE(OFFSET($AM$3,0,0,'Données projet'!$E$10+1,1))-AVERAGE(OFFSET($H$3,0,0,'Données projet'!$E$10+1,1))</f>
        <v>245.5026179711341</v>
      </c>
      <c r="AO143" s="59">
        <f t="shared" si="144"/>
        <v>204.32077840562567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0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2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1">
        <f t="shared" si="140"/>
        <v>23.189705803157228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66">
        <f t="shared" si="110"/>
        <v>480.57592094049863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148.39628895278571</v>
      </c>
      <c r="T144" s="59">
        <f t="shared" si="142"/>
        <v>361.07991692964788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13.709023153836256</v>
      </c>
      <c r="AA144" s="21">
        <f>EXP(-LN(2)/25)*AA143+(1-EXP(-LN(2)/25))/(LN(2)/25)*Calculateur!V144*Calculateur!X144*VLOOKUP('Données projet'!$B$9,Paramètres!$A$1:$I$89,3,0)*0.475*44/12</f>
        <v>0.66237578024311938</v>
      </c>
      <c r="AB144" s="21">
        <f>EXP(-LN(2)/2)*AB143+(1-EXP(-LN(2)/2))/(LN(2)/2)*V144*Y144*VLOOKUP('Données projet'!$B$9,Paramètres!$A$1:$I$89,3,0)*0.475*44/12</f>
        <v>8.8243133189882579E-19</v>
      </c>
      <c r="AC144" s="22">
        <f t="shared" si="111"/>
        <v>14.371398934079375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325.55519999999984</v>
      </c>
      <c r="AJ144" s="13">
        <f>AI144*VLOOKUP('Données projet'!$B$10,Paramètres!$A$1:$I$89,3,0)*VLOOKUP('Données projet'!$B$10,Paramètres!$A$1:$I$89,5,0)</f>
        <v>355.50627839999981</v>
      </c>
      <c r="AK144" s="13">
        <f t="shared" si="143"/>
        <v>82.695279049034994</v>
      </c>
      <c r="AL144" s="20">
        <f t="shared" si="112"/>
        <v>763.20104589040227</v>
      </c>
      <c r="AM144" s="59">
        <f t="shared" si="113"/>
        <v>1056.5343792237356</v>
      </c>
      <c r="AN144" s="59">
        <f ca="1">AVERAGE(OFFSET($AM$3,0,0,'Données projet'!$E$10+1,1))-AVERAGE(OFFSET($H$3,0,0,'Données projet'!$E$10+1,1))</f>
        <v>245.5026179711341</v>
      </c>
      <c r="AO144" s="59">
        <f t="shared" si="144"/>
        <v>204.32077840562567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0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2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1">
        <f t="shared" si="140"/>
        <v>23.334968133205699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66">
        <f t="shared" si="110"/>
        <v>481.87043616533305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148.39628895278571</v>
      </c>
      <c r="T145" s="59">
        <f t="shared" si="142"/>
        <v>361.07991692964788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13.440197571468003</v>
      </c>
      <c r="AA145" s="21">
        <f>EXP(-LN(2)/25)*AA144+(1-EXP(-LN(2)/25))/(LN(2)/25)*Calculateur!V145*Calculateur!X145*VLOOKUP('Données projet'!$B$9,Paramètres!$A$1:$I$89,3,0)*0.475*44/12</f>
        <v>0.64426307969954288</v>
      </c>
      <c r="AB145" s="21">
        <f>EXP(-LN(2)/2)*AB144+(1-EXP(-LN(2)/2))/(LN(2)/2)*V145*Y145*VLOOKUP('Données projet'!$B$9,Paramètres!$A$1:$I$89,3,0)*0.475*44/12</f>
        <v>6.2397317871713671E-19</v>
      </c>
      <c r="AC145" s="22">
        <f t="shared" si="111"/>
        <v>14.084460651167547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325.55519999999984</v>
      </c>
      <c r="AJ145" s="13">
        <f>AI145*VLOOKUP('Données projet'!$B$10,Paramètres!$A$1:$I$89,3,0)*VLOOKUP('Données projet'!$B$10,Paramètres!$A$1:$I$89,5,0)</f>
        <v>355.50627839999981</v>
      </c>
      <c r="AK145" s="13">
        <f t="shared" si="143"/>
        <v>82.695279049034994</v>
      </c>
      <c r="AL145" s="20">
        <f t="shared" si="112"/>
        <v>763.20104589040227</v>
      </c>
      <c r="AM145" s="59">
        <f t="shared" si="113"/>
        <v>1056.5343792237356</v>
      </c>
      <c r="AN145" s="59">
        <f ca="1">AVERAGE(OFFSET($AM$3,0,0,'Données projet'!$E$10+1,1))-AVERAGE(OFFSET($H$3,0,0,'Données projet'!$E$10+1,1))</f>
        <v>245.5026179711341</v>
      </c>
      <c r="AO145" s="59">
        <f t="shared" si="144"/>
        <v>204.32077840562567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0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2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1">
        <f t="shared" si="140"/>
        <v>23.480111436812148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66">
        <f t="shared" si="110"/>
        <v>483.16474408578097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148.39628895278571</v>
      </c>
      <c r="T146" s="59">
        <f t="shared" si="142"/>
        <v>361.07991692964788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13.176643494802578</v>
      </c>
      <c r="AA146" s="21">
        <f>EXP(-LN(2)/25)*AA145+(1-EXP(-LN(2)/25))/(LN(2)/25)*Calculateur!V146*Calculateur!X146*VLOOKUP('Données projet'!$B$9,Paramètres!$A$1:$I$89,3,0)*0.475*44/12</f>
        <v>0.626645671904836</v>
      </c>
      <c r="AB146" s="21">
        <f>EXP(-LN(2)/2)*AB145+(1-EXP(-LN(2)/2))/(LN(2)/2)*V146*Y146*VLOOKUP('Données projet'!$B$9,Paramètres!$A$1:$I$89,3,0)*0.475*44/12</f>
        <v>4.412156659494129E-19</v>
      </c>
      <c r="AC146" s="22">
        <f t="shared" si="111"/>
        <v>13.803289166707414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325.55519999999984</v>
      </c>
      <c r="AJ146" s="13">
        <f>AI146*VLOOKUP('Données projet'!$B$10,Paramètres!$A$1:$I$89,3,0)*VLOOKUP('Données projet'!$B$10,Paramètres!$A$1:$I$89,5,0)</f>
        <v>355.50627839999981</v>
      </c>
      <c r="AK146" s="13">
        <f t="shared" si="143"/>
        <v>82.695279049034994</v>
      </c>
      <c r="AL146" s="20">
        <f t="shared" si="112"/>
        <v>763.20104589040227</v>
      </c>
      <c r="AM146" s="59">
        <f t="shared" si="113"/>
        <v>1056.5343792237356</v>
      </c>
      <c r="AN146" s="59">
        <f ca="1">AVERAGE(OFFSET($AM$3,0,0,'Données projet'!$E$10+1,1))-AVERAGE(OFFSET($H$3,0,0,'Données projet'!$E$10+1,1))</f>
        <v>245.5026179711341</v>
      </c>
      <c r="AO146" s="59">
        <f t="shared" si="144"/>
        <v>204.32077840562567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0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2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1">
        <f t="shared" si="140"/>
        <v>23.625136642852276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66">
        <f t="shared" si="110"/>
        <v>484.45884631963418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148.39628895278571</v>
      </c>
      <c r="T147" s="59">
        <f t="shared" si="142"/>
        <v>361.07991692964788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12.918257552828447</v>
      </c>
      <c r="AA147" s="21">
        <f>EXP(-LN(2)/25)*AA146+(1-EXP(-LN(2)/25))/(LN(2)/25)*Calculateur!V147*Calculateur!X147*VLOOKUP('Données projet'!$B$9,Paramètres!$A$1:$I$89,3,0)*0.475*44/12</f>
        <v>0.60951001305273456</v>
      </c>
      <c r="AB147" s="21">
        <f>EXP(-LN(2)/2)*AB146+(1-EXP(-LN(2)/2))/(LN(2)/2)*V147*Y147*VLOOKUP('Données projet'!$B$9,Paramètres!$A$1:$I$89,3,0)*0.475*44/12</f>
        <v>3.1198658935856835E-19</v>
      </c>
      <c r="AC147" s="22">
        <f t="shared" si="111"/>
        <v>13.527767565881181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325.55519999999984</v>
      </c>
      <c r="AJ147" s="13">
        <f>AI147*VLOOKUP('Données projet'!$B$10,Paramètres!$A$1:$I$89,3,0)*VLOOKUP('Données projet'!$B$10,Paramètres!$A$1:$I$89,5,0)</f>
        <v>355.50627839999981</v>
      </c>
      <c r="AK147" s="13">
        <f t="shared" si="143"/>
        <v>82.695279049034994</v>
      </c>
      <c r="AL147" s="20">
        <f t="shared" si="112"/>
        <v>763.20104589040227</v>
      </c>
      <c r="AM147" s="59">
        <f t="shared" si="113"/>
        <v>1056.5343792237356</v>
      </c>
      <c r="AN147" s="59">
        <f ca="1">AVERAGE(OFFSET($AM$3,0,0,'Données projet'!$E$10+1,1))-AVERAGE(OFFSET($H$3,0,0,'Données projet'!$E$10+1,1))</f>
        <v>245.5026179711341</v>
      </c>
      <c r="AO147" s="59">
        <f t="shared" si="144"/>
        <v>204.32077840562567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0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2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1">
        <f t="shared" si="140"/>
        <v>23.770044666555076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66">
        <f t="shared" si="110"/>
        <v>485.75274446091657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148.39628895278571</v>
      </c>
      <c r="T148" s="59">
        <f t="shared" si="142"/>
        <v>361.07991692964788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12.664938401576565</v>
      </c>
      <c r="AA148" s="21">
        <f>EXP(-LN(2)/25)*AA147+(1-EXP(-LN(2)/25))/(LN(2)/25)*Calculateur!V148*Calculateur!X148*VLOOKUP('Données projet'!$B$9,Paramètres!$A$1:$I$89,3,0)*0.475*44/12</f>
        <v>0.59284292969306895</v>
      </c>
      <c r="AB148" s="21">
        <f>EXP(-LN(2)/2)*AB147+(1-EXP(-LN(2)/2))/(LN(2)/2)*V148*Y148*VLOOKUP('Données projet'!$B$9,Paramètres!$A$1:$I$89,3,0)*0.475*44/12</f>
        <v>2.2060783297470645E-19</v>
      </c>
      <c r="AC148" s="22">
        <f t="shared" si="111"/>
        <v>13.257781331269634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325.55519999999984</v>
      </c>
      <c r="AJ148" s="13">
        <f>AI148*VLOOKUP('Données projet'!$B$10,Paramètres!$A$1:$I$89,3,0)*VLOOKUP('Données projet'!$B$10,Paramètres!$A$1:$I$89,5,0)</f>
        <v>355.50627839999981</v>
      </c>
      <c r="AK148" s="13">
        <f t="shared" si="143"/>
        <v>82.695279049034994</v>
      </c>
      <c r="AL148" s="20">
        <f t="shared" si="112"/>
        <v>763.20104589040227</v>
      </c>
      <c r="AM148" s="59">
        <f t="shared" si="113"/>
        <v>1056.5343792237356</v>
      </c>
      <c r="AN148" s="59">
        <f ca="1">AVERAGE(OFFSET($AM$3,0,0,'Données projet'!$E$10+1,1))-AVERAGE(OFFSET($H$3,0,0,'Données projet'!$E$10+1,1))</f>
        <v>245.5026179711341</v>
      </c>
      <c r="AO148" s="59">
        <f t="shared" si="144"/>
        <v>204.32077840562567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0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2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1">
        <f t="shared" si="140"/>
        <v>23.914836409796042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66">
        <f t="shared" si="110"/>
        <v>487.04644008039458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148.39628895278571</v>
      </c>
      <c r="T149" s="59">
        <f t="shared" si="142"/>
        <v>361.07991692964788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12.416586684371309</v>
      </c>
      <c r="AA149" s="21">
        <f>EXP(-LN(2)/25)*AA148+(1-EXP(-LN(2)/25))/(LN(2)/25)*Calculateur!V149*Calculateur!X149*VLOOKUP('Données projet'!$B$9,Paramètres!$A$1:$I$89,3,0)*0.475*44/12</f>
        <v>0.57663160860435725</v>
      </c>
      <c r="AB149" s="21">
        <f>EXP(-LN(2)/2)*AB148+(1-EXP(-LN(2)/2))/(LN(2)/2)*V149*Y149*VLOOKUP('Données projet'!$B$9,Paramètres!$A$1:$I$89,3,0)*0.475*44/12</f>
        <v>1.5599329467928418E-19</v>
      </c>
      <c r="AC149" s="22">
        <f t="shared" si="111"/>
        <v>12.993218292975666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325.55519999999984</v>
      </c>
      <c r="AJ149" s="13">
        <f>AI149*VLOOKUP('Données projet'!$B$10,Paramètres!$A$1:$I$89,3,0)*VLOOKUP('Données projet'!$B$10,Paramètres!$A$1:$I$89,5,0)</f>
        <v>355.50627839999981</v>
      </c>
      <c r="AK149" s="13">
        <f t="shared" si="143"/>
        <v>82.695279049034994</v>
      </c>
      <c r="AL149" s="20">
        <f t="shared" si="112"/>
        <v>763.20104589040227</v>
      </c>
      <c r="AM149" s="59">
        <f t="shared" si="113"/>
        <v>1056.5343792237356</v>
      </c>
      <c r="AN149" s="59">
        <f ca="1">AVERAGE(OFFSET($AM$3,0,0,'Données projet'!$E$10+1,1))-AVERAGE(OFFSET($H$3,0,0,'Données projet'!$E$10+1,1))</f>
        <v>245.5026179711341</v>
      </c>
      <c r="AO149" s="59">
        <f t="shared" si="144"/>
        <v>204.32077840562567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0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2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1">
        <f t="shared" si="140"/>
        <v>24.059512761382056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66">
        <f t="shared" si="110"/>
        <v>488.33993472607352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148.39628895278571</v>
      </c>
      <c r="T150" s="59">
        <f t="shared" si="142"/>
        <v>361.07991692964788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12.173104992860857</v>
      </c>
      <c r="AA150" s="21">
        <f>EXP(-LN(2)/25)*AA149+(1-EXP(-LN(2)/25))/(LN(2)/25)*Calculateur!V150*Calculateur!X150*VLOOKUP('Données projet'!$B$9,Paramètres!$A$1:$I$89,3,0)*0.475*44/12</f>
        <v>0.56086358694333271</v>
      </c>
      <c r="AB150" s="21">
        <f>EXP(-LN(2)/2)*AB149+(1-EXP(-LN(2)/2))/(LN(2)/2)*V150*Y150*VLOOKUP('Données projet'!$B$9,Paramètres!$A$1:$I$89,3,0)*0.475*44/12</f>
        <v>1.1030391648735322E-19</v>
      </c>
      <c r="AC150" s="22">
        <f t="shared" si="111"/>
        <v>12.73396857980419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325.55519999999984</v>
      </c>
      <c r="AJ150" s="13">
        <f>AI150*VLOOKUP('Données projet'!$B$10,Paramètres!$A$1:$I$89,3,0)*VLOOKUP('Données projet'!$B$10,Paramètres!$A$1:$I$89,5,0)</f>
        <v>355.50627839999981</v>
      </c>
      <c r="AK150" s="13">
        <f t="shared" si="143"/>
        <v>82.695279049034994</v>
      </c>
      <c r="AL150" s="20">
        <f t="shared" si="112"/>
        <v>763.20104589040227</v>
      </c>
      <c r="AM150" s="59">
        <f t="shared" si="113"/>
        <v>1056.5343792237356</v>
      </c>
      <c r="AN150" s="59">
        <f ca="1">AVERAGE(OFFSET($AM$3,0,0,'Données projet'!$E$10+1,1))-AVERAGE(OFFSET($H$3,0,0,'Données projet'!$E$10+1,1))</f>
        <v>245.5026179711341</v>
      </c>
      <c r="AO150" s="59">
        <f t="shared" si="144"/>
        <v>204.32077840562567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0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2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1">
        <f t="shared" si="140"/>
        <v>24.204074597328436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66">
        <f t="shared" si="110"/>
        <v>489.63322992368012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148.39628895278571</v>
      </c>
      <c r="T151" s="59">
        <f t="shared" si="142"/>
        <v>361.07991692964788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11.934397828811758</v>
      </c>
      <c r="AA151" s="21">
        <f>EXP(-LN(2)/25)*AA150+(1-EXP(-LN(2)/25))/(LN(2)/25)*Calculateur!V151*Calculateur!X151*VLOOKUP('Données projet'!$B$9,Paramètres!$A$1:$I$89,3,0)*0.475*44/12</f>
        <v>0.54552674266383316</v>
      </c>
      <c r="AB151" s="21">
        <f>EXP(-LN(2)/2)*AB150+(1-EXP(-LN(2)/2))/(LN(2)/2)*V151*Y151*VLOOKUP('Données projet'!$B$9,Paramètres!$A$1:$I$89,3,0)*0.475*44/12</f>
        <v>7.7996647339642089E-20</v>
      </c>
      <c r="AC151" s="22">
        <f t="shared" si="111"/>
        <v>12.479924571475591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325.55519999999984</v>
      </c>
      <c r="AJ151" s="13">
        <f>AI151*VLOOKUP('Données projet'!$B$10,Paramètres!$A$1:$I$89,3,0)*VLOOKUP('Données projet'!$B$10,Paramètres!$A$1:$I$89,5,0)</f>
        <v>355.50627839999981</v>
      </c>
      <c r="AK151" s="13">
        <f t="shared" si="143"/>
        <v>82.695279049034994</v>
      </c>
      <c r="AL151" s="20">
        <f t="shared" si="112"/>
        <v>763.20104589040227</v>
      </c>
      <c r="AM151" s="59">
        <f t="shared" si="113"/>
        <v>1056.5343792237356</v>
      </c>
      <c r="AN151" s="59">
        <f ca="1">AVERAGE(OFFSET($AM$3,0,0,'Données projet'!$E$10+1,1))-AVERAGE(OFFSET($H$3,0,0,'Données projet'!$E$10+1,1))</f>
        <v>245.5026179711341</v>
      </c>
      <c r="AO151" s="59">
        <f t="shared" si="144"/>
        <v>204.32077840562567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0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2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1">
        <f t="shared" si="140"/>
        <v>24.348522781128061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66">
        <f t="shared" si="110"/>
        <v>490.92632717713116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148.39628895278571</v>
      </c>
      <c r="T152" s="59">
        <f t="shared" si="142"/>
        <v>361.07991692964788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11.700371566652667</v>
      </c>
      <c r="AA152" s="21">
        <f>EXP(-LN(2)/25)*AA151+(1-EXP(-LN(2)/25))/(LN(2)/25)*Calculateur!V152*Calculateur!X152*VLOOKUP('Données projet'!$B$9,Paramètres!$A$1:$I$89,3,0)*0.475*44/12</f>
        <v>0.53060928519768602</v>
      </c>
      <c r="AB152" s="21">
        <f>EXP(-LN(2)/2)*AB151+(1-EXP(-LN(2)/2))/(LN(2)/2)*V152*Y152*VLOOKUP('Données projet'!$B$9,Paramètres!$A$1:$I$89,3,0)*0.475*44/12</f>
        <v>5.5151958243676612E-20</v>
      </c>
      <c r="AC152" s="22">
        <f t="shared" si="111"/>
        <v>12.230980851850353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325.55519999999984</v>
      </c>
      <c r="AJ152" s="13">
        <f>AI152*VLOOKUP('Données projet'!$B$10,Paramètres!$A$1:$I$89,3,0)*VLOOKUP('Données projet'!$B$10,Paramètres!$A$1:$I$89,5,0)</f>
        <v>355.50627839999981</v>
      </c>
      <c r="AK152" s="13">
        <f t="shared" si="143"/>
        <v>82.695279049034994</v>
      </c>
      <c r="AL152" s="20">
        <f t="shared" si="112"/>
        <v>763.20104589040227</v>
      </c>
      <c r="AM152" s="59">
        <f t="shared" si="113"/>
        <v>1056.5343792237356</v>
      </c>
      <c r="AN152" s="59">
        <f ca="1">AVERAGE(OFFSET($AM$3,0,0,'Données projet'!$E$10+1,1))-AVERAGE(OFFSET($H$3,0,0,'Données projet'!$E$10+1,1))</f>
        <v>245.5026179711341</v>
      </c>
      <c r="AO152" s="59">
        <f t="shared" si="144"/>
        <v>204.32077840562567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0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2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1">
        <f t="shared" si="140"/>
        <v>24.492858164013278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66">
        <f t="shared" si="110"/>
        <v>492.21922796898957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148.39628895278571</v>
      </c>
      <c r="T153" s="59">
        <f t="shared" si="142"/>
        <v>361.07991692964788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11.470934416752591</v>
      </c>
      <c r="AA153" s="21">
        <f>EXP(-LN(2)/25)*AA152+(1-EXP(-LN(2)/25))/(LN(2)/25)*Calculateur!V153*Calculateur!X153*VLOOKUP('Données projet'!$B$9,Paramètres!$A$1:$I$89,3,0)*0.475*44/12</f>
        <v>0.51609974639042566</v>
      </c>
      <c r="AB153" s="21">
        <f>EXP(-LN(2)/2)*AB152+(1-EXP(-LN(2)/2))/(LN(2)/2)*V153*Y153*VLOOKUP('Données projet'!$B$9,Paramètres!$A$1:$I$89,3,0)*0.475*44/12</f>
        <v>3.8998323669821044E-20</v>
      </c>
      <c r="AC153" s="22">
        <f t="shared" si="111"/>
        <v>11.987034163143017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325.55519999999984</v>
      </c>
      <c r="AJ153" s="13">
        <f>AI153*VLOOKUP('Données projet'!$B$10,Paramètres!$A$1:$I$89,3,0)*VLOOKUP('Données projet'!$B$10,Paramètres!$A$1:$I$89,5,0)</f>
        <v>355.50627839999981</v>
      </c>
      <c r="AK153" s="13">
        <f t="shared" si="143"/>
        <v>82.695279049034994</v>
      </c>
      <c r="AL153" s="20">
        <f t="shared" si="112"/>
        <v>763.20104589040227</v>
      </c>
      <c r="AM153" s="59">
        <f t="shared" si="113"/>
        <v>1056.5343792237356</v>
      </c>
      <c r="AN153" s="59">
        <f ca="1">AVERAGE(OFFSET($AM$3,0,0,'Données projet'!$E$10+1,1))-AVERAGE(OFFSET($H$3,0,0,'Données projet'!$E$10+1,1))</f>
        <v>245.5026179711341</v>
      </c>
      <c r="AO153" s="59">
        <f t="shared" si="144"/>
        <v>204.32077840562567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0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2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1">
        <f t="shared" si="140"/>
        <v>24.637081585210503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66">
        <f t="shared" si="110"/>
        <v>493.51193376090805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148.39628895278571</v>
      </c>
      <c r="T154" s="59">
        <f t="shared" si="142"/>
        <v>361.07991692964788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11.245996389419213</v>
      </c>
      <c r="AA154" s="21">
        <f>EXP(-LN(2)/25)*AA153+(1-EXP(-LN(2)/25))/(LN(2)/25)*Calculateur!V154*Calculateur!X154*VLOOKUP('Données projet'!$B$9,Paramètres!$A$1:$I$89,3,0)*0.475*44/12</f>
        <v>0.50198697168487338</v>
      </c>
      <c r="AB154" s="21">
        <f>EXP(-LN(2)/2)*AB153+(1-EXP(-LN(2)/2))/(LN(2)/2)*V154*Y154*VLOOKUP('Données projet'!$B$9,Paramètres!$A$1:$I$89,3,0)*0.475*44/12</f>
        <v>2.7575979121838306E-20</v>
      </c>
      <c r="AC154" s="22">
        <f t="shared" ref="AC154:AC203" si="163">SUM(Z154:AB154)</f>
        <v>11.747983361104087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325.55519999999984</v>
      </c>
      <c r="AJ154" s="13">
        <f>AI154*VLOOKUP('Données projet'!$B$10,Paramètres!$A$1:$I$89,3,0)*VLOOKUP('Données projet'!$B$10,Paramètres!$A$1:$I$89,5,0)</f>
        <v>355.50627839999981</v>
      </c>
      <c r="AK154" s="13">
        <f t="shared" ref="AK154:AK203" si="164">EXP(-1.0587+0.8836*LN(AJ154)+0.284)</f>
        <v>82.695279049034994</v>
      </c>
      <c r="AL154" s="20">
        <f t="shared" ref="AL154:AL203" si="165">(AJ154+AK154)*0.475*44/12</f>
        <v>763.20104589040227</v>
      </c>
      <c r="AM154" s="59">
        <f t="shared" si="113"/>
        <v>1056.5343792237356</v>
      </c>
      <c r="AN154" s="59">
        <f ca="1">AVERAGE(OFFSET($AM$3,0,0,'Données projet'!$E$10+1,1))-AVERAGE(OFFSET($H$3,0,0,'Données projet'!$E$10+1,1))</f>
        <v>245.5026179711341</v>
      </c>
      <c r="AO154" s="59">
        <f t="shared" si="144"/>
        <v>204.32077840562567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0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2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1">
        <f t="shared" si="140"/>
        <v>24.781193872187931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66">
        <f t="shared" si="110"/>
        <v>494.80444599406042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148.39628895278571</v>
      </c>
      <c r="T155" s="59">
        <f t="shared" si="142"/>
        <v>361.07991692964788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11.025469259603192</v>
      </c>
      <c r="AA155" s="21">
        <f>EXP(-LN(2)/25)*AA154+(1-EXP(-LN(2)/25))/(LN(2)/25)*Calculateur!V155*Calculateur!X155*VLOOKUP('Données projet'!$B$9,Paramètres!$A$1:$I$89,3,0)*0.475*44/12</f>
        <v>0.48826011154580301</v>
      </c>
      <c r="AB155" s="21">
        <f>EXP(-LN(2)/2)*AB154+(1-EXP(-LN(2)/2))/(LN(2)/2)*V155*Y155*VLOOKUP('Données projet'!$B$9,Paramètres!$A$1:$I$89,3,0)*0.475*44/12</f>
        <v>1.9499161834910522E-20</v>
      </c>
      <c r="AC155" s="22">
        <f t="shared" si="163"/>
        <v>11.513729371148994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325.55519999999984</v>
      </c>
      <c r="AJ155" s="13">
        <f>AI155*VLOOKUP('Données projet'!$B$10,Paramètres!$A$1:$I$89,3,0)*VLOOKUP('Données projet'!$B$10,Paramètres!$A$1:$I$89,5,0)</f>
        <v>355.50627839999981</v>
      </c>
      <c r="AK155" s="13">
        <f t="shared" si="164"/>
        <v>82.695279049034994</v>
      </c>
      <c r="AL155" s="20">
        <f t="shared" si="165"/>
        <v>763.20104589040227</v>
      </c>
      <c r="AM155" s="59">
        <f t="shared" si="113"/>
        <v>1056.5343792237356</v>
      </c>
      <c r="AN155" s="59">
        <f ca="1">AVERAGE(OFFSET($AM$3,0,0,'Données projet'!$E$10+1,1))-AVERAGE(OFFSET($H$3,0,0,'Données projet'!$E$10+1,1))</f>
        <v>245.5026179711341</v>
      </c>
      <c r="AO155" s="59">
        <f t="shared" si="144"/>
        <v>204.32077840562567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0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2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1">
        <f t="shared" si="140"/>
        <v>24.925195840896507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66">
        <f t="shared" si="110"/>
        <v>496.09676608956119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148.39628895278571</v>
      </c>
      <c r="T156" s="59">
        <f t="shared" si="142"/>
        <v>361.07991692964788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10.809266532294595</v>
      </c>
      <c r="AA156" s="21">
        <f>EXP(-LN(2)/25)*AA155+(1-EXP(-LN(2)/25))/(LN(2)/25)*Calculateur!V156*Calculateur!X156*VLOOKUP('Données projet'!$B$9,Paramètres!$A$1:$I$89,3,0)*0.475*44/12</f>
        <v>0.47490861311909971</v>
      </c>
      <c r="AB156" s="21">
        <f>EXP(-LN(2)/2)*AB155+(1-EXP(-LN(2)/2))/(LN(2)/2)*V156*Y156*VLOOKUP('Données projet'!$B$9,Paramètres!$A$1:$I$89,3,0)*0.475*44/12</f>
        <v>1.3787989560919153E-20</v>
      </c>
      <c r="AC156" s="22">
        <f t="shared" si="163"/>
        <v>11.284175145413695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325.55519999999984</v>
      </c>
      <c r="AJ156" s="13">
        <f>AI156*VLOOKUP('Données projet'!$B$10,Paramètres!$A$1:$I$89,3,0)*VLOOKUP('Données projet'!$B$10,Paramètres!$A$1:$I$89,5,0)</f>
        <v>355.50627839999981</v>
      </c>
      <c r="AK156" s="13">
        <f t="shared" si="164"/>
        <v>82.695279049034994</v>
      </c>
      <c r="AL156" s="20">
        <f t="shared" si="165"/>
        <v>763.20104589040227</v>
      </c>
      <c r="AM156" s="59">
        <f t="shared" si="113"/>
        <v>1056.5343792237356</v>
      </c>
      <c r="AN156" s="59">
        <f ca="1">AVERAGE(OFFSET($AM$3,0,0,'Données projet'!$E$10+1,1))-AVERAGE(OFFSET($H$3,0,0,'Données projet'!$E$10+1,1))</f>
        <v>245.5026179711341</v>
      </c>
      <c r="AO156" s="59">
        <f t="shared" si="144"/>
        <v>204.32077840562567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0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2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1">
        <f t="shared" si="140"/>
        <v>25.069088296004431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66">
        <f t="shared" si="110"/>
        <v>497.38889544887417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148.39628895278571</v>
      </c>
      <c r="T157" s="59">
        <f t="shared" si="142"/>
        <v>361.07991692964788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10.597303408597877</v>
      </c>
      <c r="AA157" s="21">
        <f>EXP(-LN(2)/25)*AA156+(1-EXP(-LN(2)/25))/(LN(2)/25)*Calculateur!V157*Calculateur!X157*VLOOKUP('Données projet'!$B$9,Paramètres!$A$1:$I$89,3,0)*0.475*44/12</f>
        <v>0.46192221211899936</v>
      </c>
      <c r="AB157" s="21">
        <f>EXP(-LN(2)/2)*AB156+(1-EXP(-LN(2)/2))/(LN(2)/2)*V157*Y157*VLOOKUP('Données projet'!$B$9,Paramètres!$A$1:$I$89,3,0)*0.475*44/12</f>
        <v>9.7495809174552611E-21</v>
      </c>
      <c r="AC157" s="22">
        <f t="shared" si="163"/>
        <v>11.059225620716877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325.55519999999984</v>
      </c>
      <c r="AJ157" s="13">
        <f>AI157*VLOOKUP('Données projet'!$B$10,Paramètres!$A$1:$I$89,3,0)*VLOOKUP('Données projet'!$B$10,Paramètres!$A$1:$I$89,5,0)</f>
        <v>355.50627839999981</v>
      </c>
      <c r="AK157" s="13">
        <f t="shared" si="164"/>
        <v>82.695279049034994</v>
      </c>
      <c r="AL157" s="20">
        <f t="shared" si="165"/>
        <v>763.20104589040227</v>
      </c>
      <c r="AM157" s="59">
        <f t="shared" si="113"/>
        <v>1056.5343792237356</v>
      </c>
      <c r="AN157" s="59">
        <f ca="1">AVERAGE(OFFSET($AM$3,0,0,'Données projet'!$E$10+1,1))-AVERAGE(OFFSET($H$3,0,0,'Données projet'!$E$10+1,1))</f>
        <v>245.5026179711341</v>
      </c>
      <c r="AO157" s="59">
        <f t="shared" si="144"/>
        <v>204.32077840562567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0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2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1">
        <f t="shared" si="140"/>
        <v>25.212872031125453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66">
        <f t="shared" si="110"/>
        <v>498.68083545420996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148.39628895278571</v>
      </c>
      <c r="T158" s="59">
        <f t="shared" si="142"/>
        <v>361.07991692964788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10.389496752472112</v>
      </c>
      <c r="AA158" s="21">
        <f>EXP(-LN(2)/25)*AA157+(1-EXP(-LN(2)/25))/(LN(2)/25)*Calculateur!V158*Calculateur!X158*VLOOKUP('Données projet'!$B$9,Paramètres!$A$1:$I$89,3,0)*0.475*44/12</f>
        <v>0.44929092493717193</v>
      </c>
      <c r="AB158" s="21">
        <f>EXP(-LN(2)/2)*AB157+(1-EXP(-LN(2)/2))/(LN(2)/2)*V158*Y158*VLOOKUP('Données projet'!$B$9,Paramètres!$A$1:$I$89,3,0)*0.475*44/12</f>
        <v>6.8939947804595765E-21</v>
      </c>
      <c r="AC158" s="22">
        <f t="shared" si="163"/>
        <v>10.838787677409284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325.55519999999984</v>
      </c>
      <c r="AJ158" s="13">
        <f>AI158*VLOOKUP('Données projet'!$B$10,Paramètres!$A$1:$I$89,3,0)*VLOOKUP('Données projet'!$B$10,Paramètres!$A$1:$I$89,5,0)</f>
        <v>355.50627839999981</v>
      </c>
      <c r="AK158" s="13">
        <f t="shared" si="164"/>
        <v>82.695279049034994</v>
      </c>
      <c r="AL158" s="20">
        <f t="shared" si="165"/>
        <v>763.20104589040227</v>
      </c>
      <c r="AM158" s="59">
        <f t="shared" si="113"/>
        <v>1056.5343792237356</v>
      </c>
      <c r="AN158" s="59">
        <f ca="1">AVERAGE(OFFSET($AM$3,0,0,'Données projet'!$E$10+1,1))-AVERAGE(OFFSET($H$3,0,0,'Données projet'!$E$10+1,1))</f>
        <v>245.5026179711341</v>
      </c>
      <c r="AO158" s="59">
        <f t="shared" si="144"/>
        <v>204.32077840562567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0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2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1">
        <f t="shared" si="140"/>
        <v>25.356547829040952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66">
        <f t="shared" si="110"/>
        <v>499.97258746891276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148.39628895278571</v>
      </c>
      <c r="T159" s="59">
        <f t="shared" si="142"/>
        <v>361.07991692964788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10.18576505812343</v>
      </c>
      <c r="AA159" s="21">
        <f>EXP(-LN(2)/25)*AA158+(1-EXP(-LN(2)/25))/(LN(2)/25)*Calculateur!V159*Calculateur!X159*VLOOKUP('Données projet'!$B$9,Paramètres!$A$1:$I$89,3,0)*0.475*44/12</f>
        <v>0.43700504096758208</v>
      </c>
      <c r="AB159" s="21">
        <f>EXP(-LN(2)/2)*AB158+(1-EXP(-LN(2)/2))/(LN(2)/2)*V159*Y159*VLOOKUP('Données projet'!$B$9,Paramètres!$A$1:$I$89,3,0)*0.475*44/12</f>
        <v>4.8747904587276305E-21</v>
      </c>
      <c r="AC159" s="22">
        <f t="shared" si="163"/>
        <v>10.622770099091012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325.55519999999984</v>
      </c>
      <c r="AJ159" s="13">
        <f>AI159*VLOOKUP('Données projet'!$B$10,Paramètres!$A$1:$I$89,3,0)*VLOOKUP('Données projet'!$B$10,Paramètres!$A$1:$I$89,5,0)</f>
        <v>355.50627839999981</v>
      </c>
      <c r="AK159" s="13">
        <f t="shared" si="164"/>
        <v>82.695279049034994</v>
      </c>
      <c r="AL159" s="20">
        <f t="shared" si="165"/>
        <v>763.20104589040227</v>
      </c>
      <c r="AM159" s="59">
        <f t="shared" si="113"/>
        <v>1056.5343792237356</v>
      </c>
      <c r="AN159" s="59">
        <f ca="1">AVERAGE(OFFSET($AM$3,0,0,'Données projet'!$E$10+1,1))-AVERAGE(OFFSET($H$3,0,0,'Données projet'!$E$10+1,1))</f>
        <v>245.5026179711341</v>
      </c>
      <c r="AO159" s="59">
        <f t="shared" si="144"/>
        <v>204.32077840562567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0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2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1">
        <f t="shared" si="140"/>
        <v>25.500116461916356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66">
        <f t="shared" si="110"/>
        <v>501.2641528378374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148.39628895278571</v>
      </c>
      <c r="T160" s="59">
        <f t="shared" si="142"/>
        <v>361.07991692964788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9.9860284180368613</v>
      </c>
      <c r="AA160" s="21">
        <f>EXP(-LN(2)/25)*AA159+(1-EXP(-LN(2)/25))/(LN(2)/25)*Calculateur!V160*Calculateur!X160*VLOOKUP('Données projet'!$B$9,Paramètres!$A$1:$I$89,3,0)*0.475*44/12</f>
        <v>0.42505511514122724</v>
      </c>
      <c r="AB160" s="21">
        <f>EXP(-LN(2)/2)*AB159+(1-EXP(-LN(2)/2))/(LN(2)/2)*V160*Y160*VLOOKUP('Données projet'!$B$9,Paramètres!$A$1:$I$89,3,0)*0.475*44/12</f>
        <v>3.4469973902297883E-21</v>
      </c>
      <c r="AC160" s="22">
        <f t="shared" si="163"/>
        <v>10.411083533178088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325.55519999999984</v>
      </c>
      <c r="AJ160" s="13">
        <f>AI160*VLOOKUP('Données projet'!$B$10,Paramètres!$A$1:$I$89,3,0)*VLOOKUP('Données projet'!$B$10,Paramètres!$A$1:$I$89,5,0)</f>
        <v>355.50627839999981</v>
      </c>
      <c r="AK160" s="13">
        <f t="shared" si="164"/>
        <v>82.695279049034994</v>
      </c>
      <c r="AL160" s="20">
        <f t="shared" si="165"/>
        <v>763.20104589040227</v>
      </c>
      <c r="AM160" s="59">
        <f t="shared" si="113"/>
        <v>1056.5343792237356</v>
      </c>
      <c r="AN160" s="59">
        <f ca="1">AVERAGE(OFFSET($AM$3,0,0,'Données projet'!$E$10+1,1))-AVERAGE(OFFSET($H$3,0,0,'Données projet'!$E$10+1,1))</f>
        <v>245.5026179711341</v>
      </c>
      <c r="AO160" s="59">
        <f t="shared" si="144"/>
        <v>204.32077840562567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0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2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1">
        <f t="shared" si="140"/>
        <v>25.643578691511777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66">
        <f t="shared" si="110"/>
        <v>502.55553288771608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148.39628895278571</v>
      </c>
      <c r="T161" s="59">
        <f t="shared" si="142"/>
        <v>361.07991692964788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9.7902084916350702</v>
      </c>
      <c r="AA161" s="21">
        <f>EXP(-LN(2)/25)*AA160+(1-EXP(-LN(2)/25))/(LN(2)/25)*Calculateur!V161*Calculateur!X161*VLOOKUP('Données projet'!$B$9,Paramètres!$A$1:$I$89,3,0)*0.475*44/12</f>
        <v>0.41343196066501336</v>
      </c>
      <c r="AB161" s="21">
        <f>EXP(-LN(2)/2)*AB160+(1-EXP(-LN(2)/2))/(LN(2)/2)*V161*Y161*VLOOKUP('Données projet'!$B$9,Paramètres!$A$1:$I$89,3,0)*0.475*44/12</f>
        <v>2.4373952293638153E-21</v>
      </c>
      <c r="AC161" s="22">
        <f t="shared" si="163"/>
        <v>10.203640452300084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325.55519999999984</v>
      </c>
      <c r="AJ161" s="13">
        <f>AI161*VLOOKUP('Données projet'!$B$10,Paramètres!$A$1:$I$89,3,0)*VLOOKUP('Données projet'!$B$10,Paramètres!$A$1:$I$89,5,0)</f>
        <v>355.50627839999981</v>
      </c>
      <c r="AK161" s="13">
        <f t="shared" si="164"/>
        <v>82.695279049034994</v>
      </c>
      <c r="AL161" s="20">
        <f t="shared" si="165"/>
        <v>763.20104589040227</v>
      </c>
      <c r="AM161" s="59">
        <f t="shared" si="113"/>
        <v>1056.5343792237356</v>
      </c>
      <c r="AN161" s="59">
        <f ca="1">AVERAGE(OFFSET($AM$3,0,0,'Données projet'!$E$10+1,1))-AVERAGE(OFFSET($H$3,0,0,'Données projet'!$E$10+1,1))</f>
        <v>245.5026179711341</v>
      </c>
      <c r="AO161" s="59">
        <f t="shared" si="144"/>
        <v>204.32077840562567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0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2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1">
        <f t="shared" si="140"/>
        <v>25.786935269387101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66">
        <f t="shared" si="110"/>
        <v>503.84672892751564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148.39628895278571</v>
      </c>
      <c r="T162" s="59">
        <f t="shared" si="142"/>
        <v>361.07991692964788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9.5982284745516555</v>
      </c>
      <c r="AA162" s="21">
        <f>EXP(-LN(2)/25)*AA161+(1-EXP(-LN(2)/25))/(LN(2)/25)*Calculateur!V162*Calculateur!X162*VLOOKUP('Données projet'!$B$9,Paramètres!$A$1:$I$89,3,0)*0.475*44/12</f>
        <v>0.40212664195918668</v>
      </c>
      <c r="AB162" s="21">
        <f>EXP(-LN(2)/2)*AB161+(1-EXP(-LN(2)/2))/(LN(2)/2)*V162*Y162*VLOOKUP('Données projet'!$B$9,Paramètres!$A$1:$I$89,3,0)*0.475*44/12</f>
        <v>1.7234986951148941E-21</v>
      </c>
      <c r="AC162" s="22">
        <f t="shared" si="163"/>
        <v>10.000355116510843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325.55519999999984</v>
      </c>
      <c r="AJ162" s="13">
        <f>AI162*VLOOKUP('Données projet'!$B$10,Paramètres!$A$1:$I$89,3,0)*VLOOKUP('Données projet'!$B$10,Paramètres!$A$1:$I$89,5,0)</f>
        <v>355.50627839999981</v>
      </c>
      <c r="AK162" s="13">
        <f t="shared" si="164"/>
        <v>82.695279049034994</v>
      </c>
      <c r="AL162" s="20">
        <f t="shared" si="165"/>
        <v>763.20104589040227</v>
      </c>
      <c r="AM162" s="59">
        <f t="shared" si="113"/>
        <v>1056.5343792237356</v>
      </c>
      <c r="AN162" s="59">
        <f ca="1">AVERAGE(OFFSET($AM$3,0,0,'Données projet'!$E$10+1,1))-AVERAGE(OFFSET($H$3,0,0,'Données projet'!$E$10+1,1))</f>
        <v>245.5026179711341</v>
      </c>
      <c r="AO162" s="59">
        <f t="shared" si="144"/>
        <v>204.32077840562567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0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2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1">
        <f t="shared" si="140"/>
        <v>25.930186937101919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66">
        <f t="shared" si="110"/>
        <v>505.13774224878563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148.39628895278571</v>
      </c>
      <c r="T163" s="59">
        <f t="shared" si="142"/>
        <v>361.07991692964788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9.4100130685069985</v>
      </c>
      <c r="AA163" s="21">
        <f>EXP(-LN(2)/25)*AA162+(1-EXP(-LN(2)/25))/(LN(2)/25)*Calculateur!V163*Calculateur!X163*VLOOKUP('Données projet'!$B$9,Paramètres!$A$1:$I$89,3,0)*0.475*44/12</f>
        <v>0.39113046778789168</v>
      </c>
      <c r="AB163" s="21">
        <f>EXP(-LN(2)/2)*AB162+(1-EXP(-LN(2)/2))/(LN(2)/2)*V163*Y163*VLOOKUP('Données projet'!$B$9,Paramètres!$A$1:$I$89,3,0)*0.475*44/12</f>
        <v>1.2186976146819076E-21</v>
      </c>
      <c r="AC163" s="22">
        <f t="shared" si="163"/>
        <v>9.8011435362948909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325.55519999999984</v>
      </c>
      <c r="AJ163" s="13">
        <f>AI163*VLOOKUP('Données projet'!$B$10,Paramètres!$A$1:$I$89,3,0)*VLOOKUP('Données projet'!$B$10,Paramètres!$A$1:$I$89,5,0)</f>
        <v>355.50627839999981</v>
      </c>
      <c r="AK163" s="13">
        <f t="shared" si="164"/>
        <v>82.695279049034994</v>
      </c>
      <c r="AL163" s="20">
        <f t="shared" si="165"/>
        <v>763.20104589040227</v>
      </c>
      <c r="AM163" s="59">
        <f t="shared" si="113"/>
        <v>1056.5343792237356</v>
      </c>
      <c r="AN163" s="59">
        <f ca="1">AVERAGE(OFFSET($AM$3,0,0,'Données projet'!$E$10+1,1))-AVERAGE(OFFSET($H$3,0,0,'Données projet'!$E$10+1,1))</f>
        <v>245.5026179711341</v>
      </c>
      <c r="AO163" s="59">
        <f t="shared" si="144"/>
        <v>204.32077840562567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0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2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1">
        <f t="shared" si="140"/>
        <v>26.073334426410252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66">
        <f t="shared" si="110"/>
        <v>506.42857412599761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148.39628895278571</v>
      </c>
      <c r="T164" s="59">
        <f t="shared" si="142"/>
        <v>361.07991692964788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9.2254884517748152</v>
      </c>
      <c r="AA164" s="21">
        <f>EXP(-LN(2)/25)*AA163+(1-EXP(-LN(2)/25))/(LN(2)/25)*Calculateur!V164*Calculateur!X164*VLOOKUP('Données projet'!$B$9,Paramètres!$A$1:$I$89,3,0)*0.475*44/12</f>
        <v>0.38043498457757441</v>
      </c>
      <c r="AB164" s="21">
        <f>EXP(-LN(2)/2)*AB163+(1-EXP(-LN(2)/2))/(LN(2)/2)*V164*Y164*VLOOKUP('Données projet'!$B$9,Paramètres!$A$1:$I$89,3,0)*0.475*44/12</f>
        <v>8.6174934755744706E-22</v>
      </c>
      <c r="AC164" s="22">
        <f t="shared" si="163"/>
        <v>9.6059234363523895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325.55519999999984</v>
      </c>
      <c r="AJ164" s="13">
        <f>AI164*VLOOKUP('Données projet'!$B$10,Paramètres!$A$1:$I$89,3,0)*VLOOKUP('Données projet'!$B$10,Paramètres!$A$1:$I$89,5,0)</f>
        <v>355.50627839999981</v>
      </c>
      <c r="AK164" s="13">
        <f t="shared" si="164"/>
        <v>82.695279049034994</v>
      </c>
      <c r="AL164" s="20">
        <f t="shared" si="165"/>
        <v>763.20104589040227</v>
      </c>
      <c r="AM164" s="59">
        <f t="shared" si="113"/>
        <v>1056.5343792237356</v>
      </c>
      <c r="AN164" s="59">
        <f ca="1">AVERAGE(OFFSET($AM$3,0,0,'Données projet'!$E$10+1,1))-AVERAGE(OFFSET($H$3,0,0,'Données projet'!$E$10+1,1))</f>
        <v>245.5026179711341</v>
      </c>
      <c r="AO164" s="59">
        <f t="shared" si="144"/>
        <v>204.32077840562567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0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2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1">
        <f t="shared" si="140"/>
        <v>26.216378459450194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66">
        <f t="shared" si="110"/>
        <v>507.71922581687556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148.39628895278571</v>
      </c>
      <c r="T165" s="59">
        <f t="shared" si="142"/>
        <v>361.07991692964788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9.0445822502278475</v>
      </c>
      <c r="AA165" s="21">
        <f>EXP(-LN(2)/25)*AA164+(1-EXP(-LN(2)/25))/(LN(2)/25)*Calculateur!V165*Calculateur!X165*VLOOKUP('Données projet'!$B$9,Paramètres!$A$1:$I$89,3,0)*0.475*44/12</f>
        <v>0.37003196991809428</v>
      </c>
      <c r="AB165" s="21">
        <f>EXP(-LN(2)/2)*AB164+(1-EXP(-LN(2)/2))/(LN(2)/2)*V165*Y165*VLOOKUP('Données projet'!$B$9,Paramètres!$A$1:$I$89,3,0)*0.475*44/12</f>
        <v>6.0934880734095382E-22</v>
      </c>
      <c r="AC165" s="22">
        <f t="shared" si="163"/>
        <v>9.4146142201459426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325.55519999999984</v>
      </c>
      <c r="AJ165" s="13">
        <f>AI165*VLOOKUP('Données projet'!$B$10,Paramètres!$A$1:$I$89,3,0)*VLOOKUP('Données projet'!$B$10,Paramètres!$A$1:$I$89,5,0)</f>
        <v>355.50627839999981</v>
      </c>
      <c r="AK165" s="13">
        <f t="shared" si="164"/>
        <v>82.695279049034994</v>
      </c>
      <c r="AL165" s="20">
        <f t="shared" si="165"/>
        <v>763.20104589040227</v>
      </c>
      <c r="AM165" s="59">
        <f t="shared" si="113"/>
        <v>1056.5343792237356</v>
      </c>
      <c r="AN165" s="59">
        <f ca="1">AVERAGE(OFFSET($AM$3,0,0,'Données projet'!$E$10+1,1))-AVERAGE(OFFSET($H$3,0,0,'Données projet'!$E$10+1,1))</f>
        <v>245.5026179711341</v>
      </c>
      <c r="AO165" s="59">
        <f t="shared" si="144"/>
        <v>204.32077840562567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0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2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1">
        <f t="shared" si="140"/>
        <v>26.359319748929014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66">
        <f t="shared" si="110"/>
        <v>509.00969856271774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148.39628895278571</v>
      </c>
      <c r="T166" s="59">
        <f t="shared" si="142"/>
        <v>361.07991692964788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8.8672235089513283</v>
      </c>
      <c r="AA166" s="21">
        <f>EXP(-LN(2)/25)*AA165+(1-EXP(-LN(2)/25))/(LN(2)/25)*Calculateur!V166*Calculateur!X166*VLOOKUP('Données projet'!$B$9,Paramètres!$A$1:$I$89,3,0)*0.475*44/12</f>
        <v>0.35991342624154843</v>
      </c>
      <c r="AB166" s="21">
        <f>EXP(-LN(2)/2)*AB165+(1-EXP(-LN(2)/2))/(LN(2)/2)*V166*Y166*VLOOKUP('Données projet'!$B$9,Paramètres!$A$1:$I$89,3,0)*0.475*44/12</f>
        <v>4.3087467377872353E-22</v>
      </c>
      <c r="AC166" s="22">
        <f t="shared" si="163"/>
        <v>9.2271369351928776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325.55519999999984</v>
      </c>
      <c r="AJ166" s="13">
        <f>AI166*VLOOKUP('Données projet'!$B$10,Paramètres!$A$1:$I$89,3,0)*VLOOKUP('Données projet'!$B$10,Paramètres!$A$1:$I$89,5,0)</f>
        <v>355.50627839999981</v>
      </c>
      <c r="AK166" s="13">
        <f t="shared" si="164"/>
        <v>82.695279049034994</v>
      </c>
      <c r="AL166" s="20">
        <f t="shared" si="165"/>
        <v>763.20104589040227</v>
      </c>
      <c r="AM166" s="59">
        <f t="shared" si="113"/>
        <v>1056.5343792237356</v>
      </c>
      <c r="AN166" s="59">
        <f ca="1">AVERAGE(OFFSET($AM$3,0,0,'Données projet'!$E$10+1,1))-AVERAGE(OFFSET($H$3,0,0,'Données projet'!$E$10+1,1))</f>
        <v>245.5026179711341</v>
      </c>
      <c r="AO166" s="59">
        <f t="shared" si="144"/>
        <v>204.32077840562567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0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2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1">
        <f t="shared" si="140"/>
        <v>26.502158998303084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66">
        <f t="shared" si="110"/>
        <v>510.299993588711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148.39628895278571</v>
      </c>
      <c r="T167" s="59">
        <f t="shared" si="142"/>
        <v>361.07991692964788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8.6933426644130911</v>
      </c>
      <c r="AA167" s="21">
        <f>EXP(-LN(2)/25)*AA166+(1-EXP(-LN(2)/25))/(LN(2)/25)*Calculateur!V167*Calculateur!X167*VLOOKUP('Données projet'!$B$9,Paramètres!$A$1:$I$89,3,0)*0.475*44/12</f>
        <v>0.35007157467394878</v>
      </c>
      <c r="AB167" s="21">
        <f>EXP(-LN(2)/2)*AB166+(1-EXP(-LN(2)/2))/(LN(2)/2)*V167*Y167*VLOOKUP('Données projet'!$B$9,Paramètres!$A$1:$I$89,3,0)*0.475*44/12</f>
        <v>3.0467440367047691E-22</v>
      </c>
      <c r="AC167" s="22">
        <f t="shared" si="163"/>
        <v>9.0434142390870402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325.55519999999984</v>
      </c>
      <c r="AJ167" s="13">
        <f>AI167*VLOOKUP('Données projet'!$B$10,Paramètres!$A$1:$I$89,3,0)*VLOOKUP('Données projet'!$B$10,Paramètres!$A$1:$I$89,5,0)</f>
        <v>355.50627839999981</v>
      </c>
      <c r="AK167" s="13">
        <f t="shared" si="164"/>
        <v>82.695279049034994</v>
      </c>
      <c r="AL167" s="20">
        <f t="shared" si="165"/>
        <v>763.20104589040227</v>
      </c>
      <c r="AM167" s="59">
        <f t="shared" si="113"/>
        <v>1056.5343792237356</v>
      </c>
      <c r="AN167" s="59">
        <f ca="1">AVERAGE(OFFSET($AM$3,0,0,'Données projet'!$E$10+1,1))-AVERAGE(OFFSET($H$3,0,0,'Données projet'!$E$10+1,1))</f>
        <v>245.5026179711341</v>
      </c>
      <c r="AO167" s="59">
        <f t="shared" si="144"/>
        <v>204.32077840562567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0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2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1">
        <f t="shared" si="140"/>
        <v>26.644896901954041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66">
        <f t="shared" si="110"/>
        <v>511.59011210423637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148.39628895278571</v>
      </c>
      <c r="T168" s="59">
        <f t="shared" si="142"/>
        <v>361.07991692964788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8.5228715171794054</v>
      </c>
      <c r="AA168" s="21">
        <f>EXP(-LN(2)/25)*AA167+(1-EXP(-LN(2)/25))/(LN(2)/25)*Calculateur!V168*Calculateur!X168*VLOOKUP('Données projet'!$B$9,Paramètres!$A$1:$I$89,3,0)*0.475*44/12</f>
        <v>0.34049884905502564</v>
      </c>
      <c r="AB168" s="21">
        <f>EXP(-LN(2)/2)*AB167+(1-EXP(-LN(2)/2))/(LN(2)/2)*V168*Y168*VLOOKUP('Données projet'!$B$9,Paramètres!$A$1:$I$89,3,0)*0.475*44/12</f>
        <v>2.1543733688936177E-22</v>
      </c>
      <c r="AC168" s="22">
        <f t="shared" si="163"/>
        <v>8.863370366234431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325.55519999999984</v>
      </c>
      <c r="AJ168" s="13">
        <f>AI168*VLOOKUP('Données projet'!$B$10,Paramètres!$A$1:$I$89,3,0)*VLOOKUP('Données projet'!$B$10,Paramètres!$A$1:$I$89,5,0)</f>
        <v>355.50627839999981</v>
      </c>
      <c r="AK168" s="13">
        <f t="shared" si="164"/>
        <v>82.695279049034994</v>
      </c>
      <c r="AL168" s="20">
        <f t="shared" si="165"/>
        <v>763.20104589040227</v>
      </c>
      <c r="AM168" s="59">
        <f t="shared" si="113"/>
        <v>1056.5343792237356</v>
      </c>
      <c r="AN168" s="59">
        <f ca="1">AVERAGE(OFFSET($AM$3,0,0,'Données projet'!$E$10+1,1))-AVERAGE(OFFSET($H$3,0,0,'Données projet'!$E$10+1,1))</f>
        <v>245.5026179711341</v>
      </c>
      <c r="AO168" s="59">
        <f t="shared" si="144"/>
        <v>204.32077840562567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0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2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1">
        <f t="shared" si="140"/>
        <v>26.787534145359764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66">
        <f t="shared" si="110"/>
        <v>512.88005530316809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148.39628895278571</v>
      </c>
      <c r="T169" s="59">
        <f t="shared" si="142"/>
        <v>361.07991692964788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8.3557432051658402</v>
      </c>
      <c r="AA169" s="21">
        <f>EXP(-LN(2)/25)*AA168+(1-EXP(-LN(2)/25))/(LN(2)/25)*Calculateur!V169*Calculateur!X169*VLOOKUP('Données projet'!$B$9,Paramètres!$A$1:$I$89,3,0)*0.475*44/12</f>
        <v>0.33118789012155969</v>
      </c>
      <c r="AB169" s="21">
        <f>EXP(-LN(2)/2)*AB168+(1-EXP(-LN(2)/2))/(LN(2)/2)*V169*Y169*VLOOKUP('Données projet'!$B$9,Paramètres!$A$1:$I$89,3,0)*0.475*44/12</f>
        <v>1.5233720183523845E-22</v>
      </c>
      <c r="AC169" s="22">
        <f t="shared" si="163"/>
        <v>8.6869310952874006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325.55519999999984</v>
      </c>
      <c r="AJ169" s="13">
        <f>AI169*VLOOKUP('Données projet'!$B$10,Paramètres!$A$1:$I$89,3,0)*VLOOKUP('Données projet'!$B$10,Paramètres!$A$1:$I$89,5,0)</f>
        <v>355.50627839999981</v>
      </c>
      <c r="AK169" s="13">
        <f t="shared" si="164"/>
        <v>82.695279049034994</v>
      </c>
      <c r="AL169" s="20">
        <f t="shared" si="165"/>
        <v>763.20104589040227</v>
      </c>
      <c r="AM169" s="59">
        <f t="shared" si="113"/>
        <v>1056.5343792237356</v>
      </c>
      <c r="AN169" s="59">
        <f ca="1">AVERAGE(OFFSET($AM$3,0,0,'Données projet'!$E$10+1,1))-AVERAGE(OFFSET($H$3,0,0,'Données projet'!$E$10+1,1))</f>
        <v>245.5026179711341</v>
      </c>
      <c r="AO169" s="59">
        <f t="shared" si="144"/>
        <v>204.32077840562567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0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2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1">
        <f t="shared" si="140"/>
        <v>26.930071405261604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66">
        <f t="shared" si="110"/>
        <v>514.16982436416379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148.39628895278571</v>
      </c>
      <c r="T170" s="59">
        <f t="shared" si="142"/>
        <v>361.07991692964788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8.1918921774126563</v>
      </c>
      <c r="AA170" s="21">
        <f>EXP(-LN(2)/25)*AA169+(1-EXP(-LN(2)/25))/(LN(2)/25)*Calculateur!V170*Calculateur!X170*VLOOKUP('Données projet'!$B$9,Paramètres!$A$1:$I$89,3,0)*0.475*44/12</f>
        <v>0.32213153984977144</v>
      </c>
      <c r="AB170" s="21">
        <f>EXP(-LN(2)/2)*AB169+(1-EXP(-LN(2)/2))/(LN(2)/2)*V170*Y170*VLOOKUP('Données projet'!$B$9,Paramètres!$A$1:$I$89,3,0)*0.475*44/12</f>
        <v>1.0771866844468088E-22</v>
      </c>
      <c r="AC170" s="22">
        <f t="shared" si="163"/>
        <v>8.5140237172624271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325.55519999999984</v>
      </c>
      <c r="AJ170" s="13">
        <f>AI170*VLOOKUP('Données projet'!$B$10,Paramètres!$A$1:$I$89,3,0)*VLOOKUP('Données projet'!$B$10,Paramètres!$A$1:$I$89,5,0)</f>
        <v>355.50627839999981</v>
      </c>
      <c r="AK170" s="13">
        <f t="shared" si="164"/>
        <v>82.695279049034994</v>
      </c>
      <c r="AL170" s="20">
        <f t="shared" si="165"/>
        <v>763.20104589040227</v>
      </c>
      <c r="AM170" s="59">
        <f t="shared" si="113"/>
        <v>1056.5343792237356</v>
      </c>
      <c r="AN170" s="59">
        <f ca="1">AVERAGE(OFFSET($AM$3,0,0,'Données projet'!$E$10+1,1))-AVERAGE(OFFSET($H$3,0,0,'Données projet'!$E$10+1,1))</f>
        <v>245.5026179711341</v>
      </c>
      <c r="AO170" s="59">
        <f t="shared" si="144"/>
        <v>204.32077840562567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0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2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1">
        <f t="shared" si="140"/>
        <v>27.072509349827431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66">
        <f t="shared" si="110"/>
        <v>515.45942045094921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148.39628895278571</v>
      </c>
      <c r="T171" s="59">
        <f t="shared" si="142"/>
        <v>361.07991692964788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8.0312541683744527</v>
      </c>
      <c r="AA171" s="21">
        <f>EXP(-LN(2)/25)*AA170+(1-EXP(-LN(2)/25))/(LN(2)/25)*Calculateur!V171*Calculateur!X171*VLOOKUP('Données projet'!$B$9,Paramètres!$A$1:$I$89,3,0)*0.475*44/12</f>
        <v>0.313322835952418</v>
      </c>
      <c r="AB171" s="21">
        <f>EXP(-LN(2)/2)*AB170+(1-EXP(-LN(2)/2))/(LN(2)/2)*V171*Y171*VLOOKUP('Données projet'!$B$9,Paramètres!$A$1:$I$89,3,0)*0.475*44/12</f>
        <v>7.6168600917619227E-23</v>
      </c>
      <c r="AC171" s="22">
        <f t="shared" si="163"/>
        <v>8.3445770043268706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325.55519999999984</v>
      </c>
      <c r="AJ171" s="13">
        <f>AI171*VLOOKUP('Données projet'!$B$10,Paramètres!$A$1:$I$89,3,0)*VLOOKUP('Données projet'!$B$10,Paramètres!$A$1:$I$89,5,0)</f>
        <v>355.50627839999981</v>
      </c>
      <c r="AK171" s="13">
        <f t="shared" si="164"/>
        <v>82.695279049034994</v>
      </c>
      <c r="AL171" s="20">
        <f t="shared" si="165"/>
        <v>763.20104589040227</v>
      </c>
      <c r="AM171" s="59">
        <f t="shared" si="113"/>
        <v>1056.5343792237356</v>
      </c>
      <c r="AN171" s="59">
        <f ca="1">AVERAGE(OFFSET($AM$3,0,0,'Données projet'!$E$10+1,1))-AVERAGE(OFFSET($H$3,0,0,'Données projet'!$E$10+1,1))</f>
        <v>245.5026179711341</v>
      </c>
      <c r="AO171" s="59">
        <f t="shared" si="144"/>
        <v>204.32077840562567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0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2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1">
        <f t="shared" si="140"/>
        <v>27.214848638810537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66">
        <f t="shared" si="110"/>
        <v>516.74884471259475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148.39628895278571</v>
      </c>
      <c r="T172" s="59">
        <f t="shared" si="142"/>
        <v>361.07991692964788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7.8737661727139781</v>
      </c>
      <c r="AA172" s="21">
        <f>EXP(-LN(2)/25)*AA171+(1-EXP(-LN(2)/25))/(LN(2)/25)*Calculateur!V172*Calculateur!X172*VLOOKUP('Données projet'!$B$9,Paramètres!$A$1:$I$89,3,0)*0.475*44/12</f>
        <v>0.30475500652636728</v>
      </c>
      <c r="AB172" s="21">
        <f>EXP(-LN(2)/2)*AB171+(1-EXP(-LN(2)/2))/(LN(2)/2)*V172*Y172*VLOOKUP('Données projet'!$B$9,Paramètres!$A$1:$I$89,3,0)*0.475*44/12</f>
        <v>5.3859334222340442E-23</v>
      </c>
      <c r="AC172" s="22">
        <f t="shared" si="163"/>
        <v>8.1785211792403452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325.55519999999984</v>
      </c>
      <c r="AJ172" s="13">
        <f>AI172*VLOOKUP('Données projet'!$B$10,Paramètres!$A$1:$I$89,3,0)*VLOOKUP('Données projet'!$B$10,Paramètres!$A$1:$I$89,5,0)</f>
        <v>355.50627839999981</v>
      </c>
      <c r="AK172" s="13">
        <f t="shared" si="164"/>
        <v>82.695279049034994</v>
      </c>
      <c r="AL172" s="20">
        <f t="shared" si="165"/>
        <v>763.20104589040227</v>
      </c>
      <c r="AM172" s="59">
        <f t="shared" si="113"/>
        <v>1056.5343792237356</v>
      </c>
      <c r="AN172" s="59">
        <f ca="1">AVERAGE(OFFSET($AM$3,0,0,'Données projet'!$E$10+1,1))-AVERAGE(OFFSET($H$3,0,0,'Données projet'!$E$10+1,1))</f>
        <v>245.5026179711341</v>
      </c>
      <c r="AO172" s="59">
        <f t="shared" si="144"/>
        <v>204.32077840562567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0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2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1">
        <f t="shared" si="140"/>
        <v>27.35708992370472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66">
        <f t="shared" si="110"/>
        <v>518.03809828378553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148.39628895278571</v>
      </c>
      <c r="T173" s="59">
        <f t="shared" si="142"/>
        <v>361.07991692964788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7.7193664205902124</v>
      </c>
      <c r="AA173" s="21">
        <f>EXP(-LN(2)/25)*AA172+(1-EXP(-LN(2)/25))/(LN(2)/25)*Calculateur!V173*Calculateur!X173*VLOOKUP('Données projet'!$B$9,Paramètres!$A$1:$I$89,3,0)*0.475*44/12</f>
        <v>0.29642146484653448</v>
      </c>
      <c r="AB173" s="21">
        <f>EXP(-LN(2)/2)*AB172+(1-EXP(-LN(2)/2))/(LN(2)/2)*V173*Y173*VLOOKUP('Données projet'!$B$9,Paramètres!$A$1:$I$89,3,0)*0.475*44/12</f>
        <v>3.8084300458809614E-23</v>
      </c>
      <c r="AC173" s="22">
        <f t="shared" si="163"/>
        <v>8.0157878854367475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325.55519999999984</v>
      </c>
      <c r="AJ173" s="13">
        <f>AI173*VLOOKUP('Données projet'!$B$10,Paramètres!$A$1:$I$89,3,0)*VLOOKUP('Données projet'!$B$10,Paramètres!$A$1:$I$89,5,0)</f>
        <v>355.50627839999981</v>
      </c>
      <c r="AK173" s="13">
        <f t="shared" si="164"/>
        <v>82.695279049034994</v>
      </c>
      <c r="AL173" s="20">
        <f t="shared" si="165"/>
        <v>763.20104589040227</v>
      </c>
      <c r="AM173" s="59">
        <f t="shared" si="113"/>
        <v>1056.5343792237356</v>
      </c>
      <c r="AN173" s="59">
        <f ca="1">AVERAGE(OFFSET($AM$3,0,0,'Données projet'!$E$10+1,1))-AVERAGE(OFFSET($H$3,0,0,'Données projet'!$E$10+1,1))</f>
        <v>245.5026179711341</v>
      </c>
      <c r="AO173" s="59">
        <f t="shared" si="144"/>
        <v>204.32077840562567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0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2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1">
        <f t="shared" si="140"/>
        <v>27.499233847895834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66">
        <f t="shared" si="110"/>
        <v>519.32718228508497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148.39628895278571</v>
      </c>
      <c r="T174" s="59">
        <f t="shared" si="142"/>
        <v>361.07991692964788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7.5679943534310441</v>
      </c>
      <c r="AA174" s="21">
        <f>EXP(-LN(2)/25)*AA173+(1-EXP(-LN(2)/25))/(LN(2)/25)*Calculateur!V174*Calculateur!X174*VLOOKUP('Données projet'!$B$9,Paramètres!$A$1:$I$89,3,0)*0.475*44/12</f>
        <v>0.28831580430217862</v>
      </c>
      <c r="AB174" s="21">
        <f>EXP(-LN(2)/2)*AB173+(1-EXP(-LN(2)/2))/(LN(2)/2)*V174*Y174*VLOOKUP('Données projet'!$B$9,Paramètres!$A$1:$I$89,3,0)*0.475*44/12</f>
        <v>2.6929667111170221E-23</v>
      </c>
      <c r="AC174" s="22">
        <f t="shared" si="163"/>
        <v>7.8563101577332226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325.55519999999984</v>
      </c>
      <c r="AJ174" s="13">
        <f>AI174*VLOOKUP('Données projet'!$B$10,Paramètres!$A$1:$I$89,3,0)*VLOOKUP('Données projet'!$B$10,Paramètres!$A$1:$I$89,5,0)</f>
        <v>355.50627839999981</v>
      </c>
      <c r="AK174" s="13">
        <f t="shared" si="164"/>
        <v>82.695279049034994</v>
      </c>
      <c r="AL174" s="20">
        <f t="shared" si="165"/>
        <v>763.20104589040227</v>
      </c>
      <c r="AM174" s="59">
        <f t="shared" si="113"/>
        <v>1056.5343792237356</v>
      </c>
      <c r="AN174" s="59">
        <f ca="1">AVERAGE(OFFSET($AM$3,0,0,'Données projet'!$E$10+1,1))-AVERAGE(OFFSET($H$3,0,0,'Données projet'!$E$10+1,1))</f>
        <v>245.5026179711341</v>
      </c>
      <c r="AO174" s="59">
        <f t="shared" si="144"/>
        <v>204.32077840562567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0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2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1">
        <f t="shared" si="140"/>
        <v>27.641281046809208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66">
        <f t="shared" si="110"/>
        <v>520.61609782319238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148.39628895278571</v>
      </c>
      <c r="T175" s="59">
        <f t="shared" si="142"/>
        <v>361.07991692964788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7.4195906001810226</v>
      </c>
      <c r="AA175" s="21">
        <f>EXP(-LN(2)/25)*AA174+(1-EXP(-LN(2)/25))/(LN(2)/25)*Calculateur!V175*Calculateur!X175*VLOOKUP('Données projet'!$B$9,Paramètres!$A$1:$I$89,3,0)*0.475*44/12</f>
        <v>0.28043179347166636</v>
      </c>
      <c r="AB175" s="21">
        <f>EXP(-LN(2)/2)*AB174+(1-EXP(-LN(2)/2))/(LN(2)/2)*V175*Y175*VLOOKUP('Données projet'!$B$9,Paramètres!$A$1:$I$89,3,0)*0.475*44/12</f>
        <v>1.9042150229404807E-23</v>
      </c>
      <c r="AC175" s="22">
        <f t="shared" si="163"/>
        <v>7.7000223936526888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325.55519999999984</v>
      </c>
      <c r="AJ175" s="13">
        <f>AI175*VLOOKUP('Données projet'!$B$10,Paramètres!$A$1:$I$89,3,0)*VLOOKUP('Données projet'!$B$10,Paramètres!$A$1:$I$89,5,0)</f>
        <v>355.50627839999981</v>
      </c>
      <c r="AK175" s="13">
        <f t="shared" si="164"/>
        <v>82.695279049034994</v>
      </c>
      <c r="AL175" s="20">
        <f t="shared" si="165"/>
        <v>763.20104589040227</v>
      </c>
      <c r="AM175" s="59">
        <f t="shared" si="113"/>
        <v>1056.5343792237356</v>
      </c>
      <c r="AN175" s="59">
        <f ca="1">AVERAGE(OFFSET($AM$3,0,0,'Données projet'!$E$10+1,1))-AVERAGE(OFFSET($H$3,0,0,'Données projet'!$E$10+1,1))</f>
        <v>245.5026179711341</v>
      </c>
      <c r="AO175" s="59">
        <f t="shared" si="144"/>
        <v>204.32077840562567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0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2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1">
        <f t="shared" si="140"/>
        <v>27.783232148054115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66">
        <f t="shared" si="110"/>
        <v>521.90484599119395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148.39628895278571</v>
      </c>
      <c r="T176" s="59">
        <f t="shared" si="142"/>
        <v>361.07991692964788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7.2740969540148823</v>
      </c>
      <c r="AA176" s="21">
        <f>EXP(-LN(2)/25)*AA175+(1-EXP(-LN(2)/25))/(LN(2)/25)*Calculateur!V176*Calculateur!X176*VLOOKUP('Données projet'!$B$9,Paramètres!$A$1:$I$89,3,0)*0.475*44/12</f>
        <v>0.27276337133191658</v>
      </c>
      <c r="AB176" s="21">
        <f>EXP(-LN(2)/2)*AB175+(1-EXP(-LN(2)/2))/(LN(2)/2)*V176*Y176*VLOOKUP('Données projet'!$B$9,Paramètres!$A$1:$I$89,3,0)*0.475*44/12</f>
        <v>1.346483355558511E-23</v>
      </c>
      <c r="AC176" s="22">
        <f t="shared" si="163"/>
        <v>7.546860325346799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325.55519999999984</v>
      </c>
      <c r="AJ176" s="13">
        <f>AI176*VLOOKUP('Données projet'!$B$10,Paramètres!$A$1:$I$89,3,0)*VLOOKUP('Données projet'!$B$10,Paramètres!$A$1:$I$89,5,0)</f>
        <v>355.50627839999981</v>
      </c>
      <c r="AK176" s="13">
        <f t="shared" si="164"/>
        <v>82.695279049034994</v>
      </c>
      <c r="AL176" s="20">
        <f t="shared" si="165"/>
        <v>763.20104589040227</v>
      </c>
      <c r="AM176" s="59">
        <f t="shared" si="113"/>
        <v>1056.5343792237356</v>
      </c>
      <c r="AN176" s="59">
        <f ca="1">AVERAGE(OFFSET($AM$3,0,0,'Données projet'!$E$10+1,1))-AVERAGE(OFFSET($H$3,0,0,'Données projet'!$E$10+1,1))</f>
        <v>245.5026179711341</v>
      </c>
      <c r="AO176" s="59">
        <f t="shared" si="144"/>
        <v>204.32077840562567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0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2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1">
        <f t="shared" si="140"/>
        <v>27.925087771564392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66">
        <f t="shared" si="110"/>
        <v>523.1934278688077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148.39628895278571</v>
      </c>
      <c r="T177" s="59">
        <f t="shared" si="142"/>
        <v>361.07991692964788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7.1314563495076984</v>
      </c>
      <c r="AA177" s="21">
        <f>EXP(-LN(2)/25)*AA176+(1-EXP(-LN(2)/25))/(LN(2)/25)*Calculateur!V177*Calculateur!X177*VLOOKUP('Données projet'!$B$9,Paramètres!$A$1:$I$89,3,0)*0.475*44/12</f>
        <v>0.26530464259884301</v>
      </c>
      <c r="AB177" s="21">
        <f>EXP(-LN(2)/2)*AB176+(1-EXP(-LN(2)/2))/(LN(2)/2)*V177*Y177*VLOOKUP('Données projet'!$B$9,Paramètres!$A$1:$I$89,3,0)*0.475*44/12</f>
        <v>9.5210751147024034E-24</v>
      </c>
      <c r="AC177" s="22">
        <f t="shared" si="163"/>
        <v>7.3967609921065414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325.55519999999984</v>
      </c>
      <c r="AJ177" s="13">
        <f>AI177*VLOOKUP('Données projet'!$B$10,Paramètres!$A$1:$I$89,3,0)*VLOOKUP('Données projet'!$B$10,Paramètres!$A$1:$I$89,5,0)</f>
        <v>355.50627839999981</v>
      </c>
      <c r="AK177" s="13">
        <f t="shared" si="164"/>
        <v>82.695279049034994</v>
      </c>
      <c r="AL177" s="20">
        <f t="shared" si="165"/>
        <v>763.20104589040227</v>
      </c>
      <c r="AM177" s="59">
        <f t="shared" si="113"/>
        <v>1056.5343792237356</v>
      </c>
      <c r="AN177" s="59">
        <f ca="1">AVERAGE(OFFSET($AM$3,0,0,'Données projet'!$E$10+1,1))-AVERAGE(OFFSET($H$3,0,0,'Données projet'!$E$10+1,1))</f>
        <v>245.5026179711341</v>
      </c>
      <c r="AO177" s="59">
        <f t="shared" si="144"/>
        <v>204.32077840562567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0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2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1">
        <f t="shared" si="140"/>
        <v>28.066848529735836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66">
        <f t="shared" si="110"/>
        <v>524.48184452262296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148.39628895278571</v>
      </c>
      <c r="T178" s="59">
        <f t="shared" si="142"/>
        <v>361.07991692964788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6.9916128402527224</v>
      </c>
      <c r="AA178" s="21">
        <f>EXP(-LN(2)/25)*AA177+(1-EXP(-LN(2)/25))/(LN(2)/25)*Calculateur!V178*Calculateur!X178*VLOOKUP('Données projet'!$B$9,Paramètres!$A$1:$I$89,3,0)*0.475*44/12</f>
        <v>0.25804987319521283</v>
      </c>
      <c r="AB178" s="21">
        <f>EXP(-LN(2)/2)*AB177+(1-EXP(-LN(2)/2))/(LN(2)/2)*V178*Y178*VLOOKUP('Données projet'!$B$9,Paramètres!$A$1:$I$89,3,0)*0.475*44/12</f>
        <v>6.7324167777925552E-24</v>
      </c>
      <c r="AC178" s="22">
        <f t="shared" si="163"/>
        <v>7.2496627134479352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325.55519999999984</v>
      </c>
      <c r="AJ178" s="13">
        <f>AI178*VLOOKUP('Données projet'!$B$10,Paramètres!$A$1:$I$89,3,0)*VLOOKUP('Données projet'!$B$10,Paramètres!$A$1:$I$89,5,0)</f>
        <v>355.50627839999981</v>
      </c>
      <c r="AK178" s="13">
        <f t="shared" si="164"/>
        <v>82.695279049034994</v>
      </c>
      <c r="AL178" s="20">
        <f t="shared" si="165"/>
        <v>763.20104589040227</v>
      </c>
      <c r="AM178" s="59">
        <f t="shared" si="113"/>
        <v>1056.5343792237356</v>
      </c>
      <c r="AN178" s="59">
        <f ca="1">AVERAGE(OFFSET($AM$3,0,0,'Données projet'!$E$10+1,1))-AVERAGE(OFFSET($H$3,0,0,'Données projet'!$E$10+1,1))</f>
        <v>245.5026179711341</v>
      </c>
      <c r="AO178" s="59">
        <f t="shared" si="144"/>
        <v>204.32077840562567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0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2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1">
        <f t="shared" si="140"/>
        <v>28.208515027560498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66">
        <f t="shared" si="110"/>
        <v>525.77009700633425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148.39628895278571</v>
      </c>
      <c r="T179" s="59">
        <f t="shared" si="142"/>
        <v>361.07991692964788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6.8545115769181182</v>
      </c>
      <c r="AA179" s="21">
        <f>EXP(-LN(2)/25)*AA178+(1-EXP(-LN(2)/25))/(LN(2)/25)*Calculateur!V179*Calculateur!X179*VLOOKUP('Données projet'!$B$9,Paramètres!$A$1:$I$89,3,0)*0.475*44/12</f>
        <v>0.25099348584243669</v>
      </c>
      <c r="AB179" s="21">
        <f>EXP(-LN(2)/2)*AB178+(1-EXP(-LN(2)/2))/(LN(2)/2)*V179*Y179*VLOOKUP('Données projet'!$B$9,Paramètres!$A$1:$I$89,3,0)*0.475*44/12</f>
        <v>4.7605375573512017E-24</v>
      </c>
      <c r="AC179" s="22">
        <f t="shared" si="163"/>
        <v>7.1055050627605549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325.55519999999984</v>
      </c>
      <c r="AJ179" s="13">
        <f>AI179*VLOOKUP('Données projet'!$B$10,Paramètres!$A$1:$I$89,3,0)*VLOOKUP('Données projet'!$B$10,Paramètres!$A$1:$I$89,5,0)</f>
        <v>355.50627839999981</v>
      </c>
      <c r="AK179" s="13">
        <f t="shared" si="164"/>
        <v>82.695279049034994</v>
      </c>
      <c r="AL179" s="20">
        <f t="shared" si="165"/>
        <v>763.20104589040227</v>
      </c>
      <c r="AM179" s="59">
        <f t="shared" si="113"/>
        <v>1056.5343792237356</v>
      </c>
      <c r="AN179" s="59">
        <f ca="1">AVERAGE(OFFSET($AM$3,0,0,'Données projet'!$E$10+1,1))-AVERAGE(OFFSET($H$3,0,0,'Données projet'!$E$10+1,1))</f>
        <v>245.5026179711341</v>
      </c>
      <c r="AO179" s="59">
        <f t="shared" si="144"/>
        <v>204.32077840562567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0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2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1">
        <f t="shared" si="140"/>
        <v>28.350087862757654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66">
        <f t="shared" si="110"/>
        <v>527.05818636096933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148.39628895278571</v>
      </c>
      <c r="T180" s="59">
        <f t="shared" si="142"/>
        <v>361.07991692964788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6.7200987857339927</v>
      </c>
      <c r="AA180" s="21">
        <f>EXP(-LN(2)/25)*AA179+(1-EXP(-LN(2)/25))/(LN(2)/25)*Calculateur!V180*Calculateur!X180*VLOOKUP('Données projet'!$B$9,Paramètres!$A$1:$I$89,3,0)*0.475*44/12</f>
        <v>0.24413005577290151</v>
      </c>
      <c r="AB180" s="21">
        <f>EXP(-LN(2)/2)*AB179+(1-EXP(-LN(2)/2))/(LN(2)/2)*V180*Y180*VLOOKUP('Données projet'!$B$9,Paramètres!$A$1:$I$89,3,0)*0.475*44/12</f>
        <v>3.3662083888962776E-24</v>
      </c>
      <c r="AC180" s="22">
        <f t="shared" si="163"/>
        <v>6.9642288415068938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325.55519999999984</v>
      </c>
      <c r="AJ180" s="13">
        <f>AI180*VLOOKUP('Données projet'!$B$10,Paramètres!$A$1:$I$89,3,0)*VLOOKUP('Données projet'!$B$10,Paramètres!$A$1:$I$89,5,0)</f>
        <v>355.50627839999981</v>
      </c>
      <c r="AK180" s="13">
        <f t="shared" si="164"/>
        <v>82.695279049034994</v>
      </c>
      <c r="AL180" s="20">
        <f t="shared" si="165"/>
        <v>763.20104589040227</v>
      </c>
      <c r="AM180" s="59">
        <f t="shared" si="113"/>
        <v>1056.5343792237356</v>
      </c>
      <c r="AN180" s="59">
        <f ca="1">AVERAGE(OFFSET($AM$3,0,0,'Données projet'!$E$10+1,1))-AVERAGE(OFFSET($H$3,0,0,'Données projet'!$E$10+1,1))</f>
        <v>245.5026179711341</v>
      </c>
      <c r="AO180" s="59">
        <f t="shared" si="144"/>
        <v>204.32077840562567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0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2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1">
        <f t="shared" si="140"/>
        <v>28.491567625901897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66">
        <f t="shared" si="110"/>
        <v>528.34611361511224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148.39628895278571</v>
      </c>
      <c r="T181" s="59">
        <f t="shared" si="142"/>
        <v>361.07991692964788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6.5883217474012801</v>
      </c>
      <c r="AA181" s="21">
        <f>EXP(-LN(2)/25)*AA180+(1-EXP(-LN(2)/25))/(LN(2)/25)*Calculateur!V181*Calculateur!X181*VLOOKUP('Données projet'!$B$9,Paramètres!$A$1:$I$89,3,0)*0.475*44/12</f>
        <v>0.23745430655954985</v>
      </c>
      <c r="AB181" s="21">
        <f>EXP(-LN(2)/2)*AB180+(1-EXP(-LN(2)/2))/(LN(2)/2)*V181*Y181*VLOOKUP('Données projet'!$B$9,Paramètres!$A$1:$I$89,3,0)*0.475*44/12</f>
        <v>2.3802687786756008E-24</v>
      </c>
      <c r="AC181" s="22">
        <f t="shared" si="163"/>
        <v>6.8257760539608299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325.55519999999984</v>
      </c>
      <c r="AJ181" s="13">
        <f>AI181*VLOOKUP('Données projet'!$B$10,Paramètres!$A$1:$I$89,3,0)*VLOOKUP('Données projet'!$B$10,Paramètres!$A$1:$I$89,5,0)</f>
        <v>355.50627839999981</v>
      </c>
      <c r="AK181" s="13">
        <f t="shared" si="164"/>
        <v>82.695279049034994</v>
      </c>
      <c r="AL181" s="20">
        <f t="shared" si="165"/>
        <v>763.20104589040227</v>
      </c>
      <c r="AM181" s="59">
        <f t="shared" si="113"/>
        <v>1056.5343792237356</v>
      </c>
      <c r="AN181" s="59">
        <f ca="1">AVERAGE(OFFSET($AM$3,0,0,'Données projet'!$E$10+1,1))-AVERAGE(OFFSET($H$3,0,0,'Données projet'!$E$10+1,1))</f>
        <v>245.5026179711341</v>
      </c>
      <c r="AO181" s="59">
        <f t="shared" si="144"/>
        <v>204.32077840562567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0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2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1">
        <f t="shared" si="140"/>
        <v>28.632954900548057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66">
        <f t="shared" si="110"/>
        <v>529.63387978512094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148.39628895278571</v>
      </c>
      <c r="T182" s="59">
        <f t="shared" si="142"/>
        <v>361.07991692964788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6.4591287764142153</v>
      </c>
      <c r="AA182" s="21">
        <f>EXP(-LN(2)/25)*AA181+(1-EXP(-LN(2)/25))/(LN(2)/25)*Calculateur!V182*Calculateur!X182*VLOOKUP('Données projet'!$B$9,Paramètres!$A$1:$I$89,3,0)*0.475*44/12</f>
        <v>0.23096110605949968</v>
      </c>
      <c r="AB182" s="21">
        <f>EXP(-LN(2)/2)*AB181+(1-EXP(-LN(2)/2))/(LN(2)/2)*V182*Y182*VLOOKUP('Données projet'!$B$9,Paramètres!$A$1:$I$89,3,0)*0.475*44/12</f>
        <v>1.6831041944481388E-24</v>
      </c>
      <c r="AC182" s="22">
        <f t="shared" si="163"/>
        <v>6.6900898824737149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325.55519999999984</v>
      </c>
      <c r="AJ182" s="13">
        <f>AI182*VLOOKUP('Données projet'!$B$10,Paramètres!$A$1:$I$89,3,0)*VLOOKUP('Données projet'!$B$10,Paramètres!$A$1:$I$89,5,0)</f>
        <v>355.50627839999981</v>
      </c>
      <c r="AK182" s="13">
        <f t="shared" si="164"/>
        <v>82.695279049034994</v>
      </c>
      <c r="AL182" s="20">
        <f t="shared" si="165"/>
        <v>763.20104589040227</v>
      </c>
      <c r="AM182" s="59">
        <f t="shared" si="113"/>
        <v>1056.5343792237356</v>
      </c>
      <c r="AN182" s="59">
        <f ca="1">AVERAGE(OFFSET($AM$3,0,0,'Données projet'!$E$10+1,1))-AVERAGE(OFFSET($H$3,0,0,'Données projet'!$E$10+1,1))</f>
        <v>245.5026179711341</v>
      </c>
      <c r="AO182" s="59">
        <f t="shared" si="144"/>
        <v>204.32077840562567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0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2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1">
        <f t="shared" si="140"/>
        <v>28.774250263353558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66">
        <f t="shared" si="110"/>
        <v>530.92148587534052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148.39628895278571</v>
      </c>
      <c r="T183" s="59">
        <f t="shared" si="142"/>
        <v>361.07991692964788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6.3324692007882755</v>
      </c>
      <c r="AA183" s="21">
        <f>EXP(-LN(2)/25)*AA182+(1-EXP(-LN(2)/25))/(LN(2)/25)*Calculateur!V183*Calculateur!X183*VLOOKUP('Données projet'!$B$9,Paramètres!$A$1:$I$89,3,0)*0.475*44/12</f>
        <v>0.22464546246858597</v>
      </c>
      <c r="AB183" s="21">
        <f>EXP(-LN(2)/2)*AB182+(1-EXP(-LN(2)/2))/(LN(2)/2)*V183*Y183*VLOOKUP('Données projet'!$B$9,Paramètres!$A$1:$I$89,3,0)*0.475*44/12</f>
        <v>1.1901343893378004E-24</v>
      </c>
      <c r="AC183" s="22">
        <f t="shared" si="163"/>
        <v>6.5571146632568613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325.55519999999984</v>
      </c>
      <c r="AJ183" s="13">
        <f>AI183*VLOOKUP('Données projet'!$B$10,Paramètres!$A$1:$I$89,3,0)*VLOOKUP('Données projet'!$B$10,Paramètres!$A$1:$I$89,5,0)</f>
        <v>355.50627839999981</v>
      </c>
      <c r="AK183" s="13">
        <f t="shared" si="164"/>
        <v>82.695279049034994</v>
      </c>
      <c r="AL183" s="20">
        <f t="shared" si="165"/>
        <v>763.20104589040227</v>
      </c>
      <c r="AM183" s="59">
        <f t="shared" si="113"/>
        <v>1056.5343792237356</v>
      </c>
      <c r="AN183" s="59">
        <f ca="1">AVERAGE(OFFSET($AM$3,0,0,'Données projet'!$E$10+1,1))-AVERAGE(OFFSET($H$3,0,0,'Données projet'!$E$10+1,1))</f>
        <v>245.5026179711341</v>
      </c>
      <c r="AO183" s="59">
        <f t="shared" si="144"/>
        <v>204.32077840562567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0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2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1">
        <f t="shared" si="140"/>
        <v>28.915454284197654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66">
        <f t="shared" si="110"/>
        <v>532.20893287831063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148.39628895278571</v>
      </c>
      <c r="T184" s="59">
        <f t="shared" si="142"/>
        <v>361.07991692964788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6.2082933421856472</v>
      </c>
      <c r="AA184" s="21">
        <f>EXP(-LN(2)/25)*AA183+(1-EXP(-LN(2)/25))/(LN(2)/25)*Calculateur!V184*Calculateur!X184*VLOOKUP('Données projet'!$B$9,Paramètres!$A$1:$I$89,3,0)*0.475*44/12</f>
        <v>0.21850252048379104</v>
      </c>
      <c r="AB184" s="21">
        <f>EXP(-LN(2)/2)*AB183+(1-EXP(-LN(2)/2))/(LN(2)/2)*V184*Y184*VLOOKUP('Données projet'!$B$9,Paramètres!$A$1:$I$89,3,0)*0.475*44/12</f>
        <v>8.415520972240694E-25</v>
      </c>
      <c r="AC184" s="22">
        <f t="shared" si="163"/>
        <v>6.4267958626694384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325.55519999999984</v>
      </c>
      <c r="AJ184" s="13">
        <f>AI184*VLOOKUP('Données projet'!$B$10,Paramètres!$A$1:$I$89,3,0)*VLOOKUP('Données projet'!$B$10,Paramètres!$A$1:$I$89,5,0)</f>
        <v>355.50627839999981</v>
      </c>
      <c r="AK184" s="13">
        <f t="shared" si="164"/>
        <v>82.695279049034994</v>
      </c>
      <c r="AL184" s="20">
        <f t="shared" si="165"/>
        <v>763.20104589040227</v>
      </c>
      <c r="AM184" s="59">
        <f t="shared" si="113"/>
        <v>1056.5343792237356</v>
      </c>
      <c r="AN184" s="59">
        <f ca="1">AVERAGE(OFFSET($AM$3,0,0,'Données projet'!$E$10+1,1))-AVERAGE(OFFSET($H$3,0,0,'Données projet'!$E$10+1,1))</f>
        <v>245.5026179711341</v>
      </c>
      <c r="AO184" s="59">
        <f t="shared" si="144"/>
        <v>204.32077840562567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0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2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1">
        <f t="shared" si="140"/>
        <v>29.056567526298124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66">
        <f t="shared" si="110"/>
        <v>533.49622177496894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148.39628895278571</v>
      </c>
      <c r="T185" s="59">
        <f t="shared" si="142"/>
        <v>361.07991692964788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6.0865524964304214</v>
      </c>
      <c r="AA185" s="21">
        <f>EXP(-LN(2)/25)*AA184+(1-EXP(-LN(2)/25))/(LN(2)/25)*Calculateur!V185*Calculateur!X185*VLOOKUP('Données projet'!$B$9,Paramètres!$A$1:$I$89,3,0)*0.475*44/12</f>
        <v>0.21252755757061362</v>
      </c>
      <c r="AB185" s="21">
        <f>EXP(-LN(2)/2)*AB184+(1-EXP(-LN(2)/2))/(LN(2)/2)*V185*Y185*VLOOKUP('Données projet'!$B$9,Paramètres!$A$1:$I$89,3,0)*0.475*44/12</f>
        <v>5.9506719466890021E-25</v>
      </c>
      <c r="AC185" s="22">
        <f t="shared" si="163"/>
        <v>6.2990800540010348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325.55519999999984</v>
      </c>
      <c r="AJ185" s="13">
        <f>AI185*VLOOKUP('Données projet'!$B$10,Paramètres!$A$1:$I$89,3,0)*VLOOKUP('Données projet'!$B$10,Paramètres!$A$1:$I$89,5,0)</f>
        <v>355.50627839999981</v>
      </c>
      <c r="AK185" s="13">
        <f t="shared" si="164"/>
        <v>82.695279049034994</v>
      </c>
      <c r="AL185" s="20">
        <f t="shared" si="165"/>
        <v>763.20104589040227</v>
      </c>
      <c r="AM185" s="59">
        <f t="shared" si="113"/>
        <v>1056.5343792237356</v>
      </c>
      <c r="AN185" s="59">
        <f ca="1">AVERAGE(OFFSET($AM$3,0,0,'Données projet'!$E$10+1,1))-AVERAGE(OFFSET($H$3,0,0,'Données projet'!$E$10+1,1))</f>
        <v>245.5026179711341</v>
      </c>
      <c r="AO185" s="59">
        <f t="shared" si="144"/>
        <v>204.32077840562567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0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2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1">
        <f t="shared" si="140"/>
        <v>29.197590546325394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66">
        <f t="shared" si="110"/>
        <v>534.78335353484977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148.39628895278571</v>
      </c>
      <c r="T186" s="59">
        <f t="shared" si="142"/>
        <v>361.07991692964788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5.9671989144058717</v>
      </c>
      <c r="AA186" s="21">
        <f>EXP(-LN(2)/25)*AA185+(1-EXP(-LN(2)/25))/(LN(2)/25)*Calculateur!V186*Calculateur!X186*VLOOKUP('Données projet'!$B$9,Paramètres!$A$1:$I$89,3,0)*0.475*44/12</f>
        <v>0.20671598033250668</v>
      </c>
      <c r="AB186" s="21">
        <f>EXP(-LN(2)/2)*AB185+(1-EXP(-LN(2)/2))/(LN(2)/2)*V186*Y186*VLOOKUP('Données projet'!$B$9,Paramètres!$A$1:$I$89,3,0)*0.475*44/12</f>
        <v>4.207760486120347E-25</v>
      </c>
      <c r="AC186" s="22">
        <f t="shared" si="163"/>
        <v>6.1739148947383784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325.55519999999984</v>
      </c>
      <c r="AJ186" s="13">
        <f>AI186*VLOOKUP('Données projet'!$B$10,Paramètres!$A$1:$I$89,3,0)*VLOOKUP('Données projet'!$B$10,Paramètres!$A$1:$I$89,5,0)</f>
        <v>355.50627839999981</v>
      </c>
      <c r="AK186" s="13">
        <f t="shared" si="164"/>
        <v>82.695279049034994</v>
      </c>
      <c r="AL186" s="20">
        <f t="shared" si="165"/>
        <v>763.20104589040227</v>
      </c>
      <c r="AM186" s="59">
        <f t="shared" si="113"/>
        <v>1056.5343792237356</v>
      </c>
      <c r="AN186" s="59">
        <f ca="1">AVERAGE(OFFSET($AM$3,0,0,'Données projet'!$E$10+1,1))-AVERAGE(OFFSET($H$3,0,0,'Données projet'!$E$10+1,1))</f>
        <v>245.5026179711341</v>
      </c>
      <c r="AO186" s="59">
        <f t="shared" si="144"/>
        <v>204.32077840562567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0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2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1">
        <f t="shared" si="140"/>
        <v>29.338523894513862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66">
        <f t="shared" si="110"/>
        <v>536.07032911627812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148.39628895278571</v>
      </c>
      <c r="T187" s="59">
        <f t="shared" si="142"/>
        <v>361.07991692964788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5.8501857833263262</v>
      </c>
      <c r="AA187" s="21">
        <f>EXP(-LN(2)/25)*AA186+(1-EXP(-LN(2)/25))/(LN(2)/25)*Calculateur!V187*Calculateur!X187*VLOOKUP('Données projet'!$B$9,Paramètres!$A$1:$I$89,3,0)*0.475*44/12</f>
        <v>0.20106332097959334</v>
      </c>
      <c r="AB187" s="21">
        <f>EXP(-LN(2)/2)*AB186+(1-EXP(-LN(2)/2))/(LN(2)/2)*V187*Y187*VLOOKUP('Données projet'!$B$9,Paramètres!$A$1:$I$89,3,0)*0.475*44/12</f>
        <v>2.9753359733445011E-25</v>
      </c>
      <c r="AC187" s="22">
        <f t="shared" si="163"/>
        <v>6.0512491043059198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325.55519999999984</v>
      </c>
      <c r="AJ187" s="13">
        <f>AI187*VLOOKUP('Données projet'!$B$10,Paramètres!$A$1:$I$89,3,0)*VLOOKUP('Données projet'!$B$10,Paramètres!$A$1:$I$89,5,0)</f>
        <v>355.50627839999981</v>
      </c>
      <c r="AK187" s="13">
        <f t="shared" si="164"/>
        <v>82.695279049034994</v>
      </c>
      <c r="AL187" s="20">
        <f t="shared" si="165"/>
        <v>763.20104589040227</v>
      </c>
      <c r="AM187" s="59">
        <f t="shared" si="113"/>
        <v>1056.5343792237356</v>
      </c>
      <c r="AN187" s="59">
        <f ca="1">AVERAGE(OFFSET($AM$3,0,0,'Données projet'!$E$10+1,1))-AVERAGE(OFFSET($H$3,0,0,'Données projet'!$E$10+1,1))</f>
        <v>245.5026179711341</v>
      </c>
      <c r="AO187" s="59">
        <f t="shared" si="144"/>
        <v>204.32077840562567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0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2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1">
        <f t="shared" si="140"/>
        <v>29.479368114770981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66">
        <f t="shared" si="110"/>
        <v>537.35714946655912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148.39628895278571</v>
      </c>
      <c r="T188" s="59">
        <f t="shared" si="142"/>
        <v>361.07991692964788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5.7354672083762885</v>
      </c>
      <c r="AA188" s="21">
        <f>EXP(-LN(2)/25)*AA187+(1-EXP(-LN(2)/25))/(LN(2)/25)*Calculateur!V188*Calculateur!X188*VLOOKUP('Données projet'!$B$9,Paramètres!$A$1:$I$89,3,0)*0.475*44/12</f>
        <v>0.19556523389394584</v>
      </c>
      <c r="AB188" s="21">
        <f>EXP(-LN(2)/2)*AB187+(1-EXP(-LN(2)/2))/(LN(2)/2)*V188*Y188*VLOOKUP('Données projet'!$B$9,Paramètres!$A$1:$I$89,3,0)*0.475*44/12</f>
        <v>2.1038802430601735E-25</v>
      </c>
      <c r="AC188" s="22">
        <f t="shared" si="163"/>
        <v>5.9310324422702347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325.55519999999984</v>
      </c>
      <c r="AJ188" s="13">
        <f>AI188*VLOOKUP('Données projet'!$B$10,Paramètres!$A$1:$I$89,3,0)*VLOOKUP('Données projet'!$B$10,Paramètres!$A$1:$I$89,5,0)</f>
        <v>355.50627839999981</v>
      </c>
      <c r="AK188" s="13">
        <f t="shared" si="164"/>
        <v>82.695279049034994</v>
      </c>
      <c r="AL188" s="20">
        <f t="shared" si="165"/>
        <v>763.20104589040227</v>
      </c>
      <c r="AM188" s="59">
        <f t="shared" si="113"/>
        <v>1056.5343792237356</v>
      </c>
      <c r="AN188" s="59">
        <f ca="1">AVERAGE(OFFSET($AM$3,0,0,'Données projet'!$E$10+1,1))-AVERAGE(OFFSET($H$3,0,0,'Données projet'!$E$10+1,1))</f>
        <v>245.5026179711341</v>
      </c>
      <c r="AO188" s="59">
        <f t="shared" si="144"/>
        <v>204.32077840562567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0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2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1">
        <f t="shared" si="140"/>
        <v>29.620123744783776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66">
        <f t="shared" si="110"/>
        <v>538.6438155221648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148.39628895278571</v>
      </c>
      <c r="T189" s="59">
        <f t="shared" si="142"/>
        <v>361.07991692964788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5.6229981947095995</v>
      </c>
      <c r="AA189" s="21">
        <f>EXP(-LN(2)/25)*AA188+(1-EXP(-LN(2)/25))/(LN(2)/25)*Calculateur!V189*Calculateur!X189*VLOOKUP('Données projet'!$B$9,Paramètres!$A$1:$I$89,3,0)*0.475*44/12</f>
        <v>0.1902174922887872</v>
      </c>
      <c r="AB189" s="21">
        <f>EXP(-LN(2)/2)*AB188+(1-EXP(-LN(2)/2))/(LN(2)/2)*V189*Y189*VLOOKUP('Données projet'!$B$9,Paramètres!$A$1:$I$89,3,0)*0.475*44/12</f>
        <v>1.4876679866722505E-25</v>
      </c>
      <c r="AC189" s="22">
        <f t="shared" si="163"/>
        <v>5.8132156869983866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325.55519999999984</v>
      </c>
      <c r="AJ189" s="13">
        <f>AI189*VLOOKUP('Données projet'!$B$10,Paramètres!$A$1:$I$89,3,0)*VLOOKUP('Données projet'!$B$10,Paramètres!$A$1:$I$89,5,0)</f>
        <v>355.50627839999981</v>
      </c>
      <c r="AK189" s="13">
        <f t="shared" si="164"/>
        <v>82.695279049034994</v>
      </c>
      <c r="AL189" s="20">
        <f t="shared" si="165"/>
        <v>763.20104589040227</v>
      </c>
      <c r="AM189" s="59">
        <f t="shared" si="113"/>
        <v>1056.5343792237356</v>
      </c>
      <c r="AN189" s="59">
        <f ca="1">AVERAGE(OFFSET($AM$3,0,0,'Données projet'!$E$10+1,1))-AVERAGE(OFFSET($H$3,0,0,'Données projet'!$E$10+1,1))</f>
        <v>245.5026179711341</v>
      </c>
      <c r="AO189" s="59">
        <f t="shared" si="144"/>
        <v>204.32077840562567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0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2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1">
        <f t="shared" si="140"/>
        <v>29.760791316122987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66">
        <f t="shared" si="110"/>
        <v>539.93032820891392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148.39628895278571</v>
      </c>
      <c r="T190" s="59">
        <f t="shared" si="142"/>
        <v>361.07991692964788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5.5127346298015896</v>
      </c>
      <c r="AA190" s="21">
        <f>EXP(-LN(2)/25)*AA189+(1-EXP(-LN(2)/25))/(LN(2)/25)*Calculateur!V190*Calculateur!X190*VLOOKUP('Données projet'!$B$9,Paramètres!$A$1:$I$89,3,0)*0.475*44/12</f>
        <v>0.18501598495904714</v>
      </c>
      <c r="AB190" s="21">
        <f>EXP(-LN(2)/2)*AB189+(1-EXP(-LN(2)/2))/(LN(2)/2)*V190*Y190*VLOOKUP('Données projet'!$B$9,Paramètres!$A$1:$I$89,3,0)*0.475*44/12</f>
        <v>1.0519401215300867E-25</v>
      </c>
      <c r="AC190" s="22">
        <f t="shared" si="163"/>
        <v>5.6977506147606363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325.55519999999984</v>
      </c>
      <c r="AJ190" s="13">
        <f>AI190*VLOOKUP('Données projet'!$B$10,Paramètres!$A$1:$I$89,3,0)*VLOOKUP('Données projet'!$B$10,Paramètres!$A$1:$I$89,5,0)</f>
        <v>355.50627839999981</v>
      </c>
      <c r="AK190" s="13">
        <f t="shared" si="164"/>
        <v>82.695279049034994</v>
      </c>
      <c r="AL190" s="20">
        <f t="shared" si="165"/>
        <v>763.20104589040227</v>
      </c>
      <c r="AM190" s="59">
        <f t="shared" si="113"/>
        <v>1056.5343792237356</v>
      </c>
      <c r="AN190" s="59">
        <f ca="1">AVERAGE(OFFSET($AM$3,0,0,'Données projet'!$E$10+1,1))-AVERAGE(OFFSET($H$3,0,0,'Données projet'!$E$10+1,1))</f>
        <v>245.5026179711341</v>
      </c>
      <c r="AO190" s="59">
        <f t="shared" si="144"/>
        <v>204.32077840562567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0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2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1">
        <f t="shared" si="140"/>
        <v>29.901371354345098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66">
        <f t="shared" si="110"/>
        <v>541.21668844215083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148.39628895278571</v>
      </c>
      <c r="T191" s="59">
        <f t="shared" si="142"/>
        <v>361.07991692964788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5.4046332661472913</v>
      </c>
      <c r="AA191" s="21">
        <f>EXP(-LN(2)/25)*AA190+(1-EXP(-LN(2)/25))/(LN(2)/25)*Calculateur!V191*Calculateur!X191*VLOOKUP('Données projet'!$B$9,Paramètres!$A$1:$I$89,3,0)*0.475*44/12</f>
        <v>0.17995671312077421</v>
      </c>
      <c r="AB191" s="21">
        <f>EXP(-LN(2)/2)*AB190+(1-EXP(-LN(2)/2))/(LN(2)/2)*V191*Y191*VLOOKUP('Données projet'!$B$9,Paramètres!$A$1:$I$89,3,0)*0.475*44/12</f>
        <v>7.4383399333612527E-26</v>
      </c>
      <c r="AC191" s="22">
        <f t="shared" si="163"/>
        <v>5.5845899792680651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325.55519999999984</v>
      </c>
      <c r="AJ191" s="13">
        <f>AI191*VLOOKUP('Données projet'!$B$10,Paramètres!$A$1:$I$89,3,0)*VLOOKUP('Données projet'!$B$10,Paramètres!$A$1:$I$89,5,0)</f>
        <v>355.50627839999981</v>
      </c>
      <c r="AK191" s="13">
        <f t="shared" si="164"/>
        <v>82.695279049034994</v>
      </c>
      <c r="AL191" s="20">
        <f t="shared" si="165"/>
        <v>763.20104589040227</v>
      </c>
      <c r="AM191" s="59">
        <f t="shared" si="113"/>
        <v>1056.5343792237356</v>
      </c>
      <c r="AN191" s="59">
        <f ca="1">AVERAGE(OFFSET($AM$3,0,0,'Données projet'!$E$10+1,1))-AVERAGE(OFFSET($H$3,0,0,'Données projet'!$E$10+1,1))</f>
        <v>245.5026179711341</v>
      </c>
      <c r="AO191" s="59">
        <f t="shared" si="144"/>
        <v>204.32077840562567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0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2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1">
        <f t="shared" si="140"/>
        <v>30.041864379091798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66">
        <f t="shared" si="110"/>
        <v>542.50289712691801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148.39628895278571</v>
      </c>
      <c r="T192" s="59">
        <f t="shared" si="142"/>
        <v>361.07991692964788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5.2986517042989325</v>
      </c>
      <c r="AA192" s="21">
        <f>EXP(-LN(2)/25)*AA191+(1-EXP(-LN(2)/25))/(LN(2)/25)*Calculateur!V192*Calculateur!X192*VLOOKUP('Données projet'!$B$9,Paramètres!$A$1:$I$89,3,0)*0.475*44/12</f>
        <v>0.17503578733697439</v>
      </c>
      <c r="AB192" s="21">
        <f>EXP(-LN(2)/2)*AB191+(1-EXP(-LN(2)/2))/(LN(2)/2)*V192*Y192*VLOOKUP('Données projet'!$B$9,Paramètres!$A$1:$I$89,3,0)*0.475*44/12</f>
        <v>5.2597006076504337E-26</v>
      </c>
      <c r="AC192" s="22">
        <f t="shared" si="163"/>
        <v>5.4736874916359071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325.55519999999984</v>
      </c>
      <c r="AJ192" s="13">
        <f>AI192*VLOOKUP('Données projet'!$B$10,Paramètres!$A$1:$I$89,3,0)*VLOOKUP('Données projet'!$B$10,Paramètres!$A$1:$I$89,5,0)</f>
        <v>355.50627839999981</v>
      </c>
      <c r="AK192" s="13">
        <f t="shared" si="164"/>
        <v>82.695279049034994</v>
      </c>
      <c r="AL192" s="20">
        <f t="shared" si="165"/>
        <v>763.20104589040227</v>
      </c>
      <c r="AM192" s="59">
        <f t="shared" si="113"/>
        <v>1056.5343792237356</v>
      </c>
      <c r="AN192" s="59">
        <f ca="1">AVERAGE(OFFSET($AM$3,0,0,'Données projet'!$E$10+1,1))-AVERAGE(OFFSET($H$3,0,0,'Données projet'!$E$10+1,1))</f>
        <v>245.5026179711341</v>
      </c>
      <c r="AO192" s="59">
        <f t="shared" si="144"/>
        <v>204.32077840562567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0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2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1">
        <f t="shared" si="140"/>
        <v>30.182270904187739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66">
        <f t="shared" si="110"/>
        <v>543.78895515812667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148.39628895278571</v>
      </c>
      <c r="T193" s="59">
        <f t="shared" si="142"/>
        <v>361.07991692964788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5.1947483762360509</v>
      </c>
      <c r="AA193" s="21">
        <f>EXP(-LN(2)/25)*AA192+(1-EXP(-LN(2)/25))/(LN(2)/25)*Calculateur!V193*Calculateur!X193*VLOOKUP('Données projet'!$B$9,Paramètres!$A$1:$I$89,3,0)*0.475*44/12</f>
        <v>0.17024942452751282</v>
      </c>
      <c r="AB193" s="21">
        <f>EXP(-LN(2)/2)*AB192+(1-EXP(-LN(2)/2))/(LN(2)/2)*V193*Y193*VLOOKUP('Données projet'!$B$9,Paramètres!$A$1:$I$89,3,0)*0.475*44/12</f>
        <v>3.7191699666806263E-26</v>
      </c>
      <c r="AC193" s="22">
        <f t="shared" si="163"/>
        <v>5.3649978007635637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325.55519999999984</v>
      </c>
      <c r="AJ193" s="13">
        <f>AI193*VLOOKUP('Données projet'!$B$10,Paramètres!$A$1:$I$89,3,0)*VLOOKUP('Données projet'!$B$10,Paramètres!$A$1:$I$89,5,0)</f>
        <v>355.50627839999981</v>
      </c>
      <c r="AK193" s="13">
        <f t="shared" si="164"/>
        <v>82.695279049034994</v>
      </c>
      <c r="AL193" s="20">
        <f t="shared" si="165"/>
        <v>763.20104589040227</v>
      </c>
      <c r="AM193" s="59">
        <f t="shared" si="113"/>
        <v>1056.5343792237356</v>
      </c>
      <c r="AN193" s="59">
        <f ca="1">AVERAGE(OFFSET($AM$3,0,0,'Données projet'!$E$10+1,1))-AVERAGE(OFFSET($H$3,0,0,'Données projet'!$E$10+1,1))</f>
        <v>245.5026179711341</v>
      </c>
      <c r="AO193" s="59">
        <f t="shared" si="144"/>
        <v>204.32077840562567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0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2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1">
        <f t="shared" si="140"/>
        <v>30.322591437735614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66">
        <f t="shared" si="110"/>
        <v>545.07486342072252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148.39628895278571</v>
      </c>
      <c r="T194" s="59">
        <f t="shared" si="142"/>
        <v>361.07991692964788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5.0928825290617095</v>
      </c>
      <c r="AA194" s="21">
        <f>EXP(-LN(2)/25)*AA193+(1-EXP(-LN(2)/25))/(LN(2)/25)*Calculateur!V194*Calculateur!X194*VLOOKUP('Données projet'!$B$9,Paramètres!$A$1:$I$89,3,0)*0.475*44/12</f>
        <v>0.16559394506077985</v>
      </c>
      <c r="AB194" s="21">
        <f>EXP(-LN(2)/2)*AB193+(1-EXP(-LN(2)/2))/(LN(2)/2)*V194*Y194*VLOOKUP('Données projet'!$B$9,Paramètres!$A$1:$I$89,3,0)*0.475*44/12</f>
        <v>2.6298503038252169E-26</v>
      </c>
      <c r="AC194" s="22">
        <f t="shared" si="163"/>
        <v>5.2584764741224896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325.55519999999984</v>
      </c>
      <c r="AJ194" s="13">
        <f>AI194*VLOOKUP('Données projet'!$B$10,Paramètres!$A$1:$I$89,3,0)*VLOOKUP('Données projet'!$B$10,Paramètres!$A$1:$I$89,5,0)</f>
        <v>355.50627839999981</v>
      </c>
      <c r="AK194" s="13">
        <f t="shared" si="164"/>
        <v>82.695279049034994</v>
      </c>
      <c r="AL194" s="20">
        <f t="shared" si="165"/>
        <v>763.20104589040227</v>
      </c>
      <c r="AM194" s="59">
        <f t="shared" si="113"/>
        <v>1056.5343792237356</v>
      </c>
      <c r="AN194" s="59">
        <f ca="1">AVERAGE(OFFSET($AM$3,0,0,'Données projet'!$E$10+1,1))-AVERAGE(OFFSET($H$3,0,0,'Données projet'!$E$10+1,1))</f>
        <v>245.5026179711341</v>
      </c>
      <c r="AO194" s="59">
        <f t="shared" si="144"/>
        <v>204.32077840562567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0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2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1">
        <f t="shared" si="140"/>
        <v>30.462826482209802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66">
        <f t="shared" si="110"/>
        <v>546.36062278984843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148.39628895278571</v>
      </c>
      <c r="T195" s="59">
        <f t="shared" si="142"/>
        <v>361.07991692964788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4.9930142090184253</v>
      </c>
      <c r="AA195" s="21">
        <f>EXP(-LN(2)/25)*AA194+(1-EXP(-LN(2)/25))/(LN(2)/25)*Calculateur!V195*Calculateur!X195*VLOOKUP('Données projet'!$B$9,Paramètres!$A$1:$I$89,3,0)*0.475*44/12</f>
        <v>0.16106576992488572</v>
      </c>
      <c r="AB195" s="21">
        <f>EXP(-LN(2)/2)*AB194+(1-EXP(-LN(2)/2))/(LN(2)/2)*V195*Y195*VLOOKUP('Données projet'!$B$9,Paramètres!$A$1:$I$89,3,0)*0.475*44/12</f>
        <v>1.8595849833403132E-26</v>
      </c>
      <c r="AC195" s="22">
        <f t="shared" si="163"/>
        <v>5.1540799789433107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325.55519999999984</v>
      </c>
      <c r="AJ195" s="13">
        <f>AI195*VLOOKUP('Données projet'!$B$10,Paramètres!$A$1:$I$89,3,0)*VLOOKUP('Données projet'!$B$10,Paramètres!$A$1:$I$89,5,0)</f>
        <v>355.50627839999981</v>
      </c>
      <c r="AK195" s="13">
        <f t="shared" si="164"/>
        <v>82.695279049034994</v>
      </c>
      <c r="AL195" s="20">
        <f t="shared" si="165"/>
        <v>763.20104589040227</v>
      </c>
      <c r="AM195" s="59">
        <f t="shared" si="113"/>
        <v>1056.5343792237356</v>
      </c>
      <c r="AN195" s="59">
        <f ca="1">AVERAGE(OFFSET($AM$3,0,0,'Données projet'!$E$10+1,1))-AVERAGE(OFFSET($H$3,0,0,'Données projet'!$E$10+1,1))</f>
        <v>245.5026179711341</v>
      </c>
      <c r="AO195" s="59">
        <f t="shared" si="144"/>
        <v>204.32077840562567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0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2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1">
        <f t="shared" si="140"/>
        <v>30.602976534547494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66">
        <f t="shared" ref="H196:H203" si="192">(B196+E196+F196)*44/12+(C196+D196)*0.475*44/12</f>
        <v>547.64623413100321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148.39628895278571</v>
      </c>
      <c r="T196" s="59">
        <f t="shared" si="142"/>
        <v>361.07991692964788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4.8951042458175298</v>
      </c>
      <c r="AA196" s="21">
        <f>EXP(-LN(2)/25)*AA195+(1-EXP(-LN(2)/25))/(LN(2)/25)*Calculateur!V196*Calculateur!X196*VLOOKUP('Données projet'!$B$9,Paramètres!$A$1:$I$89,3,0)*0.475*44/12</f>
        <v>0.156661417976209</v>
      </c>
      <c r="AB196" s="21">
        <f>EXP(-LN(2)/2)*AB195+(1-EXP(-LN(2)/2))/(LN(2)/2)*V196*Y196*VLOOKUP('Données projet'!$B$9,Paramètres!$A$1:$I$89,3,0)*0.475*44/12</f>
        <v>1.3149251519126084E-26</v>
      </c>
      <c r="AC196" s="22">
        <f t="shared" si="163"/>
        <v>5.0517656637937387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325.55519999999984</v>
      </c>
      <c r="AJ196" s="13">
        <f>AI196*VLOOKUP('Données projet'!$B$10,Paramètres!$A$1:$I$89,3,0)*VLOOKUP('Données projet'!$B$10,Paramètres!$A$1:$I$89,5,0)</f>
        <v>355.50627839999981</v>
      </c>
      <c r="AK196" s="13">
        <f t="shared" si="164"/>
        <v>82.695279049034994</v>
      </c>
      <c r="AL196" s="20">
        <f t="shared" si="165"/>
        <v>763.20104589040227</v>
      </c>
      <c r="AM196" s="59">
        <f t="shared" ref="AM196:AM203" si="193">AL196+(AD196+AE196)*44/12</f>
        <v>1056.5343792237356</v>
      </c>
      <c r="AN196" s="59">
        <f ca="1">AVERAGE(OFFSET($AM$3,0,0,'Données projet'!$E$10+1,1))-AVERAGE(OFFSET($H$3,0,0,'Données projet'!$E$10+1,1))</f>
        <v>245.5026179711341</v>
      </c>
      <c r="AO196" s="59">
        <f t="shared" si="144"/>
        <v>204.32077840562567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0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2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1">
        <f t="shared" ref="D197:D203" si="202">IFERROR(EXP(-1.0587+0.8836*LN(C197)+0.284),0)</f>
        <v>30.743042086238148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66">
        <f t="shared" si="192"/>
        <v>548.93169830019781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148.39628895278571</v>
      </c>
      <c r="T197" s="59">
        <f t="shared" ref="T197:T203" si="204">$T$3</f>
        <v>361.07991692964788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4.7991142372758224</v>
      </c>
      <c r="AA197" s="21">
        <f>EXP(-LN(2)/25)*AA196+(1-EXP(-LN(2)/25))/(LN(2)/25)*Calculateur!V197*Calculateur!X197*VLOOKUP('Données projet'!$B$9,Paramètres!$A$1:$I$89,3,0)*0.475*44/12</f>
        <v>0.15237750326318364</v>
      </c>
      <c r="AB197" s="21">
        <f>EXP(-LN(2)/2)*AB196+(1-EXP(-LN(2)/2))/(LN(2)/2)*V197*Y197*VLOOKUP('Données projet'!$B$9,Paramètres!$A$1:$I$89,3,0)*0.475*44/12</f>
        <v>9.2979249167015658E-27</v>
      </c>
      <c r="AC197" s="22">
        <f t="shared" si="163"/>
        <v>4.951491740539006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325.55519999999984</v>
      </c>
      <c r="AJ197" s="13">
        <f>AI197*VLOOKUP('Données projet'!$B$10,Paramètres!$A$1:$I$89,3,0)*VLOOKUP('Données projet'!$B$10,Paramètres!$A$1:$I$89,5,0)</f>
        <v>355.50627839999981</v>
      </c>
      <c r="AK197" s="13">
        <f t="shared" si="164"/>
        <v>82.695279049034994</v>
      </c>
      <c r="AL197" s="20">
        <f t="shared" si="165"/>
        <v>763.20104589040227</v>
      </c>
      <c r="AM197" s="59">
        <f t="shared" si="193"/>
        <v>1056.5343792237356</v>
      </c>
      <c r="AN197" s="59">
        <f ca="1">AVERAGE(OFFSET($AM$3,0,0,'Données projet'!$E$10+1,1))-AVERAGE(OFFSET($H$3,0,0,'Données projet'!$E$10+1,1))</f>
        <v>245.5026179711341</v>
      </c>
      <c r="AO197" s="59">
        <f t="shared" ref="AO197:AO203" si="205">$AO$3</f>
        <v>204.32077840562567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0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2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1">
        <f t="shared" si="202"/>
        <v>30.883023623410974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66">
        <f t="shared" si="192"/>
        <v>550.21701614410711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148.39628895278571</v>
      </c>
      <c r="T198" s="59">
        <f t="shared" si="204"/>
        <v>361.07991692964788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4.7050065342534939</v>
      </c>
      <c r="AA198" s="21">
        <f>EXP(-LN(2)/25)*AA197+(1-EXP(-LN(2)/25))/(LN(2)/25)*Calculateur!V198*Calculateur!X198*VLOOKUP('Données projet'!$B$9,Paramètres!$A$1:$I$89,3,0)*0.475*44/12</f>
        <v>0.14821073242326724</v>
      </c>
      <c r="AB198" s="21">
        <f>EXP(-LN(2)/2)*AB197+(1-EXP(-LN(2)/2))/(LN(2)/2)*V198*Y198*VLOOKUP('Données projet'!$B$9,Paramètres!$A$1:$I$89,3,0)*0.475*44/12</f>
        <v>6.5746257595630422E-27</v>
      </c>
      <c r="AC198" s="22">
        <f t="shared" si="163"/>
        <v>4.8532172666767615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325.55519999999984</v>
      </c>
      <c r="AJ198" s="13">
        <f>AI198*VLOOKUP('Données projet'!$B$10,Paramètres!$A$1:$I$89,3,0)*VLOOKUP('Données projet'!$B$10,Paramètres!$A$1:$I$89,5,0)</f>
        <v>355.50627839999981</v>
      </c>
      <c r="AK198" s="13">
        <f t="shared" si="164"/>
        <v>82.695279049034994</v>
      </c>
      <c r="AL198" s="20">
        <f t="shared" si="165"/>
        <v>763.20104589040227</v>
      </c>
      <c r="AM198" s="59">
        <f t="shared" si="193"/>
        <v>1056.5343792237356</v>
      </c>
      <c r="AN198" s="59">
        <f ca="1">AVERAGE(OFFSET($AM$3,0,0,'Données projet'!$E$10+1,1))-AVERAGE(OFFSET($H$3,0,0,'Données projet'!$E$10+1,1))</f>
        <v>245.5026179711341</v>
      </c>
      <c r="AO198" s="59">
        <f t="shared" si="205"/>
        <v>204.32077840562567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0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2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1">
        <f t="shared" si="202"/>
        <v>31.022921626920507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66">
        <f t="shared" si="192"/>
        <v>551.50218850021952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148.39628895278571</v>
      </c>
      <c r="T199" s="59">
        <f t="shared" si="204"/>
        <v>361.07991692964788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4.6127442258874023</v>
      </c>
      <c r="AA199" s="21">
        <f>EXP(-LN(2)/25)*AA198+(1-EXP(-LN(2)/25))/(LN(2)/25)*Calculateur!V199*Calculateur!X199*VLOOKUP('Données projet'!$B$9,Paramètres!$A$1:$I$89,3,0)*0.475*44/12</f>
        <v>0.14415790215108931</v>
      </c>
      <c r="AB199" s="21">
        <f>EXP(-LN(2)/2)*AB198+(1-EXP(-LN(2)/2))/(LN(2)/2)*V199*Y199*VLOOKUP('Données projet'!$B$9,Paramètres!$A$1:$I$89,3,0)*0.475*44/12</f>
        <v>4.6489624583507829E-27</v>
      </c>
      <c r="AC199" s="22">
        <f t="shared" si="163"/>
        <v>4.756902128038492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325.55519999999984</v>
      </c>
      <c r="AJ199" s="13">
        <f>AI199*VLOOKUP('Données projet'!$B$10,Paramètres!$A$1:$I$89,3,0)*VLOOKUP('Données projet'!$B$10,Paramètres!$A$1:$I$89,5,0)</f>
        <v>355.50627839999981</v>
      </c>
      <c r="AK199" s="13">
        <f t="shared" si="164"/>
        <v>82.695279049034994</v>
      </c>
      <c r="AL199" s="20">
        <f t="shared" si="165"/>
        <v>763.20104589040227</v>
      </c>
      <c r="AM199" s="59">
        <f t="shared" si="193"/>
        <v>1056.5343792237356</v>
      </c>
      <c r="AN199" s="59">
        <f ca="1">AVERAGE(OFFSET($AM$3,0,0,'Données projet'!$E$10+1,1))-AVERAGE(OFFSET($H$3,0,0,'Données projet'!$E$10+1,1))</f>
        <v>245.5026179711341</v>
      </c>
      <c r="AO199" s="59">
        <f t="shared" si="205"/>
        <v>204.32077840562567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0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2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1">
        <f t="shared" si="202"/>
        <v>31.162736572430603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66">
        <f t="shared" si="192"/>
        <v>552.78721619698297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148.39628895278571</v>
      </c>
      <c r="T200" s="59">
        <f t="shared" si="204"/>
        <v>361.07991692964788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4.5222911251139184</v>
      </c>
      <c r="AA200" s="21">
        <f>EXP(-LN(2)/25)*AA199+(1-EXP(-LN(2)/25))/(LN(2)/25)*Calculateur!V200*Calculateur!X200*VLOOKUP('Données projet'!$B$9,Paramètres!$A$1:$I$89,3,0)*0.475*44/12</f>
        <v>0.14021589673583318</v>
      </c>
      <c r="AB200" s="21">
        <f>EXP(-LN(2)/2)*AB199+(1-EXP(-LN(2)/2))/(LN(2)/2)*V200*Y200*VLOOKUP('Données projet'!$B$9,Paramètres!$A$1:$I$89,3,0)*0.475*44/12</f>
        <v>3.2873128797815211E-27</v>
      </c>
      <c r="AC200" s="22">
        <f t="shared" si="163"/>
        <v>4.662507021849752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325.55519999999984</v>
      </c>
      <c r="AJ200" s="13">
        <f>AI200*VLOOKUP('Données projet'!$B$10,Paramètres!$A$1:$I$89,3,0)*VLOOKUP('Données projet'!$B$10,Paramètres!$A$1:$I$89,5,0)</f>
        <v>355.50627839999981</v>
      </c>
      <c r="AK200" s="13">
        <f t="shared" si="164"/>
        <v>82.695279049034994</v>
      </c>
      <c r="AL200" s="20">
        <f t="shared" si="165"/>
        <v>763.20104589040227</v>
      </c>
      <c r="AM200" s="59">
        <f t="shared" si="193"/>
        <v>1056.5343792237356</v>
      </c>
      <c r="AN200" s="59">
        <f ca="1">AVERAGE(OFFSET($AM$3,0,0,'Données projet'!$E$10+1,1))-AVERAGE(OFFSET($H$3,0,0,'Données projet'!$E$10+1,1))</f>
        <v>245.5026179711341</v>
      </c>
      <c r="AO200" s="59">
        <f t="shared" si="205"/>
        <v>204.32077840562567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0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2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1">
        <f t="shared" si="202"/>
        <v>31.302468930496392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66">
        <f t="shared" si="192"/>
        <v>554.07210005394757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148.39628895278571</v>
      </c>
      <c r="T201" s="59">
        <f t="shared" si="204"/>
        <v>361.07991692964788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4.4336117544756588</v>
      </c>
      <c r="AA201" s="21">
        <f>EXP(-LN(2)/25)*AA200+(1-EXP(-LN(2)/25))/(LN(2)/25)*Calculateur!V201*Calculateur!X201*VLOOKUP('Données projet'!$B$9,Paramètres!$A$1:$I$89,3,0)*0.475*44/12</f>
        <v>0.13638168566595829</v>
      </c>
      <c r="AB201" s="21">
        <f>EXP(-LN(2)/2)*AB200+(1-EXP(-LN(2)/2))/(LN(2)/2)*V201*Y201*VLOOKUP('Données projet'!$B$9,Paramètres!$A$1:$I$89,3,0)*0.475*44/12</f>
        <v>2.3244812291753915E-27</v>
      </c>
      <c r="AC201" s="22">
        <f t="shared" si="163"/>
        <v>4.5699934401416167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325.55519999999984</v>
      </c>
      <c r="AJ201" s="13">
        <f>AI201*VLOOKUP('Données projet'!$B$10,Paramètres!$A$1:$I$89,3,0)*VLOOKUP('Données projet'!$B$10,Paramètres!$A$1:$I$89,5,0)</f>
        <v>355.50627839999981</v>
      </c>
      <c r="AK201" s="13">
        <f t="shared" si="164"/>
        <v>82.695279049034994</v>
      </c>
      <c r="AL201" s="20">
        <f t="shared" si="165"/>
        <v>763.20104589040227</v>
      </c>
      <c r="AM201" s="59">
        <f t="shared" si="193"/>
        <v>1056.5343792237356</v>
      </c>
      <c r="AN201" s="59">
        <f ca="1">AVERAGE(OFFSET($AM$3,0,0,'Données projet'!$E$10+1,1))-AVERAGE(OFFSET($H$3,0,0,'Données projet'!$E$10+1,1))</f>
        <v>245.5026179711341</v>
      </c>
      <c r="AO201" s="59">
        <f t="shared" si="205"/>
        <v>204.32077840562567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0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2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1">
        <f t="shared" si="202"/>
        <v>31.442119166644662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66">
        <f t="shared" si="192"/>
        <v>555.35684088190578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148.39628895278571</v>
      </c>
      <c r="T202" s="59">
        <f t="shared" si="204"/>
        <v>361.07991692964788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4.3466713322065402</v>
      </c>
      <c r="AA202" s="21">
        <f>EXP(-LN(2)/25)*AA201+(1-EXP(-LN(2)/25))/(LN(2)/25)*Calculateur!V202*Calculateur!X202*VLOOKUP('Données projet'!$B$9,Paramètres!$A$1:$I$89,3,0)*0.475*44/12</f>
        <v>0.13265232129942151</v>
      </c>
      <c r="AB202" s="21">
        <f>EXP(-LN(2)/2)*AB201+(1-EXP(-LN(2)/2))/(LN(2)/2)*V202*Y202*VLOOKUP('Données projet'!$B$9,Paramètres!$A$1:$I$89,3,0)*0.475*44/12</f>
        <v>1.6436564398907605E-27</v>
      </c>
      <c r="AC202" s="22">
        <f t="shared" si="163"/>
        <v>4.4793236535059613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325.55519999999984</v>
      </c>
      <c r="AJ202" s="13">
        <f>AI202*VLOOKUP('Données projet'!$B$10,Paramètres!$A$1:$I$89,3,0)*VLOOKUP('Données projet'!$B$10,Paramètres!$A$1:$I$89,5,0)</f>
        <v>355.50627839999981</v>
      </c>
      <c r="AK202" s="13">
        <f t="shared" si="164"/>
        <v>82.695279049034994</v>
      </c>
      <c r="AL202" s="20">
        <f t="shared" si="165"/>
        <v>763.20104589040227</v>
      </c>
      <c r="AM202" s="59">
        <f t="shared" si="193"/>
        <v>1056.5343792237356</v>
      </c>
      <c r="AN202" s="59">
        <f ca="1">AVERAGE(OFFSET($AM$3,0,0,'Données projet'!$E$10+1,1))-AVERAGE(OFFSET($H$3,0,0,'Données projet'!$E$10+1,1))</f>
        <v>245.5026179711341</v>
      </c>
      <c r="AO202" s="59">
        <f t="shared" si="205"/>
        <v>204.32077840562567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0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2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1">
        <f t="shared" si="202"/>
        <v>31.581687741452679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66">
        <f t="shared" si="192"/>
        <v>556.64143948302979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148.39628895278571</v>
      </c>
      <c r="T203" s="59">
        <f t="shared" si="204"/>
        <v>361.07991692964788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4.2614357585896974</v>
      </c>
      <c r="AA203" s="21">
        <f>EXP(-LN(2)/25)*AA202+(1-EXP(-LN(2)/25))/(LN(2)/25)*Calculateur!V203*Calculateur!X203*VLOOKUP('Données projet'!$B$9,Paramètres!$A$1:$I$89,3,0)*0.475*44/12</f>
        <v>0.12902493659760642</v>
      </c>
      <c r="AB203" s="21">
        <f>EXP(-LN(2)/2)*AB202+(1-EXP(-LN(2)/2))/(LN(2)/2)*V203*Y203*VLOOKUP('Données projet'!$B$9,Paramètres!$A$1:$I$89,3,0)*0.475*44/12</f>
        <v>1.1622406145876957E-27</v>
      </c>
      <c r="AC203" s="22">
        <f t="shared" si="163"/>
        <v>4.3904606951873042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325.55519999999984</v>
      </c>
      <c r="AJ203" s="13">
        <f>AI203*VLOOKUP('Données projet'!$B$10,Paramètres!$A$1:$I$89,3,0)*VLOOKUP('Données projet'!$B$10,Paramètres!$A$1:$I$89,5,0)</f>
        <v>355.50627839999981</v>
      </c>
      <c r="AK203" s="13">
        <f t="shared" si="164"/>
        <v>82.695279049034994</v>
      </c>
      <c r="AL203" s="20">
        <f t="shared" si="165"/>
        <v>763.20104589040227</v>
      </c>
      <c r="AM203" s="59">
        <f t="shared" si="193"/>
        <v>1056.5343792237356</v>
      </c>
      <c r="AN203" s="59">
        <f ca="1">AVERAGE(OFFSET($AM$3,0,0,'Données projet'!$E$10+1,1))-AVERAGE(OFFSET($H$3,0,0,'Données projet'!$E$10+1,1))</f>
        <v>245.5026179711341</v>
      </c>
      <c r="AO203" s="59">
        <f t="shared" si="205"/>
        <v>204.32077840562567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0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4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1.4943820583928935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1.2463276028054662</v>
      </c>
      <c r="BA205" s="81" t="e">
        <f>EXP(LN('Données projet'!B88)/'Données projet'!A88)</f>
        <v>#NUM!</v>
      </c>
      <c r="BV205" s="81" t="e">
        <f>EXP(LN('Données projet'!B114)/'Données projet'!A114)</f>
        <v>#NUM!</v>
      </c>
      <c r="CQ205" s="81" t="e">
        <f>EXP(LN('Données projet'!B140)/'Données projet'!A140)</f>
        <v>#NUM!</v>
      </c>
      <c r="DL205" s="81" t="e">
        <f>EXP(LN('Données projet'!B166)/'Données projet'!A166)</f>
        <v>#NUM!</v>
      </c>
      <c r="EG205" s="81" t="e">
        <f>EXP(LN('Données projet'!B192)/'Données projet'!A192)</f>
        <v>#NUM!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63281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6328125" style="4" bestFit="1" customWidth="1"/>
    <col min="7" max="7" width="11.453125" style="4" bestFit="1" customWidth="1"/>
    <col min="8" max="8" width="39" style="4" bestFit="1" customWidth="1"/>
    <col min="9" max="9" width="16.63281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5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0" t="s">
        <v>238</v>
      </c>
      <c r="P2" s="119">
        <v>0</v>
      </c>
    </row>
    <row r="3" spans="1:16" ht="15" thickBot="1" x14ac:dyDescent="0.4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1"/>
      <c r="P3" s="126">
        <v>0.2</v>
      </c>
    </row>
    <row r="4" spans="1:16" ht="15" thickBot="1" x14ac:dyDescent="0.4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5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0" t="s">
        <v>237</v>
      </c>
      <c r="P5" s="119">
        <v>0</v>
      </c>
    </row>
    <row r="6" spans="1:16" x14ac:dyDescent="0.35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2"/>
      <c r="P6" s="127">
        <v>0.05</v>
      </c>
    </row>
    <row r="7" spans="1:16" x14ac:dyDescent="0.35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2"/>
      <c r="P7" s="127">
        <v>0.1</v>
      </c>
    </row>
    <row r="8" spans="1:16" ht="15" thickBot="1" x14ac:dyDescent="0.4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1"/>
      <c r="P8" s="126">
        <v>0.15</v>
      </c>
    </row>
    <row r="9" spans="1:16" ht="15" thickBot="1" x14ac:dyDescent="0.4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5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0" t="s">
        <v>236</v>
      </c>
      <c r="P10" s="119">
        <v>0</v>
      </c>
    </row>
    <row r="11" spans="1:16" ht="15" thickBot="1" x14ac:dyDescent="0.4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1"/>
      <c r="P11" s="126">
        <v>0.1</v>
      </c>
    </row>
    <row r="12" spans="1:16" x14ac:dyDescent="0.35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5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5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5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5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5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5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5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5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5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5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5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5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5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5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5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5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5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5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5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5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5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5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5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5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5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5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5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5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5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5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5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5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5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5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5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5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5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5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5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5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5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5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5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5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5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5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5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5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5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5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5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5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5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5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5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5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5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5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5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5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5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5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5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5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5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5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5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5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5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5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5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5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5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5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5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5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4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5">
      <c r="A93" s="120" t="s">
        <v>208</v>
      </c>
    </row>
    <row r="94" spans="1:14" x14ac:dyDescent="0.35">
      <c r="A94" s="120" t="s">
        <v>209</v>
      </c>
    </row>
    <row r="95" spans="1:14" x14ac:dyDescent="0.35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5" zoomScale="110" zoomScaleNormal="110" workbookViewId="0">
      <selection activeCell="M34" sqref="M34"/>
    </sheetView>
  </sheetViews>
  <sheetFormatPr baseColWidth="10" defaultColWidth="11.453125" defaultRowHeight="14.5" x14ac:dyDescent="0.35"/>
  <cols>
    <col min="1" max="1" width="22.81640625" style="1" bestFit="1" customWidth="1"/>
    <col min="2" max="2" width="10.453125" style="1" bestFit="1" customWidth="1"/>
    <col min="3" max="3" width="15.45312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81" t="s">
        <v>271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3" thickBot="1" x14ac:dyDescent="0.4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3" t="str">
        <f>IF('Données projet'!$B$9="","",'Données projet'!$B$9)</f>
        <v>Pin maritime</v>
      </c>
      <c r="B6" s="144">
        <f>'Données projet'!D9</f>
        <v>2.8022279999999999</v>
      </c>
      <c r="C6" s="145">
        <f ca="1">IF(OR('Données projet'!B9="",'Données projet'!C9="",'Données projet'!C9=0%),0,Calculateur!S3)</f>
        <v>148.39628895278571</v>
      </c>
      <c r="D6" s="145">
        <f>IF(OR('Données projet'!B9="",'Données projet'!C9="",'Données projet'!C9=0%),0,Calculateur!T3)</f>
        <v>361.07991692964788</v>
      </c>
      <c r="E6" s="145">
        <f ca="1">MIN(C6,D6)</f>
        <v>148.39628895278571</v>
      </c>
      <c r="F6" s="145">
        <f ca="1">E6*B6</f>
        <v>415.84023599958681</v>
      </c>
      <c r="G6" s="145">
        <f ca="1">F6*(100%-'Données projet'!$C$24)*(100%-'Données projet'!$C$25)*(100%-'Données projet'!$C$26)*(100%-'Données projet'!$C$27)</f>
        <v>254.49422443174714</v>
      </c>
      <c r="H6" s="146">
        <f>IF(OR('Données projet'!B9="",'Données projet'!C9="",'Données projet'!C9=0%),0,AVERAGE(Calculateur!$AC$3:$AC$33)*B6)</f>
        <v>48.385320116735244</v>
      </c>
      <c r="I6" s="147">
        <f>H6*(100%-'Données projet'!$C$24)*(100%-'Données projet'!$C$25)*(100%-'Données projet'!$C$26)*(100%-'Données projet'!$C$27)</f>
        <v>29.611815911441976</v>
      </c>
      <c r="J6" s="148">
        <f>IF(OR('Données projet'!B9="",'Données projet'!C9="",'Données projet'!C9=0%),0,SUM(Calculateur!$V$3:$V$33)*VLOOKUP('Données projet'!$B$9,Paramètres!$A$1:$I$89,9,0)*B6)</f>
        <v>730.76501783999993</v>
      </c>
      <c r="K6" s="149">
        <f>J6*(100%-'Données projet'!$C$24)*(100%-'Données projet'!$C$25)*(100%-'Données projet'!$C$26)*(100%-'Données projet'!$C$27)</f>
        <v>447.22819091808003</v>
      </c>
      <c r="L6" s="150">
        <f ca="1">G6+I6+K6</f>
        <v>731.33423126126922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1" t="str">
        <f>IF('Données projet'!$B$10="","",'Données projet'!$B$10)</f>
        <v>Chêne-liège</v>
      </c>
      <c r="B7" s="152">
        <f>'Données projet'!D10</f>
        <v>5.7771999999999997E-2</v>
      </c>
      <c r="C7" s="145">
        <f ca="1">IF(OR('Données projet'!B10="",'Données projet'!C10="",'Données projet'!C10=0%),0,Calculateur!AN3)</f>
        <v>245.5026179711341</v>
      </c>
      <c r="D7" s="145">
        <f>IF(OR('Données projet'!B10="",'Données projet'!C10="",'Données projet'!C10=0%),0,Calculateur!AO3)</f>
        <v>204.32077840562567</v>
      </c>
      <c r="E7" s="145">
        <f t="shared" ref="E7:E15" ca="1" si="0">MIN(C7,D7)</f>
        <v>204.32077840562567</v>
      </c>
      <c r="F7" s="145">
        <f t="shared" ref="F7:F15" ca="1" si="1">E7*B7</f>
        <v>11.804020010049806</v>
      </c>
      <c r="G7" s="145">
        <f ca="1">F7*(100%-'Données projet'!$C$24)*(100%-'Données projet'!$C$25)*(100%-'Données projet'!$C$26)*(100%-'Données projet'!$C$27)</f>
        <v>7.2240602461504819</v>
      </c>
      <c r="H7" s="153">
        <f>IF(OR('Données projet'!B10="",'Données projet'!C10="",'Données projet'!C10=0%),0,AVERAGE(Calculateur!$AX$3:$AX$33)*B7)</f>
        <v>0</v>
      </c>
      <c r="I7" s="147">
        <f>H7*(100%-'Données projet'!$C$24)*(100%-'Données projet'!$C$25)*(100%-'Données projet'!$C$26)*(100%-'Données projet'!$C$27)</f>
        <v>0</v>
      </c>
      <c r="J7" s="148">
        <f>IF(OR('Données projet'!B10="",'Données projet'!C10="",'Données projet'!C10=0%),0,SUM(Calculateur!$AQ$3:$AQ$33)*VLOOKUP('Données projet'!$B$10,Paramètres!$A$1:$I$89,9,0)*B7)</f>
        <v>0</v>
      </c>
      <c r="K7" s="149">
        <f>J7*(100%-'Données projet'!$C$24)*(100%-'Données projet'!$C$25)*(100%-'Données projet'!$C$26)*(100%-'Données projet'!$C$27)</f>
        <v>0</v>
      </c>
      <c r="L7" s="150">
        <f t="shared" ref="L7:L15" ca="1" si="2">G7+I7+K7</f>
        <v>7.2240602461504819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1" t="str">
        <f>IF('Données projet'!$B$11="","",'Données projet'!$B$11)</f>
        <v/>
      </c>
      <c r="B8" s="152">
        <f>'Données projet'!D11</f>
        <v>0</v>
      </c>
      <c r="C8" s="145">
        <f>IF(OR('Données projet'!B11="",'Données projet'!C11="",'Données projet'!C11=0%),0,Calculateur!BI3)</f>
        <v>0</v>
      </c>
      <c r="D8" s="145">
        <f>IF(OR('Données projet'!B11="",'Données projet'!C11="",'Données projet'!C11=0%),0,Calculateur!BJ3)</f>
        <v>0</v>
      </c>
      <c r="E8" s="145">
        <f t="shared" si="0"/>
        <v>0</v>
      </c>
      <c r="F8" s="145">
        <f t="shared" si="1"/>
        <v>0</v>
      </c>
      <c r="G8" s="145">
        <f>F8*(100%-'Données projet'!$C$24)*(100%-'Données projet'!$C$25)*(100%-'Données projet'!$C$26)*(100%-'Données projet'!$C$27)</f>
        <v>0</v>
      </c>
      <c r="H8" s="153">
        <f>IF(OR('Données projet'!B11="",'Données projet'!C11="",'Données projet'!C11=0%),0,AVERAGE(Calculateur!$BS$3:$BS$33)*B8)</f>
        <v>0</v>
      </c>
      <c r="I8" s="147">
        <f>H8*(100%-'Données projet'!$C$24)*(100%-'Données projet'!$C$25)*(100%-'Données projet'!$C$26)*(100%-'Données projet'!$C$27)</f>
        <v>0</v>
      </c>
      <c r="J8" s="148">
        <f>IF(OR('Données projet'!B11="",'Données projet'!C11="",'Données projet'!C11=0%),0,SUM(Calculateur!$BL$3:$BL$33)*VLOOKUP('Données projet'!$B$11,Paramètres!$A$1:$I$89,9,0)*B8)</f>
        <v>0</v>
      </c>
      <c r="K8" s="149">
        <f>J8*(100%-'Données projet'!$C$24)*(100%-'Données projet'!$C$25)*(100%-'Données projet'!$C$26)*(100%-'Données projet'!$C$27)</f>
        <v>0</v>
      </c>
      <c r="L8" s="150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1" t="str">
        <f>IF('Données projet'!$B$12="","",'Données projet'!$B$12)</f>
        <v/>
      </c>
      <c r="B9" s="152">
        <f>'Données projet'!D12</f>
        <v>0</v>
      </c>
      <c r="C9" s="145">
        <f>IF(OR('Données projet'!B12="",'Données projet'!C12="",'Données projet'!C12=0%),0,Calculateur!CD3)</f>
        <v>0</v>
      </c>
      <c r="D9" s="145">
        <f>IF(OR('Données projet'!B12="",'Données projet'!C12="",'Données projet'!C12=0%),0,Calculateur!CE3)</f>
        <v>0</v>
      </c>
      <c r="E9" s="145">
        <f t="shared" si="0"/>
        <v>0</v>
      </c>
      <c r="F9" s="145">
        <f t="shared" si="1"/>
        <v>0</v>
      </c>
      <c r="G9" s="145">
        <f>F9*(100%-'Données projet'!$C$24)*(100%-'Données projet'!$C$25)*(100%-'Données projet'!$C$26)*(100%-'Données projet'!$C$27)</f>
        <v>0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0</v>
      </c>
      <c r="K9" s="149">
        <f>J9*(100%-'Données projet'!$C$24)*(100%-'Données projet'!$C$25)*(100%-'Données projet'!$C$26)*(100%-'Données projet'!$C$27)</f>
        <v>0</v>
      </c>
      <c r="L9" s="150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1" t="str">
        <f>IF('Données projet'!$B$13="","",'Données projet'!$B$13)</f>
        <v/>
      </c>
      <c r="B10" s="152">
        <f>'Données projet'!D13</f>
        <v>0</v>
      </c>
      <c r="C10" s="145">
        <f>IF(OR('Données projet'!B13="",'Données projet'!C13="",'Données projet'!C13=0%),0,Calculateur!CY3)</f>
        <v>0</v>
      </c>
      <c r="D10" s="145">
        <f>IF(OR('Données projet'!B13="",'Données projet'!C13="",'Données projet'!C13=0%),0,Calculateur!CZ3)</f>
        <v>0</v>
      </c>
      <c r="E10" s="145">
        <f t="shared" si="0"/>
        <v>0</v>
      </c>
      <c r="F10" s="145">
        <f t="shared" si="1"/>
        <v>0</v>
      </c>
      <c r="G10" s="145">
        <f>F10*(100%-'Données projet'!$C$24)*(100%-'Données projet'!$C$25)*(100%-'Données projet'!$C$26)*(100%-'Données projet'!$C$27)</f>
        <v>0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0</v>
      </c>
      <c r="K10" s="149">
        <f>J10*(100%-'Données projet'!$C$24)*(100%-'Données projet'!$C$25)*(100%-'Données projet'!$C$26)*(100%-'Données projet'!$C$27)</f>
        <v>0</v>
      </c>
      <c r="L10" s="150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1" t="str">
        <f>IF('Données projet'!$B$14="","",'Données projet'!$B$14)</f>
        <v/>
      </c>
      <c r="B11" s="152">
        <f>'Données projet'!D14</f>
        <v>0</v>
      </c>
      <c r="C11" s="145">
        <f>IF(OR('Données projet'!B14="",'Données projet'!C14="",'Données projet'!C14=0%),0,Calculateur!DT3)</f>
        <v>0</v>
      </c>
      <c r="D11" s="145">
        <f>IF(OR('Données projet'!B14="",'Données projet'!C14="",'Données projet'!C14=0%),0,Calculateur!DU3)</f>
        <v>0</v>
      </c>
      <c r="E11" s="145">
        <f t="shared" si="0"/>
        <v>0</v>
      </c>
      <c r="F11" s="145">
        <f t="shared" si="1"/>
        <v>0</v>
      </c>
      <c r="G11" s="145">
        <f>F11*(100%-'Données projet'!$C$24)*(100%-'Données projet'!$C$25)*(100%-'Données projet'!$C$26)*(100%-'Données projet'!$C$27)</f>
        <v>0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0</v>
      </c>
      <c r="K11" s="149">
        <f>J11*(100%-'Données projet'!$C$24)*(100%-'Données projet'!$C$25)*(100%-'Données projet'!$C$26)*(100%-'Données projet'!$C$27)</f>
        <v>0</v>
      </c>
      <c r="L11" s="150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1" t="str">
        <f>IF('Données projet'!$B$15="","",'Données projet'!$B$15)</f>
        <v/>
      </c>
      <c r="B12" s="152">
        <f>'Données projet'!D15</f>
        <v>0</v>
      </c>
      <c r="C12" s="145">
        <f>IF(OR('Données projet'!B15="",'Données projet'!C15="",'Données projet'!C15=0%),0,Calculateur!EO3)</f>
        <v>0</v>
      </c>
      <c r="D12" s="145">
        <f>IF(OR('Données projet'!B15="",'Données projet'!C15="",'Données projet'!C15=0%),0,Calculateur!EP3)</f>
        <v>0</v>
      </c>
      <c r="E12" s="145">
        <f t="shared" si="0"/>
        <v>0</v>
      </c>
      <c r="F12" s="145">
        <f t="shared" si="1"/>
        <v>0</v>
      </c>
      <c r="G12" s="145">
        <f>F12*(100%-'Données projet'!$C$24)*(100%-'Données projet'!$C$25)*(100%-'Données projet'!$C$26)*(100%-'Données projet'!$C$27)</f>
        <v>0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0</v>
      </c>
      <c r="K12" s="149">
        <f>J12*(100%-'Données projet'!$C$24)*(100%-'Données projet'!$C$25)*(100%-'Données projet'!$C$26)*(100%-'Données projet'!$C$27)</f>
        <v>0</v>
      </c>
      <c r="L12" s="150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7"/>
      <c r="B16" s="211"/>
      <c r="C16" s="212"/>
      <c r="D16" s="23"/>
      <c r="E16" s="23"/>
      <c r="F16" s="163">
        <f t="shared" ref="F16:L16" ca="1" si="3">SUM(F6:F15)</f>
        <v>427.64425600963659</v>
      </c>
      <c r="G16" s="164">
        <f t="shared" ca="1" si="3"/>
        <v>261.7182846778976</v>
      </c>
      <c r="H16" s="165">
        <f t="shared" si="3"/>
        <v>48.385320116735244</v>
      </c>
      <c r="I16" s="165">
        <f t="shared" si="3"/>
        <v>29.611815911441976</v>
      </c>
      <c r="J16" s="166">
        <f t="shared" si="3"/>
        <v>730.76501783999993</v>
      </c>
      <c r="K16" s="166">
        <f t="shared" si="3"/>
        <v>447.22819091808003</v>
      </c>
      <c r="L16" s="167">
        <f t="shared" ca="1" si="3"/>
        <v>738.55829150741965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7"/>
      <c r="B17" s="211"/>
      <c r="C17" s="212"/>
      <c r="D17" s="23"/>
      <c r="E17" s="23"/>
      <c r="F17" s="293" t="s">
        <v>246</v>
      </c>
      <c r="G17" s="294"/>
      <c r="H17" s="294"/>
      <c r="I17" s="294"/>
      <c r="J17" s="294"/>
      <c r="K17" s="294"/>
      <c r="L17" s="29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7"/>
      <c r="B18" s="211"/>
      <c r="C18" s="212"/>
      <c r="D18" s="23"/>
      <c r="E18" s="23"/>
      <c r="F18" s="280"/>
      <c r="G18" s="280"/>
      <c r="H18" s="280"/>
      <c r="I18" s="280"/>
      <c r="J18" s="280"/>
      <c r="K18" s="280"/>
      <c r="L18" s="28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68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68" t="str">
        <f>A7</f>
        <v>Chêne-liège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68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68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68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68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68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6" zoomScale="90" zoomScaleNormal="90" workbookViewId="0">
      <selection activeCell="I16" sqref="I16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08984375" style="1" bestFit="1" customWidth="1"/>
    <col min="4" max="5" width="11.453125" style="1"/>
    <col min="6" max="6" width="14" style="1" customWidth="1"/>
    <col min="7" max="7" width="17.453125" style="1" customWidth="1"/>
    <col min="8" max="8" width="21.63281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089843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81" t="s">
        <v>272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67" t="s">
        <v>315</v>
      </c>
      <c r="I4" s="267"/>
      <c r="K4" s="309" t="s">
        <v>253</v>
      </c>
      <c r="L4" s="310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1" t="s">
        <v>310</v>
      </c>
      <c r="S7" s="302"/>
      <c r="T7" s="302"/>
      <c r="U7" s="302"/>
      <c r="V7" s="303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Pin maritime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6">
        <f>'Données projet'!D9</f>
        <v>2.8022279999999999</v>
      </c>
      <c r="V10" s="175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Chêne-liège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6">
        <f>'Données projet'!D10</f>
        <v>5.7771999999999997E-2</v>
      </c>
      <c r="V11" s="175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/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6">
        <f>'Données projet'!D11</f>
        <v>0</v>
      </c>
      <c r="V12" s="175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/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6">
        <f>'Données projet'!D12</f>
        <v>0</v>
      </c>
      <c r="V13" s="175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165</v>
      </c>
      <c r="B14" s="172" t="str">
        <f>IF('Données projet'!$B$9="","",'Données projet'!$B$9)</f>
        <v>Pin maritime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/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6">
        <f>'Données projet'!D13</f>
        <v>0</v>
      </c>
      <c r="V14" s="175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28"/>
      <c r="G15" s="312" t="s">
        <v>318</v>
      </c>
      <c r="H15" s="188">
        <v>0</v>
      </c>
      <c r="I15" s="189">
        <v>0</v>
      </c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/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6">
        <f>'Données projet'!D14</f>
        <v>0</v>
      </c>
      <c r="V15" s="175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312"/>
      <c r="H16" s="188"/>
      <c r="I16" s="189"/>
      <c r="J16" s="200"/>
      <c r="K16" s="206"/>
      <c r="L16" s="309" t="s">
        <v>254</v>
      </c>
      <c r="M16" s="310"/>
      <c r="N16" s="2"/>
      <c r="O16" s="23"/>
      <c r="P16" s="23"/>
      <c r="Q16" s="232"/>
      <c r="R16" s="23"/>
      <c r="S16" s="36" t="str">
        <f>B200</f>
        <v/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6">
        <f>'Données projet'!D15</f>
        <v>0</v>
      </c>
      <c r="V16" s="175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7" t="s">
        <v>132</v>
      </c>
      <c r="C17" s="196" t="s">
        <v>132</v>
      </c>
      <c r="D17" s="195" t="s">
        <v>132</v>
      </c>
      <c r="E17" s="191"/>
      <c r="F17" s="228"/>
      <c r="G17" s="312"/>
      <c r="J17" s="200"/>
      <c r="K17" s="206"/>
      <c r="L17" s="269" t="s">
        <v>289</v>
      </c>
      <c r="M17" s="271"/>
      <c r="N17" s="173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2"/>
      <c r="R17" s="23"/>
      <c r="S17" s="36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312"/>
      <c r="J18" s="200"/>
      <c r="K18" s="206"/>
      <c r="L18" s="269" t="s">
        <v>255</v>
      </c>
      <c r="M18" s="271"/>
      <c r="N18" s="190"/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312"/>
      <c r="H19" s="210" t="s">
        <v>178</v>
      </c>
      <c r="I19" s="210" t="s">
        <v>287</v>
      </c>
      <c r="J19" s="91"/>
      <c r="K19" s="171"/>
      <c r="L19" s="309" t="s">
        <v>288</v>
      </c>
      <c r="M19" s="310"/>
      <c r="N19" s="177">
        <f>N17*N18</f>
        <v>0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312"/>
      <c r="H20" s="188">
        <v>0</v>
      </c>
      <c r="I20" s="189"/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/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/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78">
        <f>'Données projet'!A36</f>
        <v>11</v>
      </c>
      <c r="B23" s="179">
        <f>'Données projet'!D36</f>
        <v>0</v>
      </c>
      <c r="C23" s="191"/>
      <c r="D23" s="180">
        <f>B23*C23</f>
        <v>0</v>
      </c>
      <c r="E23" s="191"/>
      <c r="F23" s="228"/>
      <c r="H23" s="188">
        <v>3</v>
      </c>
      <c r="I23" s="189"/>
      <c r="K23" s="206"/>
      <c r="L23" s="311" t="s">
        <v>260</v>
      </c>
      <c r="M23" s="311"/>
      <c r="N23" s="311"/>
      <c r="O23" s="23"/>
      <c r="P23" s="23"/>
      <c r="Q23" s="232"/>
      <c r="R23" s="23"/>
      <c r="S23" s="36" t="s">
        <v>264</v>
      </c>
      <c r="T23" s="30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06"/>
      <c r="V23" s="306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78">
        <f>'Données projet'!A37</f>
        <v>12</v>
      </c>
      <c r="B24" s="179">
        <f>'Données projet'!D37</f>
        <v>34</v>
      </c>
      <c r="C24" s="191"/>
      <c r="D24" s="180">
        <f t="shared" ref="D24:D42" si="2">B24*C24</f>
        <v>0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">
        <v>261</v>
      </c>
      <c r="T24" s="307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7"/>
      <c r="V24" s="307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78">
        <f>'Données projet'!A38</f>
        <v>13</v>
      </c>
      <c r="B25" s="179">
        <f>'Données projet'!D38</f>
        <v>0</v>
      </c>
      <c r="C25" s="191"/>
      <c r="D25" s="180">
        <f t="shared" si="2"/>
        <v>0</v>
      </c>
      <c r="E25" s="191"/>
      <c r="F25" s="231"/>
      <c r="H25" s="188">
        <v>5</v>
      </c>
      <c r="I25" s="189"/>
      <c r="K25" s="206"/>
      <c r="L25" s="128" t="s">
        <v>285</v>
      </c>
      <c r="M25" s="128"/>
      <c r="N25" s="128"/>
      <c r="O25" s="128"/>
      <c r="P25" s="190"/>
      <c r="Q25" s="232"/>
      <c r="R25" s="23"/>
      <c r="S25" s="184" t="s">
        <v>266</v>
      </c>
      <c r="T25" s="308">
        <f ca="1">T23-T24</f>
        <v>0</v>
      </c>
      <c r="U25" s="308"/>
      <c r="V25" s="308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78">
        <f>'Données projet'!A39</f>
        <v>14</v>
      </c>
      <c r="B26" s="179">
        <f>'Données projet'!D39</f>
        <v>0</v>
      </c>
      <c r="C26" s="191"/>
      <c r="D26" s="180">
        <f t="shared" si="2"/>
        <v>0</v>
      </c>
      <c r="E26" s="191"/>
      <c r="F26" s="231"/>
      <c r="G26" s="227"/>
      <c r="H26" s="188"/>
      <c r="I26" s="189"/>
      <c r="K26" s="206"/>
      <c r="L26" s="295" t="s">
        <v>258</v>
      </c>
      <c r="M26" s="296"/>
      <c r="N26" s="296"/>
      <c r="O26" s="296"/>
      <c r="P26" s="297"/>
      <c r="Q26" s="232"/>
      <c r="R26" s="23"/>
      <c r="S26" s="184" t="s">
        <v>265</v>
      </c>
      <c r="T26" s="305" t="str">
        <f ca="1">IF(T25&lt;0,"Votre projet est additionnel","Votre projet n'est pas additionnel")</f>
        <v>Votre projet n'est pas additionnel</v>
      </c>
      <c r="U26" s="305"/>
      <c r="V26" s="305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78">
        <f>'Données projet'!A40</f>
        <v>15</v>
      </c>
      <c r="B27" s="179">
        <f>'Données projet'!D40</f>
        <v>0</v>
      </c>
      <c r="C27" s="191"/>
      <c r="D27" s="180">
        <f t="shared" si="2"/>
        <v>0</v>
      </c>
      <c r="E27" s="191"/>
      <c r="F27" s="231"/>
      <c r="G27" s="227"/>
      <c r="H27" s="188"/>
      <c r="I27" s="189"/>
      <c r="K27" s="206"/>
      <c r="L27" s="298"/>
      <c r="M27" s="299"/>
      <c r="N27" s="299"/>
      <c r="O27" s="299"/>
      <c r="P27" s="300"/>
      <c r="Q27" s="232"/>
      <c r="R27" s="23"/>
      <c r="S27" s="304" t="s">
        <v>267</v>
      </c>
      <c r="T27" s="304"/>
      <c r="U27" s="304"/>
      <c r="V27" s="30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78">
        <f>'Données projet'!A41</f>
        <v>16</v>
      </c>
      <c r="B28" s="179">
        <f>'Données projet'!D41</f>
        <v>0</v>
      </c>
      <c r="C28" s="191"/>
      <c r="D28" s="180">
        <f t="shared" si="2"/>
        <v>0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78">
        <f>'Données projet'!A42</f>
        <v>17</v>
      </c>
      <c r="B29" s="179">
        <f>'Données projet'!D42</f>
        <v>43</v>
      </c>
      <c r="C29" s="191"/>
      <c r="D29" s="180">
        <f t="shared" si="2"/>
        <v>0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78">
        <f>'Données projet'!A43</f>
        <v>18</v>
      </c>
      <c r="B30" s="179">
        <f>'Données projet'!D43</f>
        <v>0</v>
      </c>
      <c r="C30" s="191"/>
      <c r="D30" s="180">
        <f t="shared" si="2"/>
        <v>0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78">
        <f>'Données projet'!A44</f>
        <v>19</v>
      </c>
      <c r="B31" s="179">
        <f>'Données projet'!D44</f>
        <v>0</v>
      </c>
      <c r="C31" s="191"/>
      <c r="D31" s="180">
        <f t="shared" si="2"/>
        <v>0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78">
        <f>'Données projet'!A45</f>
        <v>20</v>
      </c>
      <c r="B32" s="179">
        <f>'Données projet'!D45</f>
        <v>0</v>
      </c>
      <c r="C32" s="191"/>
      <c r="D32" s="180">
        <f t="shared" si="2"/>
        <v>0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78">
        <f>'Données projet'!A46</f>
        <v>21</v>
      </c>
      <c r="B33" s="179">
        <f>'Données projet'!D46</f>
        <v>0</v>
      </c>
      <c r="C33" s="191"/>
      <c r="D33" s="180">
        <f t="shared" si="2"/>
        <v>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78">
        <f>'Données projet'!A47</f>
        <v>22</v>
      </c>
      <c r="B34" s="179">
        <f>'Données projet'!D47</f>
        <v>56</v>
      </c>
      <c r="C34" s="191"/>
      <c r="D34" s="180">
        <f t="shared" si="2"/>
        <v>0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78">
        <f>'Données projet'!A48</f>
        <v>23</v>
      </c>
      <c r="B35" s="179">
        <f>'Données projet'!D48</f>
        <v>0</v>
      </c>
      <c r="C35" s="191"/>
      <c r="D35" s="180">
        <f t="shared" si="2"/>
        <v>0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78">
        <f>'Données projet'!A49</f>
        <v>24</v>
      </c>
      <c r="B36" s="179">
        <f>'Données projet'!D49</f>
        <v>0</v>
      </c>
      <c r="C36" s="191"/>
      <c r="D36" s="180">
        <f t="shared" si="2"/>
        <v>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78">
        <f>'Données projet'!A50</f>
        <v>25</v>
      </c>
      <c r="B37" s="179">
        <f>'Données projet'!D50</f>
        <v>0</v>
      </c>
      <c r="C37" s="191"/>
      <c r="D37" s="180">
        <f t="shared" si="2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78">
        <f>'Données projet'!A51</f>
        <v>26</v>
      </c>
      <c r="B38" s="179">
        <f>'Données projet'!D51</f>
        <v>0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78">
        <f>'Données projet'!A52</f>
        <v>27</v>
      </c>
      <c r="B39" s="179">
        <f>'Données projet'!D52</f>
        <v>0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78">
        <f>'Données projet'!A53</f>
        <v>28</v>
      </c>
      <c r="B40" s="179">
        <f>'Données projet'!D53</f>
        <v>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78">
        <f>'Données projet'!A54</f>
        <v>29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78">
        <f>'Données projet'!A55</f>
        <v>30</v>
      </c>
      <c r="B42" s="179">
        <f>'Données projet'!D55</f>
        <v>309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166</v>
      </c>
      <c r="B45" s="172" t="str">
        <f>IF('Données projet'!$B$10="","",'Données projet'!$B$10)</f>
        <v>Chêne-liège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7" t="s">
        <v>132</v>
      </c>
      <c r="C48" s="196" t="s">
        <v>132</v>
      </c>
      <c r="D48" s="195" t="s">
        <v>132</v>
      </c>
      <c r="E48" s="191"/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5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5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78">
        <f>'Données projet'!A62</f>
        <v>10</v>
      </c>
      <c r="B54" s="179">
        <f>'Données projet'!D62</f>
        <v>0</v>
      </c>
      <c r="C54" s="189"/>
      <c r="D54" s="177">
        <f>B54*C54</f>
        <v>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0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78">
        <f>'Données projet'!A63</f>
        <v>15</v>
      </c>
      <c r="B55" s="179">
        <f>'Données projet'!D63</f>
        <v>0</v>
      </c>
      <c r="C55" s="189"/>
      <c r="D55" s="177">
        <f t="shared" ref="D55:D73" si="4">B55*C55</f>
        <v>0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0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78">
        <f>'Données projet'!A64</f>
        <v>20</v>
      </c>
      <c r="B56" s="179">
        <f>'Données projet'!D64</f>
        <v>0</v>
      </c>
      <c r="C56" s="189"/>
      <c r="D56" s="177">
        <f t="shared" si="4"/>
        <v>0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0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78">
        <f>'Données projet'!A65</f>
        <v>25</v>
      </c>
      <c r="B57" s="179">
        <f>'Données projet'!D65</f>
        <v>0</v>
      </c>
      <c r="C57" s="189"/>
      <c r="D57" s="177">
        <f t="shared" si="4"/>
        <v>0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0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78">
        <f>'Données projet'!A66</f>
        <v>30</v>
      </c>
      <c r="B58" s="179">
        <f>'Données projet'!D66</f>
        <v>0</v>
      </c>
      <c r="C58" s="189"/>
      <c r="D58" s="177">
        <f t="shared" si="4"/>
        <v>0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0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78">
        <f>'Données projet'!A67</f>
        <v>35</v>
      </c>
      <c r="B59" s="179">
        <f>'Données projet'!D67</f>
        <v>0</v>
      </c>
      <c r="C59" s="189"/>
      <c r="D59" s="177">
        <f t="shared" si="4"/>
        <v>0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>
        <f>IF(O58+1&lt;=MIN('Données projet'!$E$9:$E$18),O58+1,"STOP")</f>
        <v>26</v>
      </c>
      <c r="P59" s="183">
        <f t="shared" si="3"/>
        <v>0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78">
        <f>'Données projet'!A68</f>
        <v>40</v>
      </c>
      <c r="B60" s="179">
        <f>'Données projet'!D68</f>
        <v>0</v>
      </c>
      <c r="C60" s="189"/>
      <c r="D60" s="177">
        <f t="shared" si="4"/>
        <v>0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>
        <f>IF(O59+1&lt;=MIN('Données projet'!$E$9:$E$18),O59+1,"STOP")</f>
        <v>27</v>
      </c>
      <c r="P60" s="183">
        <f t="shared" si="3"/>
        <v>0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78">
        <f>'Données projet'!A69</f>
        <v>45</v>
      </c>
      <c r="B61" s="179">
        <f>'Données projet'!D69</f>
        <v>0</v>
      </c>
      <c r="C61" s="189"/>
      <c r="D61" s="177">
        <f t="shared" si="4"/>
        <v>0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>
        <f>IF(O60+1&lt;=MIN('Données projet'!$E$9:$E$18),O60+1,"STOP")</f>
        <v>28</v>
      </c>
      <c r="P61" s="183">
        <f t="shared" si="3"/>
        <v>0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78">
        <f>'Données projet'!A70</f>
        <v>50</v>
      </c>
      <c r="B62" s="179">
        <f>'Données projet'!D70</f>
        <v>0</v>
      </c>
      <c r="C62" s="189"/>
      <c r="D62" s="177">
        <f t="shared" si="4"/>
        <v>0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>
        <f>IF(O61+1&lt;=MIN('Données projet'!$E$9:$E$18),O61+1,"STOP")</f>
        <v>29</v>
      </c>
      <c r="P62" s="183">
        <f t="shared" si="3"/>
        <v>0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78">
        <f>'Données projet'!A71</f>
        <v>55</v>
      </c>
      <c r="B63" s="179">
        <f>'Données projet'!D71</f>
        <v>0</v>
      </c>
      <c r="C63" s="189"/>
      <c r="D63" s="177">
        <f t="shared" si="4"/>
        <v>0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>
        <f>IF(O62+1&lt;=MIN('Données projet'!$E$9:$E$18),O62+1,"STOP")</f>
        <v>30</v>
      </c>
      <c r="P63" s="183">
        <f t="shared" si="3"/>
        <v>0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78">
        <f>'Données projet'!A72</f>
        <v>60</v>
      </c>
      <c r="B64" s="179">
        <f>'Données projet'!D72</f>
        <v>0</v>
      </c>
      <c r="C64" s="189"/>
      <c r="D64" s="177">
        <f t="shared" si="4"/>
        <v>0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 t="str">
        <f>IF(O63+1&lt;=MIN('Données projet'!$E$9:$E$18),O63+1,"STOP")</f>
        <v>STOP</v>
      </c>
      <c r="P64" s="183" t="e">
        <f t="shared" si="3"/>
        <v>#VALUE!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78">
        <f>'Données projet'!A73</f>
        <v>0</v>
      </c>
      <c r="B65" s="179">
        <f>'Données projet'!D73</f>
        <v>0</v>
      </c>
      <c r="C65" s="189"/>
      <c r="D65" s="177">
        <f t="shared" si="4"/>
        <v>0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 t="e">
        <f>IF(O64+1&lt;=MIN('Données projet'!$E$9:$E$18),O64+1,"STOP")</f>
        <v>#VALUE!</v>
      </c>
      <c r="P65" s="183" t="e">
        <f t="shared" ref="P65:P96" si="5">$P$25/(1+$M$4)^O65</f>
        <v>#VALUE!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78">
        <f>'Données projet'!A74</f>
        <v>0</v>
      </c>
      <c r="B66" s="179">
        <f>'Données projet'!D74</f>
        <v>0</v>
      </c>
      <c r="C66" s="189"/>
      <c r="D66" s="177">
        <f t="shared" si="4"/>
        <v>0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 t="e">
        <f>IF(O65+1&lt;=MIN('Données projet'!$E$9:$E$18),O65+1,"STOP")</f>
        <v>#VALUE!</v>
      </c>
      <c r="P66" s="183" t="e">
        <f t="shared" si="5"/>
        <v>#VALUE!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78">
        <f>'Données projet'!A75</f>
        <v>0</v>
      </c>
      <c r="B67" s="179">
        <f>'Données projet'!D75</f>
        <v>0</v>
      </c>
      <c r="C67" s="189"/>
      <c r="D67" s="177">
        <f t="shared" si="4"/>
        <v>0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 t="e">
        <f>IF(O66+1&lt;=MIN('Données projet'!$E$9:$E$18),O66+1,"STOP")</f>
        <v>#VALUE!</v>
      </c>
      <c r="P67" s="183" t="e">
        <f t="shared" si="5"/>
        <v>#VALUE!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78">
        <f>'Données projet'!A76</f>
        <v>0</v>
      </c>
      <c r="B68" s="179">
        <f>'Données projet'!D76</f>
        <v>0</v>
      </c>
      <c r="C68" s="189"/>
      <c r="D68" s="177">
        <f t="shared" si="4"/>
        <v>0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 t="e">
        <f>IF(O67+1&lt;=MIN('Données projet'!$E$9:$E$18),O67+1,"STOP")</f>
        <v>#VALUE!</v>
      </c>
      <c r="P68" s="183" t="e">
        <f t="shared" si="5"/>
        <v>#VALUE!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78">
        <f>'Données projet'!A77</f>
        <v>0</v>
      </c>
      <c r="B69" s="179">
        <f>'Données projet'!D77</f>
        <v>0</v>
      </c>
      <c r="C69" s="189"/>
      <c r="D69" s="177">
        <f t="shared" si="4"/>
        <v>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 t="e">
        <f>IF(O68+1&lt;=MIN('Données projet'!$E$9:$E$18),O68+1,"STOP")</f>
        <v>#VALUE!</v>
      </c>
      <c r="P69" s="183" t="e">
        <f t="shared" si="5"/>
        <v>#VALUE!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78">
        <f>'Données projet'!A78</f>
        <v>0</v>
      </c>
      <c r="B70" s="179">
        <f>'Données projet'!D78</f>
        <v>0</v>
      </c>
      <c r="C70" s="189"/>
      <c r="D70" s="177">
        <f t="shared" si="4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 t="e">
        <f>IF(O69+1&lt;=MIN('Données projet'!$E$9:$E$18),O69+1,"STOP")</f>
        <v>#VALUE!</v>
      </c>
      <c r="P70" s="183" t="e">
        <f t="shared" si="5"/>
        <v>#VALUE!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78">
        <f>'Données projet'!A79</f>
        <v>0</v>
      </c>
      <c r="B71" s="179">
        <f>'Données projet'!D79</f>
        <v>0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 t="e">
        <f>IF(O70+1&lt;=MIN('Données projet'!$E$9:$E$18),O70+1,"STOP")</f>
        <v>#VALUE!</v>
      </c>
      <c r="P71" s="183" t="e">
        <f t="shared" si="5"/>
        <v>#VALUE!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78">
        <f>'Données projet'!A80</f>
        <v>0</v>
      </c>
      <c r="B72" s="179">
        <f>'Données projet'!D80</f>
        <v>0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 t="e">
        <f>IF(O71+1&lt;=MIN('Données projet'!$E$9:$E$18),O71+1,"STOP")</f>
        <v>#VALUE!</v>
      </c>
      <c r="P72" s="183" t="e">
        <f t="shared" si="5"/>
        <v>#VALUE!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 t="e">
        <f>IF(O72+1&lt;=MIN('Données projet'!$E$9:$E$18),O72+1,"STOP")</f>
        <v>#VALUE!</v>
      </c>
      <c r="P73" s="183" t="e">
        <f t="shared" si="5"/>
        <v>#VALUE!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 t="e">
        <f>IF(O73+1&lt;=MIN('Données projet'!$E$9:$E$18),O73+1,"STOP")</f>
        <v>#VALUE!</v>
      </c>
      <c r="P74" s="183" t="e">
        <f t="shared" si="5"/>
        <v>#VALUE!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 t="e">
        <f>IF(O74+1&lt;=MIN('Données projet'!$E$9:$E$18),O74+1,"STOP")</f>
        <v>#VALUE!</v>
      </c>
      <c r="P75" s="183" t="e">
        <f t="shared" si="5"/>
        <v>#VALUE!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167</v>
      </c>
      <c r="B76" s="172" t="str">
        <f>IF('Données projet'!B11="","",'Données projet'!B11)</f>
        <v/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 t="e">
        <f>IF(O75+1&lt;=MIN('Données projet'!$E$9:$E$18),O75+1,"STOP")</f>
        <v>#VALUE!</v>
      </c>
      <c r="P76" s="183" t="e">
        <f t="shared" si="5"/>
        <v>#VALUE!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 t="e">
        <f>IF(O76+1&lt;=MIN('Données projet'!$E$9:$E$18),O76+1,"STOP")</f>
        <v>#VALUE!</v>
      </c>
      <c r="P77" s="183" t="e">
        <f t="shared" si="5"/>
        <v>#VALUE!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 t="e">
        <f>IF(O77+1&lt;=MIN('Données projet'!$E$9:$E$18),O77+1,"STOP")</f>
        <v>#VALUE!</v>
      </c>
      <c r="P78" s="183" t="e">
        <f t="shared" si="5"/>
        <v>#VALUE!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7" t="s">
        <v>132</v>
      </c>
      <c r="C79" s="196" t="s">
        <v>132</v>
      </c>
      <c r="D79" s="195" t="s">
        <v>132</v>
      </c>
      <c r="E79" s="191"/>
      <c r="F79" s="229"/>
      <c r="G79" s="204"/>
      <c r="H79" s="188"/>
      <c r="I79" s="189"/>
      <c r="J79" s="4"/>
      <c r="K79" s="171"/>
      <c r="L79" s="4"/>
      <c r="M79" s="4"/>
      <c r="N79" s="4"/>
      <c r="O79" s="192" t="e">
        <f>IF(O78+1&lt;=MIN('Données projet'!$E$9:$E$18),O78+1,"STOP")</f>
        <v>#VALUE!</v>
      </c>
      <c r="P79" s="183" t="e">
        <f t="shared" si="5"/>
        <v>#VALUE!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 t="e">
        <f>IF(O79+1&lt;=MIN('Données projet'!$E$9:$E$18),O79+1,"STOP")</f>
        <v>#VALUE!</v>
      </c>
      <c r="P80" s="183" t="e">
        <f t="shared" si="5"/>
        <v>#VALUE!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 t="e">
        <f>IF(O80+1&lt;=MIN('Données projet'!$E$9:$E$18),O80+1,"STOP")</f>
        <v>#VALUE!</v>
      </c>
      <c r="P81" s="183" t="e">
        <f t="shared" si="5"/>
        <v>#VALUE!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 t="e">
        <f>IF(O81+1&lt;=MIN('Données projet'!$E$9:$E$18),O81+1,"STOP")</f>
        <v>#VALUE!</v>
      </c>
      <c r="P82" s="183" t="e">
        <f t="shared" si="5"/>
        <v>#VALUE!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 t="e">
        <f>IF(O82+1&lt;=MIN('Données projet'!$E$9:$E$18),O82+1,"STOP")</f>
        <v>#VALUE!</v>
      </c>
      <c r="P83" s="183" t="e">
        <f t="shared" si="5"/>
        <v>#VALUE!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 t="e">
        <f>IF(O83+1&lt;=MIN('Données projet'!$E$9:$E$18),O83+1,"STOP")</f>
        <v>#VALUE!</v>
      </c>
      <c r="P84" s="183" t="e">
        <f t="shared" si="5"/>
        <v>#VALUE!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78">
        <f>'Données projet'!A88</f>
        <v>0</v>
      </c>
      <c r="B85" s="179">
        <f>'Données projet'!D88</f>
        <v>0</v>
      </c>
      <c r="C85" s="189"/>
      <c r="D85" s="177">
        <f>B85*C85</f>
        <v>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 t="e">
        <f>IF(O84+1&lt;=MIN('Données projet'!$E$9:$E$18),O84+1,"STOP")</f>
        <v>#VALUE!</v>
      </c>
      <c r="P85" s="183" t="e">
        <f t="shared" si="5"/>
        <v>#VALUE!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78">
        <f>'Données projet'!A89</f>
        <v>0</v>
      </c>
      <c r="B86" s="179">
        <f>'Données projet'!D89</f>
        <v>0</v>
      </c>
      <c r="C86" s="189"/>
      <c r="D86" s="177">
        <f t="shared" ref="D86:D104" si="6">B86*C86</f>
        <v>0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 t="e">
        <f>IF(O85+1&lt;=MIN('Données projet'!$E$9:$E$18),O85+1,"STOP")</f>
        <v>#VALUE!</v>
      </c>
      <c r="P86" s="183" t="e">
        <f t="shared" si="5"/>
        <v>#VALUE!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78">
        <f>'Données projet'!A90</f>
        <v>0</v>
      </c>
      <c r="B87" s="179">
        <f>'Données projet'!D90</f>
        <v>0</v>
      </c>
      <c r="C87" s="189"/>
      <c r="D87" s="177">
        <f t="shared" si="6"/>
        <v>0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 t="e">
        <f>IF(O86+1&lt;=MIN('Données projet'!$E$9:$E$18),O86+1,"STOP")</f>
        <v>#VALUE!</v>
      </c>
      <c r="P87" s="183" t="e">
        <f t="shared" si="5"/>
        <v>#VALUE!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78">
        <f>'Données projet'!A91</f>
        <v>0</v>
      </c>
      <c r="B88" s="179">
        <f>'Données projet'!D91</f>
        <v>0</v>
      </c>
      <c r="C88" s="189"/>
      <c r="D88" s="177">
        <f t="shared" si="6"/>
        <v>0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 t="e">
        <f>IF(O87+1&lt;=MIN('Données projet'!$E$9:$E$18),O87+1,"STOP")</f>
        <v>#VALUE!</v>
      </c>
      <c r="P88" s="183" t="e">
        <f t="shared" si="5"/>
        <v>#VALUE!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78">
        <f>'Données projet'!A92</f>
        <v>0</v>
      </c>
      <c r="B89" s="179">
        <f>'Données projet'!D92</f>
        <v>0</v>
      </c>
      <c r="C89" s="189"/>
      <c r="D89" s="177">
        <f t="shared" si="6"/>
        <v>0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 t="e">
        <f>IF(O88+1&lt;=MIN('Données projet'!$E$9:$E$18),O88+1,"STOP")</f>
        <v>#VALUE!</v>
      </c>
      <c r="P89" s="183" t="e">
        <f t="shared" si="5"/>
        <v>#VALUE!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78">
        <f>'Données projet'!A93</f>
        <v>0</v>
      </c>
      <c r="B90" s="179">
        <f>'Données projet'!D93</f>
        <v>0</v>
      </c>
      <c r="C90" s="189"/>
      <c r="D90" s="177">
        <f t="shared" si="6"/>
        <v>0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 t="e">
        <f>IF(O89+1&lt;=MIN('Données projet'!$E$9:$E$18),O89+1,"STOP")</f>
        <v>#VALUE!</v>
      </c>
      <c r="P90" s="183" t="e">
        <f t="shared" si="5"/>
        <v>#VALUE!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78">
        <f>'Données projet'!A94</f>
        <v>0</v>
      </c>
      <c r="B91" s="179">
        <f>'Données projet'!D94</f>
        <v>0</v>
      </c>
      <c r="C91" s="189"/>
      <c r="D91" s="177">
        <f t="shared" si="6"/>
        <v>0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 t="e">
        <f>IF(O90+1&lt;=MIN('Données projet'!$E$9:$E$18),O90+1,"STOP")</f>
        <v>#VALUE!</v>
      </c>
      <c r="P91" s="183" t="e">
        <f t="shared" si="5"/>
        <v>#VALUE!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78">
        <f>'Données projet'!A95</f>
        <v>0</v>
      </c>
      <c r="B92" s="179">
        <f>'Données projet'!D95</f>
        <v>0</v>
      </c>
      <c r="C92" s="189"/>
      <c r="D92" s="177">
        <f t="shared" si="6"/>
        <v>0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 t="e">
        <f>IF(O91+1&lt;=MIN('Données projet'!$E$9:$E$18),O91+1,"STOP")</f>
        <v>#VALUE!</v>
      </c>
      <c r="P92" s="183" t="e">
        <f t="shared" si="5"/>
        <v>#VALUE!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78">
        <f>'Données projet'!A96</f>
        <v>0</v>
      </c>
      <c r="B93" s="179">
        <f>'Données projet'!D96</f>
        <v>0</v>
      </c>
      <c r="C93" s="189"/>
      <c r="D93" s="177">
        <f t="shared" si="6"/>
        <v>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 t="e">
        <f>IF(O92+1&lt;=MIN('Données projet'!$E$9:$E$18),O92+1,"STOP")</f>
        <v>#VALUE!</v>
      </c>
      <c r="P93" s="183" t="e">
        <f t="shared" si="5"/>
        <v>#VALUE!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78">
        <f>'Données projet'!A97</f>
        <v>0</v>
      </c>
      <c r="B94" s="179">
        <f>'Données projet'!D97</f>
        <v>0</v>
      </c>
      <c r="C94" s="189"/>
      <c r="D94" s="177">
        <f t="shared" si="6"/>
        <v>0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 t="e">
        <f>IF(O93+1&lt;=MIN('Données projet'!$E$9:$E$18),O93+1,"STOP")</f>
        <v>#VALUE!</v>
      </c>
      <c r="P94" s="183" t="e">
        <f t="shared" si="5"/>
        <v>#VALUE!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78">
        <f>'Données projet'!A98</f>
        <v>0</v>
      </c>
      <c r="B95" s="179">
        <f>'Données projet'!D98</f>
        <v>0</v>
      </c>
      <c r="C95" s="189"/>
      <c r="D95" s="177">
        <f t="shared" si="6"/>
        <v>0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 t="e">
        <f>IF(O94+1&lt;=MIN('Données projet'!$E$9:$E$18),O94+1,"STOP")</f>
        <v>#VALUE!</v>
      </c>
      <c r="P95" s="183" t="e">
        <f t="shared" si="5"/>
        <v>#VALUE!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78">
        <f>'Données projet'!A99</f>
        <v>0</v>
      </c>
      <c r="B96" s="179">
        <f>'Données projet'!D99</f>
        <v>0</v>
      </c>
      <c r="C96" s="189"/>
      <c r="D96" s="177">
        <f t="shared" si="6"/>
        <v>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 t="e">
        <f>IF(O95+1&lt;=MIN('Données projet'!$E$9:$E$18),O95+1,"STOP")</f>
        <v>#VALUE!</v>
      </c>
      <c r="P96" s="183" t="e">
        <f t="shared" si="5"/>
        <v>#VALUE!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78">
        <f>'Données projet'!A100</f>
        <v>0</v>
      </c>
      <c r="B97" s="179">
        <f>'Données projet'!D100</f>
        <v>0</v>
      </c>
      <c r="C97" s="189"/>
      <c r="D97" s="177">
        <f t="shared" si="6"/>
        <v>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 t="e">
        <f>IF(O96+1&lt;=MIN('Données projet'!$E$9:$E$18),O96+1,"STOP")</f>
        <v>#VALUE!</v>
      </c>
      <c r="P97" s="183" t="e">
        <f t="shared" ref="P97:P128" si="7">$P$25/(1+$M$4)^O97</f>
        <v>#VALUE!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78">
        <f>'Données projet'!A101</f>
        <v>0</v>
      </c>
      <c r="B98" s="179">
        <f>'Données projet'!D101</f>
        <v>0</v>
      </c>
      <c r="C98" s="189"/>
      <c r="D98" s="177">
        <f t="shared" si="6"/>
        <v>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 t="e">
        <f>IF(O97+1&lt;=MIN('Données projet'!$E$9:$E$18),O97+1,"STOP")</f>
        <v>#VALUE!</v>
      </c>
      <c r="P98" s="183" t="e">
        <f t="shared" si="7"/>
        <v>#VALUE!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78">
        <f>'Données projet'!A102</f>
        <v>0</v>
      </c>
      <c r="B99" s="179">
        <f>'Données projet'!D102</f>
        <v>0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 t="e">
        <f>IF(O98+1&lt;=MIN('Données projet'!$E$9:$E$18),O98+1,"STOP")</f>
        <v>#VALUE!</v>
      </c>
      <c r="P99" s="183" t="e">
        <f t="shared" si="7"/>
        <v>#VALUE!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78">
        <f>'Données projet'!A103</f>
        <v>0</v>
      </c>
      <c r="B100" s="179">
        <f>'Données projet'!D103</f>
        <v>0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 t="e">
        <f>IF(O99+1&lt;=MIN('Données projet'!$E$9:$E$18),O99+1,"STOP")</f>
        <v>#VALUE!</v>
      </c>
      <c r="P100" s="183" t="e">
        <f t="shared" si="7"/>
        <v>#VALUE!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78">
        <f>'Données projet'!A104</f>
        <v>0</v>
      </c>
      <c r="B101" s="179">
        <f>'Données projet'!D104</f>
        <v>0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 t="e">
        <f>IF(O100+1&lt;=MIN('Données projet'!$E$9:$E$18),O100+1,"STOP")</f>
        <v>#VALUE!</v>
      </c>
      <c r="P101" s="183" t="e">
        <f t="shared" si="7"/>
        <v>#VALUE!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78">
        <f>'Données projet'!A105</f>
        <v>0</v>
      </c>
      <c r="B102" s="179">
        <f>'Données projet'!D105</f>
        <v>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 t="e">
        <f>IF(O101+1&lt;=MIN('Données projet'!$E$9:$E$18),O101+1,"STOP")</f>
        <v>#VALUE!</v>
      </c>
      <c r="P102" s="183" t="e">
        <f t="shared" si="7"/>
        <v>#VALUE!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78">
        <f>'Données projet'!A106</f>
        <v>0</v>
      </c>
      <c r="B103" s="179">
        <f>'Données projet'!D106</f>
        <v>0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e">
        <f>IF(O102+1&lt;=MIN('Données projet'!$E$9:$E$18),O102+1,"STOP")</f>
        <v>#VALUE!</v>
      </c>
      <c r="P103" s="183" t="e">
        <f t="shared" si="7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168</v>
      </c>
      <c r="B107" s="172" t="str">
        <f>IF('Données projet'!B12="","",'Données projet'!B12)</f>
        <v/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7" t="s">
        <v>132</v>
      </c>
      <c r="C110" s="196" t="s">
        <v>132</v>
      </c>
      <c r="D110" s="195" t="s">
        <v>132</v>
      </c>
      <c r="E110" s="191"/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78">
        <f>'Données projet'!A114</f>
        <v>0</v>
      </c>
      <c r="B116" s="179">
        <f>'Données projet'!D114</f>
        <v>0</v>
      </c>
      <c r="C116" s="189"/>
      <c r="D116" s="177">
        <f>B116*C116</f>
        <v>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78">
        <f>'Données projet'!A115</f>
        <v>0</v>
      </c>
      <c r="B117" s="179">
        <f>'Données projet'!D115</f>
        <v>0</v>
      </c>
      <c r="C117" s="189"/>
      <c r="D117" s="177">
        <f t="shared" ref="D117:D135" si="8">B117*C117</f>
        <v>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78">
        <f>'Données projet'!A116</f>
        <v>0</v>
      </c>
      <c r="B118" s="179">
        <f>'Données projet'!D116</f>
        <v>0</v>
      </c>
      <c r="C118" s="189"/>
      <c r="D118" s="177">
        <f t="shared" si="8"/>
        <v>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78">
        <f>'Données projet'!A117</f>
        <v>0</v>
      </c>
      <c r="B119" s="179">
        <f>'Données projet'!D117</f>
        <v>0</v>
      </c>
      <c r="C119" s="189"/>
      <c r="D119" s="177">
        <f t="shared" si="8"/>
        <v>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78">
        <f>'Données projet'!A118</f>
        <v>0</v>
      </c>
      <c r="B120" s="179">
        <f>'Données projet'!D118</f>
        <v>0</v>
      </c>
      <c r="C120" s="189"/>
      <c r="D120" s="177">
        <f t="shared" si="8"/>
        <v>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78">
        <f>'Données projet'!A119</f>
        <v>0</v>
      </c>
      <c r="B121" s="179">
        <f>'Données projet'!D119</f>
        <v>0</v>
      </c>
      <c r="C121" s="189"/>
      <c r="D121" s="177">
        <f t="shared" si="8"/>
        <v>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78">
        <f>'Données projet'!A120</f>
        <v>0</v>
      </c>
      <c r="B122" s="179">
        <f>'Données projet'!D120</f>
        <v>0</v>
      </c>
      <c r="C122" s="189"/>
      <c r="D122" s="177">
        <f t="shared" si="8"/>
        <v>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78">
        <f>'Données projet'!A121</f>
        <v>0</v>
      </c>
      <c r="B123" s="179">
        <f>'Données projet'!D121</f>
        <v>0</v>
      </c>
      <c r="C123" s="189"/>
      <c r="D123" s="177">
        <f t="shared" si="8"/>
        <v>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78">
        <f>'Données projet'!A122</f>
        <v>0</v>
      </c>
      <c r="B124" s="179">
        <f>'Données projet'!D122</f>
        <v>0</v>
      </c>
      <c r="C124" s="189"/>
      <c r="D124" s="177">
        <f t="shared" si="8"/>
        <v>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78">
        <f>'Données projet'!A123</f>
        <v>0</v>
      </c>
      <c r="B125" s="179">
        <f>'Données projet'!D123</f>
        <v>0</v>
      </c>
      <c r="C125" s="189"/>
      <c r="D125" s="177">
        <f t="shared" si="8"/>
        <v>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78">
        <f>'Données projet'!A124</f>
        <v>0</v>
      </c>
      <c r="B126" s="179">
        <f>'Données projet'!D124</f>
        <v>0</v>
      </c>
      <c r="C126" s="189"/>
      <c r="D126" s="177">
        <f t="shared" si="8"/>
        <v>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78">
        <f>'Données projet'!A125</f>
        <v>0</v>
      </c>
      <c r="B127" s="179">
        <f>'Données projet'!D125</f>
        <v>0</v>
      </c>
      <c r="C127" s="189"/>
      <c r="D127" s="177">
        <f t="shared" si="8"/>
        <v>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78">
        <f>'Données projet'!A126</f>
        <v>0</v>
      </c>
      <c r="B128" s="179">
        <f>'Données projet'!D126</f>
        <v>0</v>
      </c>
      <c r="C128" s="189"/>
      <c r="D128" s="177">
        <f t="shared" si="8"/>
        <v>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78">
        <f>'Données projet'!A127</f>
        <v>0</v>
      </c>
      <c r="B129" s="179">
        <f>'Données projet'!D127</f>
        <v>0</v>
      </c>
      <c r="C129" s="189"/>
      <c r="D129" s="177">
        <f t="shared" si="8"/>
        <v>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78">
        <f>'Données projet'!A128</f>
        <v>0</v>
      </c>
      <c r="B130" s="179">
        <f>'Données projet'!D128</f>
        <v>0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78">
        <f>'Données projet'!A129</f>
        <v>0</v>
      </c>
      <c r="B131" s="179">
        <f>'Données projet'!D129</f>
        <v>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78">
        <f>'Données projet'!A130</f>
        <v>0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78">
        <f>'Données projet'!A131</f>
        <v>0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78">
        <f>'Données projet'!A132</f>
        <v>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169</v>
      </c>
      <c r="B138" s="172" t="str">
        <f>IF('Données projet'!B13="","",'Données projet'!B13)</f>
        <v/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7" t="s">
        <v>132</v>
      </c>
      <c r="C141" s="196" t="s">
        <v>132</v>
      </c>
      <c r="D141" s="195" t="s">
        <v>132</v>
      </c>
      <c r="E141" s="191"/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0</v>
      </c>
      <c r="B147" s="173">
        <f>'Données projet'!D140</f>
        <v>0</v>
      </c>
      <c r="C147" s="189"/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0</v>
      </c>
      <c r="B148" s="173">
        <f>'Données projet'!D141</f>
        <v>0</v>
      </c>
      <c r="C148" s="189"/>
      <c r="D148" s="180">
        <f t="shared" ref="D148:D166" si="10">B148*C148</f>
        <v>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0</v>
      </c>
      <c r="B149" s="173">
        <f>'Données projet'!D142</f>
        <v>0</v>
      </c>
      <c r="C149" s="189"/>
      <c r="D149" s="180">
        <f t="shared" si="10"/>
        <v>0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0</v>
      </c>
      <c r="B150" s="173">
        <f>'Données projet'!D143</f>
        <v>0</v>
      </c>
      <c r="C150" s="189"/>
      <c r="D150" s="180">
        <f t="shared" si="10"/>
        <v>0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0</v>
      </c>
      <c r="B151" s="173">
        <f>'Données projet'!D144</f>
        <v>0</v>
      </c>
      <c r="C151" s="189"/>
      <c r="D151" s="180">
        <f t="shared" si="10"/>
        <v>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0</v>
      </c>
      <c r="B152" s="173">
        <f>'Données projet'!D145</f>
        <v>0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0</v>
      </c>
      <c r="B153" s="173">
        <f>'Données projet'!D146</f>
        <v>0</v>
      </c>
      <c r="C153" s="189"/>
      <c r="D153" s="180">
        <f t="shared" si="10"/>
        <v>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0</v>
      </c>
      <c r="B154" s="173">
        <f>'Données projet'!D147</f>
        <v>0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0</v>
      </c>
      <c r="B155" s="173">
        <f>'Données projet'!D148</f>
        <v>0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3">
        <f>'Données projet'!D149</f>
        <v>0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3">
        <f>'Données projet'!D150</f>
        <v>0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3">
        <f>'Données projet'!D151</f>
        <v>0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3">
        <f>'Données projet'!D152</f>
        <v>0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3">
        <f>'Données projet'!D153</f>
        <v>0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3">
        <f>'Données projet'!D154</f>
        <v>0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170</v>
      </c>
      <c r="B169" s="172" t="str">
        <f>IF('Données projet'!B14="","",'Données projet'!B14)</f>
        <v/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7" t="s">
        <v>132</v>
      </c>
      <c r="C172" s="196" t="s">
        <v>132</v>
      </c>
      <c r="D172" s="195" t="s">
        <v>132</v>
      </c>
      <c r="E172" s="191"/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78">
        <f>'Données projet'!A166</f>
        <v>0</v>
      </c>
      <c r="B178" s="179">
        <f>'Données projet'!D166</f>
        <v>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78">
        <f>'Données projet'!A167</f>
        <v>0</v>
      </c>
      <c r="B179" s="179">
        <f>'Données projet'!D167</f>
        <v>0</v>
      </c>
      <c r="C179" s="191"/>
      <c r="D179" s="177">
        <f t="shared" ref="D179:D197" si="11">B179*C179</f>
        <v>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78">
        <f>'Données projet'!A168</f>
        <v>0</v>
      </c>
      <c r="B180" s="179">
        <f>'Données projet'!D168</f>
        <v>0</v>
      </c>
      <c r="C180" s="191"/>
      <c r="D180" s="177">
        <f t="shared" si="11"/>
        <v>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78">
        <f>'Données projet'!A169</f>
        <v>0</v>
      </c>
      <c r="B181" s="179">
        <f>'Données projet'!D169</f>
        <v>0</v>
      </c>
      <c r="C181" s="191"/>
      <c r="D181" s="177">
        <f t="shared" si="11"/>
        <v>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78">
        <f>'Données projet'!A170</f>
        <v>0</v>
      </c>
      <c r="B182" s="179">
        <f>'Données projet'!D170</f>
        <v>0</v>
      </c>
      <c r="C182" s="191"/>
      <c r="D182" s="177">
        <f t="shared" si="11"/>
        <v>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78">
        <f>'Données projet'!A171</f>
        <v>0</v>
      </c>
      <c r="B183" s="179">
        <f>'Données projet'!D171</f>
        <v>0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78">
        <f>'Données projet'!A172</f>
        <v>0</v>
      </c>
      <c r="B184" s="179">
        <f>'Données projet'!D172</f>
        <v>0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78">
        <f>'Données projet'!A173</f>
        <v>0</v>
      </c>
      <c r="B185" s="179">
        <f>'Données projet'!D173</f>
        <v>0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78">
        <f>'Données projet'!A174</f>
        <v>0</v>
      </c>
      <c r="B186" s="179">
        <f>'Données projet'!D174</f>
        <v>0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78">
        <f>'Données projet'!A175</f>
        <v>0</v>
      </c>
      <c r="B187" s="179">
        <f>'Données projet'!D175</f>
        <v>0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78">
        <f>'Données projet'!A176</f>
        <v>0</v>
      </c>
      <c r="B188" s="179">
        <f>'Données projet'!D176</f>
        <v>0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78">
        <f>'Données projet'!A177</f>
        <v>0</v>
      </c>
      <c r="B189" s="179">
        <f>'Données projet'!D177</f>
        <v>0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78">
        <f>'Données projet'!A178</f>
        <v>0</v>
      </c>
      <c r="B190" s="179">
        <f>'Données projet'!D178</f>
        <v>0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78">
        <f>'Données projet'!A179</f>
        <v>0</v>
      </c>
      <c r="B191" s="179">
        <f>'Données projet'!D179</f>
        <v>0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78">
        <f>'Données projet'!A180</f>
        <v>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171</v>
      </c>
      <c r="B200" s="172" t="str">
        <f>IF('Données projet'!$B$15="","",'Données projet'!$B$15)</f>
        <v/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7" t="s">
        <v>132</v>
      </c>
      <c r="C203" s="196" t="s">
        <v>132</v>
      </c>
      <c r="D203" s="195" t="s">
        <v>132</v>
      </c>
      <c r="E203" s="191"/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78">
        <f>'Données projet'!A192</f>
        <v>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78">
        <f>'Données projet'!A193</f>
        <v>0</v>
      </c>
      <c r="B210" s="179">
        <f>'Données projet'!D193</f>
        <v>0</v>
      </c>
      <c r="C210" s="191"/>
      <c r="D210" s="177">
        <f t="shared" ref="D210:D228" si="12">B210*C210</f>
        <v>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78">
        <f>'Données projet'!A194</f>
        <v>0</v>
      </c>
      <c r="B211" s="179">
        <f>'Données projet'!D194</f>
        <v>0</v>
      </c>
      <c r="C211" s="191"/>
      <c r="D211" s="177">
        <f t="shared" si="12"/>
        <v>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78">
        <f>'Données projet'!A195</f>
        <v>0</v>
      </c>
      <c r="B212" s="179">
        <f>'Données projet'!D195</f>
        <v>0</v>
      </c>
      <c r="C212" s="191"/>
      <c r="D212" s="177">
        <f t="shared" si="12"/>
        <v>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78">
        <f>'Données projet'!A196</f>
        <v>0</v>
      </c>
      <c r="B213" s="179">
        <f>'Données projet'!D196</f>
        <v>0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78">
        <f>'Données projet'!A197</f>
        <v>0</v>
      </c>
      <c r="B214" s="179">
        <f>'Données projet'!D197</f>
        <v>0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78">
        <f>'Données projet'!A198</f>
        <v>0</v>
      </c>
      <c r="B215" s="179">
        <f>'Données projet'!D198</f>
        <v>0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78">
        <f>'Données projet'!A199</f>
        <v>0</v>
      </c>
      <c r="B216" s="179">
        <f>'Données projet'!D199</f>
        <v>0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78">
        <f>'Données projet'!A200</f>
        <v>0</v>
      </c>
      <c r="B217" s="179">
        <f>'Données projet'!D200</f>
        <v>0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78">
        <f>'Données projet'!A201</f>
        <v>0</v>
      </c>
      <c r="B218" s="179">
        <f>'Données projet'!D201</f>
        <v>0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78">
        <f>'Données projet'!A202</f>
        <v>0</v>
      </c>
      <c r="B219" s="179">
        <f>'Données projet'!D202</f>
        <v>0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78">
        <f>'Données projet'!A203</f>
        <v>0</v>
      </c>
      <c r="B220" s="179">
        <f>'Données projet'!D203</f>
        <v>0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78">
        <f>'Données projet'!A204</f>
        <v>0</v>
      </c>
      <c r="B221" s="179">
        <f>'Données projet'!D204</f>
        <v>0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78">
        <f>'Données projet'!A205</f>
        <v>0</v>
      </c>
      <c r="B222" s="179">
        <f>'Données projet'!D205</f>
        <v>0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7" t="s">
        <v>132</v>
      </c>
      <c r="C234" s="196" t="s">
        <v>132</v>
      </c>
      <c r="D234" s="195" t="s">
        <v>132</v>
      </c>
      <c r="E234" s="191"/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78">
        <f>'Données projet'!A218</f>
        <v>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78">
        <f>'Données projet'!A219</f>
        <v>0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78">
        <f>'Données projet'!A220</f>
        <v>0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78">
        <f>'Données projet'!A221</f>
        <v>0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78">
        <f>'Données projet'!A222</f>
        <v>0</v>
      </c>
      <c r="B244" s="179">
        <f>'Données projet'!D222</f>
        <v>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Goulven Kersante</cp:lastModifiedBy>
  <dcterms:created xsi:type="dcterms:W3CDTF">2021-02-01T08:22:39Z</dcterms:created>
  <dcterms:modified xsi:type="dcterms:W3CDTF">2023-12-05T12:47:32Z</dcterms:modified>
</cp:coreProperties>
</file>