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iaLINK\Desktop\Paul Deslous-Coureau\Reboisement_BARRERE\"/>
    </mc:Choice>
  </mc:AlternateContent>
  <xr:revisionPtr revIDLastSave="0" documentId="8_{BAED102A-B72C-444D-908D-49294C0D6014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W20" i="2"/>
  <c r="EC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A22" i="2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FQ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B113" i="2"/>
  <c r="EX113" i="2"/>
  <c r="EC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G130" i="2"/>
  <c r="HH130" i="2"/>
  <c r="FS130" i="2"/>
  <c r="EX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HH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R146" i="2"/>
  <c r="HG146" i="2"/>
  <c r="HH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ED158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EX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W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EV164" i="2"/>
  <c r="HG164" i="2"/>
  <c r="HH164" i="2"/>
  <c r="EA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HI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B175" i="2" l="1"/>
  <c r="EW175" i="2"/>
  <c r="FS175" i="2"/>
  <c r="AA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EV185" i="2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EB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FQ195" i="2"/>
  <c r="A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H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HH199" i="2"/>
  <c r="EW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37" i="2" l="1" a="1"/>
  <c r="CS137" i="2" s="1"/>
  <c r="AH19" i="2" a="1"/>
  <c r="AH19" i="2" s="1"/>
  <c r="CS24" i="2" a="1"/>
  <c r="CS24" i="2" s="1"/>
  <c r="AH90" i="2" a="1"/>
  <c r="AH90" i="2" s="1"/>
  <c r="CS77" i="2" a="1"/>
  <c r="CS77" i="2" s="1"/>
  <c r="CS129" i="2" a="1"/>
  <c r="CS129" i="2" s="1"/>
  <c r="CS161" i="2" a="1"/>
  <c r="CS161" i="2" s="1"/>
  <c r="CS114" i="2" a="1"/>
  <c r="CS114" i="2" s="1"/>
  <c r="CS120" i="2" a="1"/>
  <c r="CS120" i="2" s="1"/>
  <c r="AH163" i="2" a="1"/>
  <c r="AH163" i="2" s="1"/>
  <c r="FS203" i="2"/>
  <c r="CS56" i="2" a="1"/>
  <c r="CS56" i="2" s="1"/>
  <c r="AH62" i="2" a="1"/>
  <c r="AH62" i="2" s="1"/>
  <c r="CS116" i="2" a="1"/>
  <c r="CS116" i="2" s="1"/>
  <c r="CS66" i="2" a="1"/>
  <c r="CS66" i="2" s="1"/>
  <c r="CS105" i="2" a="1"/>
  <c r="CS105" i="2" s="1"/>
  <c r="CS52" i="2" a="1"/>
  <c r="CS52" i="2" s="1"/>
  <c r="CS72" i="2" a="1"/>
  <c r="CS72" i="2" s="1"/>
  <c r="AH199" i="2" a="1"/>
  <c r="AH199" i="2" s="1"/>
  <c r="CS134" i="2" a="1"/>
  <c r="CS134" i="2" s="1"/>
  <c r="CS185" i="2" a="1"/>
  <c r="CS185" i="2" s="1"/>
  <c r="AH166" i="2" a="1"/>
  <c r="AH166" i="2" s="1"/>
  <c r="AH92" i="2" a="1"/>
  <c r="AH92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<sst xmlns="http://schemas.openxmlformats.org/spreadsheetml/2006/main" count="1170" uniqueCount="324">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</sst>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mbria"/>
      <family val="1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32" fillId="14" borderId="54" xfId="0" applyNumberFormat="1" applyFont="1" applyFill="1" applyBorder="1" applyAlignment="1" applyProtection="1">
      <alignment horizontal="right" wrapText="1"/>
      <protection locked="0"/>
    </xf>
    <xf numFmtId="168" fontId="32" fillId="14" borderId="55" xfId="0" applyNumberFormat="1" applyFont="1" applyFill="1" applyBorder="1" applyAlignment="1" applyProtection="1">
      <alignment horizontal="right" wrapText="1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2.0703013573406128</c:v>
                </c:pt>
                <c:pt idx="2">
                  <c:v>2.7640405890394497</c:v>
                </c:pt>
                <c:pt idx="3">
                  <c:v>3.6912142676199053</c:v>
                </c:pt>
                <c:pt idx="4">
                  <c:v>4.9306772946925923</c:v>
                </c:pt>
                <c:pt idx="5">
                  <c:v>6.5880190077141156</c:v>
                </c:pt>
                <c:pt idx="6">
                  <c:v>8.8046575539789682</c:v>
                </c:pt>
                <c:pt idx="7">
                  <c:v>11.770037501149204</c:v>
                </c:pt>
                <c:pt idx="8">
                  <c:v>15.737992575998623</c:v>
                </c:pt>
                <c:pt idx="9">
                  <c:v>21.048699720171658</c:v>
                </c:pt>
                <c:pt idx="10">
                  <c:v>28.158140215018378</c:v>
                </c:pt>
                <c:pt idx="11">
                  <c:v>37.677641620059738</c:v>
                </c:pt>
                <c:pt idx="12">
                  <c:v>50.426958754851889</c:v>
                </c:pt>
                <c:pt idx="13">
                  <c:v>67.505541048152836</c:v>
                </c:pt>
                <c:pt idx="14">
                  <c:v>90.388232386774106</c:v>
                </c:pt>
                <c:pt idx="15">
                  <c:v>121.05379955336865</c:v>
                </c:pt>
                <c:pt idx="16">
                  <c:v>162.15757678602091</c:v>
                </c:pt>
                <c:pt idx="17">
                  <c:v>217.26340310035951</c:v>
                </c:pt>
                <c:pt idx="18">
                  <c:v>171.59431675717676</c:v>
                </c:pt>
                <c:pt idx="19">
                  <c:v>196.72664049361845</c:v>
                </c:pt>
                <c:pt idx="20">
                  <c:v>221.78436093516709</c:v>
                </c:pt>
                <c:pt idx="21">
                  <c:v>246.77709446512299</c:v>
                </c:pt>
                <c:pt idx="22">
                  <c:v>271.71234728479902</c:v>
                </c:pt>
                <c:pt idx="23">
                  <c:v>296.59613405455843</c:v>
                </c:pt>
                <c:pt idx="24">
                  <c:v>231.42549929142169</c:v>
                </c:pt>
                <c:pt idx="25">
                  <c:v>256.63948364115464</c:v>
                </c:pt>
                <c:pt idx="26">
                  <c:v>281.79743348592461</c:v>
                </c:pt>
                <c:pt idx="27">
                  <c:v>306.90505238979614</c:v>
                </c:pt>
                <c:pt idx="28">
                  <c:v>331.96703420573027</c:v>
                </c:pt>
                <c:pt idx="29">
                  <c:v>356.9873061956514</c:v>
                </c:pt>
                <c:pt idx="30">
                  <c:v>301.55124816155165</c:v>
                </c:pt>
                <c:pt idx="31">
                  <c:v>325.33598003710199</c:v>
                </c:pt>
                <c:pt idx="32">
                  <c:v>349.08230321974366</c:v>
                </c:pt>
                <c:pt idx="33">
                  <c:v>372.79319594641009</c:v>
                </c:pt>
                <c:pt idx="34">
                  <c:v>396.47122682421656</c:v>
                </c:pt>
                <c:pt idx="35">
                  <c:v>420.11863277543631</c:v>
                </c:pt>
                <c:pt idx="36">
                  <c:v>443.73737850957428</c:v>
                </c:pt>
                <c:pt idx="37">
                  <c:v>358.67614488114287</c:v>
                </c:pt>
                <c:pt idx="38">
                  <c:v>380.45628047677729</c:v>
                </c:pt>
                <c:pt idx="39">
                  <c:v>402.2093020105105</c:v>
                </c:pt>
                <c:pt idx="40">
                  <c:v>423.93688113035427</c:v>
                </c:pt>
                <c:pt idx="41">
                  <c:v>445.64050425277014</c:v>
                </c:pt>
                <c:pt idx="42">
                  <c:v>467.32150129336861</c:v>
                </c:pt>
                <c:pt idx="43">
                  <c:v>488.9810687884181</c:v>
                </c:pt>
                <c:pt idx="44">
                  <c:v>510.62028870708235</c:v>
                </c:pt>
                <c:pt idx="45">
                  <c:v>423.49198674681429</c:v>
                </c:pt>
                <c:pt idx="46">
                  <c:v>442.721460029534</c:v>
                </c:pt>
                <c:pt idx="47">
                  <c:v>461.93304266399747</c:v>
                </c:pt>
                <c:pt idx="48">
                  <c:v>481.12758296138736</c:v>
                </c:pt>
                <c:pt idx="49">
                  <c:v>500.30585606664596</c:v>
                </c:pt>
                <c:pt idx="50">
                  <c:v>519.46857288903504</c:v>
                </c:pt>
                <c:pt idx="51">
                  <c:v>538.61638764682289</c:v>
                </c:pt>
                <c:pt idx="52">
                  <c:v>557.74990428375406</c:v>
                </c:pt>
                <c:pt idx="53">
                  <c:v>473.24600895427096</c:v>
                </c:pt>
                <c:pt idx="54">
                  <c:v>490.43993343279226</c:v>
                </c:pt>
                <c:pt idx="55">
                  <c:v>507.62107699711424</c:v>
                </c:pt>
                <c:pt idx="56">
                  <c:v>524.78993290601875</c:v>
                </c:pt>
                <c:pt idx="57">
                  <c:v>541.94695952980283</c:v>
                </c:pt>
                <c:pt idx="58">
                  <c:v>559.09258386701038</c:v>
                </c:pt>
                <c:pt idx="59">
                  <c:v>576.22720460753078</c:v>
                </c:pt>
                <c:pt idx="60">
                  <c:v>593.35119481260017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3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3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3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3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35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3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3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3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3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3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3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3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3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3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3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3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3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3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0" zoomScale="80" zoomScaleNormal="80" workbookViewId="0">
      <selection activeCell="D32" sqref="D3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0" t="s">
        <v>190</v>
      </c>
      <c r="D1" s="260"/>
      <c r="E1" s="26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0" t="s">
        <v>231</v>
      </c>
      <c r="B5" s="270"/>
      <c r="C5" s="24">
        <v>3.7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3.7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3.7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1" t="s">
        <v>186</v>
      </c>
      <c r="D34" s="261"/>
      <c r="E34" s="262" t="s">
        <v>187</v>
      </c>
      <c r="F34" s="263"/>
      <c r="G34" s="263"/>
      <c r="H34" s="26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17</v>
      </c>
      <c r="B36" s="60">
        <v>164.23</v>
      </c>
      <c r="C36" s="60">
        <v>1</v>
      </c>
      <c r="D36" s="60">
        <v>54.71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9.6605882352941173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23</v>
      </c>
      <c r="B37" s="60">
        <v>225.95</v>
      </c>
      <c r="C37" s="60">
        <v>2</v>
      </c>
      <c r="D37" s="60">
        <v>70.33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19.405000000000001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29</v>
      </c>
      <c r="B38" s="60">
        <v>273.19</v>
      </c>
      <c r="C38" s="60">
        <v>3</v>
      </c>
      <c r="D38" s="60">
        <v>61.96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19.594999999999999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341.35</v>
      </c>
      <c r="C39" s="60">
        <v>4</v>
      </c>
      <c r="D39" s="60">
        <v>83.92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18.588571428571434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44</v>
      </c>
      <c r="B40" s="60">
        <v>394.09999999999997</v>
      </c>
      <c r="C40" s="60">
        <v>5</v>
      </c>
      <c r="D40" s="60">
        <v>83.82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17.083749999999995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52</v>
      </c>
      <c r="B41" s="60">
        <v>431.36</v>
      </c>
      <c r="C41" s="60">
        <v>6</v>
      </c>
      <c r="D41" s="60">
        <v>80.319999999999993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15.135000000000005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60</v>
      </c>
      <c r="B42" s="60">
        <v>459.55</v>
      </c>
      <c r="C42" s="60">
        <v>7</v>
      </c>
      <c r="D42" s="60">
        <v>459.55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13.563749999999999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1" t="s">
        <v>186</v>
      </c>
      <c r="D60" s="261"/>
      <c r="E60" s="262" t="s">
        <v>187</v>
      </c>
      <c r="F60" s="263"/>
      <c r="G60" s="263"/>
      <c r="H60" s="26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1" t="s">
        <v>186</v>
      </c>
      <c r="D86" s="261"/>
      <c r="E86" s="262" t="s">
        <v>187</v>
      </c>
      <c r="F86" s="263"/>
      <c r="G86" s="263"/>
      <c r="H86" s="26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1" t="s">
        <v>186</v>
      </c>
      <c r="D112" s="261"/>
      <c r="E112" s="262" t="s">
        <v>187</v>
      </c>
      <c r="F112" s="263"/>
      <c r="G112" s="263"/>
      <c r="H112" s="26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1" t="s">
        <v>186</v>
      </c>
      <c r="D138" s="261"/>
      <c r="E138" s="262" t="s">
        <v>187</v>
      </c>
      <c r="F138" s="263"/>
      <c r="G138" s="263"/>
      <c r="H138" s="26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1" t="s">
        <v>186</v>
      </c>
      <c r="D164" s="261"/>
      <c r="E164" s="262" t="s">
        <v>187</v>
      </c>
      <c r="F164" s="263"/>
      <c r="G164" s="263"/>
      <c r="H164" s="26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1" t="s">
        <v>186</v>
      </c>
      <c r="D190" s="261"/>
      <c r="E190" s="262" t="s">
        <v>187</v>
      </c>
      <c r="F190" s="263"/>
      <c r="G190" s="263"/>
      <c r="H190" s="26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1" t="s">
        <v>186</v>
      </c>
      <c r="D216" s="261"/>
      <c r="E216" s="262" t="s">
        <v>187</v>
      </c>
      <c r="F216" s="263"/>
      <c r="G216" s="263"/>
      <c r="H216" s="26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1" t="s">
        <v>186</v>
      </c>
      <c r="D242" s="261"/>
      <c r="E242" s="262" t="s">
        <v>187</v>
      </c>
      <c r="F242" s="263"/>
      <c r="G242" s="263"/>
      <c r="H242" s="26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1" t="s">
        <v>186</v>
      </c>
      <c r="D268" s="261"/>
      <c r="E268" s="262" t="s">
        <v>187</v>
      </c>
      <c r="F268" s="263"/>
      <c r="G268" s="263"/>
      <c r="H268" s="26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F9" sqref="F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Pin maritime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/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/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/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262.21372546382133</v>
      </c>
      <c r="T3" s="59">
        <f>IF('Données projet'!E9&gt;30,$R$33-$H$33,LOOKUP('Données projet'!$E$9,$A$3:$A$203,R3:R203)-LOOKUP('Données projet'!$E$9,$A$3:$A$203,$H$3:$H$203))</f>
        <v>263.5279690714105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9.6605882352941173</v>
      </c>
      <c r="N4" s="13">
        <f>IF('Données projet'!$A$36&gt;35,N3+M4-V3,IF(A4&lt;'Données projet'!$A$36,$K$205^A4,IF(A4='Données projet'!$A$36,'Données projet'!$B$36,N3+M4-V3)))</f>
        <v>1.3499594857336181</v>
      </c>
      <c r="O4" s="13">
        <f>N4*VLOOKUP('Données projet'!$B$9,Paramètres!$A$1:$I$89,3,0)*VLOOKUP('Données projet'!$B$9,Paramètres!$A$1:$I$89,5,0)</f>
        <v>0.80727577246870363</v>
      </c>
      <c r="P4" s="13">
        <f>EXP(-1.0587+0.8836*LN(O4)+0.284)</f>
        <v>0.38141400208093068</v>
      </c>
      <c r="Q4" s="20">
        <f t="shared" ref="Q4:Q34" si="2">(O4+P4)*0.475*44/12</f>
        <v>2.0703013573406128</v>
      </c>
      <c r="R4" s="59">
        <f t="shared" si="0"/>
        <v>295.40363469067393</v>
      </c>
      <c r="S4" s="59">
        <f ca="1">AVERAGE(OFFSET($R$3,0,0,'Données projet'!$E$9+1,1))-AVERAGE(OFFSET($H$3,0,0,'Données projet'!$E$9+1,1))</f>
        <v>262.21372546382133</v>
      </c>
      <c r="T4" s="59">
        <f>$T$3</f>
        <v>263.5279690714105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9.6605882352941173</v>
      </c>
      <c r="N5" s="13">
        <f>IF('Données projet'!$A$36&gt;35,N4+M5-V4,IF(A5&lt;'Données projet'!$A$36,$K$205^A5,IF(A5='Données projet'!$A$36,'Données projet'!$B$36,N4+M5-V4)))</f>
        <v>1.8223906131221748</v>
      </c>
      <c r="O5" s="13">
        <f>N5*VLOOKUP('Données projet'!$B$9,Paramètres!$A$1:$I$89,3,0)*VLOOKUP('Données projet'!$B$9,Paramètres!$A$1:$I$89,5,0)</f>
        <v>1.0897895866470606</v>
      </c>
      <c r="P5" s="13">
        <f t="shared" ref="P5:P68" si="33">EXP(-1.0587+0.8836*LN(O5)+0.284)</f>
        <v>0.49721936399759942</v>
      </c>
      <c r="Q5" s="20">
        <f t="shared" si="2"/>
        <v>2.7640405890394497</v>
      </c>
      <c r="R5" s="59">
        <f t="shared" si="0"/>
        <v>296.09737392237275</v>
      </c>
      <c r="S5" s="59">
        <f ca="1">AVERAGE(OFFSET($R$3,0,0,'Données projet'!$E$9+1,1))-AVERAGE(OFFSET($H$3,0,0,'Données projet'!$E$9+1,1))</f>
        <v>262.21372546382133</v>
      </c>
      <c r="T5" s="59">
        <f t="shared" ref="T5:T68" si="34">$T$3</f>
        <v>263.5279690714105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9.6605882352941173</v>
      </c>
      <c r="N6" s="13">
        <f>IF('Données projet'!$A$36&gt;35,N5+M6-V5,IF(A6&lt;'Données projet'!$A$36,$K$205^A6,IF(A6='Données projet'!$A$36,'Données projet'!$B$36,N5+M6-V5)))</f>
        <v>2.4601534948961841</v>
      </c>
      <c r="O6" s="13">
        <f>N6*VLOOKUP('Données projet'!$B$9,Paramètres!$A$1:$I$89,3,0)*VLOOKUP('Données projet'!$B$9,Paramètres!$A$1:$I$89,5,0)</f>
        <v>1.4711717899479182</v>
      </c>
      <c r="P6" s="13">
        <f t="shared" si="33"/>
        <v>0.64818568428360701</v>
      </c>
      <c r="Q6" s="20">
        <f t="shared" si="2"/>
        <v>3.6912142676199053</v>
      </c>
      <c r="R6" s="59">
        <f t="shared" si="0"/>
        <v>297.02454760095321</v>
      </c>
      <c r="S6" s="59">
        <f ca="1">AVERAGE(OFFSET($R$3,0,0,'Données projet'!$E$9+1,1))-AVERAGE(OFFSET($H$3,0,0,'Données projet'!$E$9+1,1))</f>
        <v>262.21372546382133</v>
      </c>
      <c r="T6" s="59">
        <f t="shared" si="34"/>
        <v>263.5279690714105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9.6605882352941173</v>
      </c>
      <c r="N7" s="13">
        <f>IF('Données projet'!$A$36&gt;35,N6+M7-V6,IF(A7&lt;'Données projet'!$A$36,$K$205^A7,IF(A7='Données projet'!$A$36,'Données projet'!$B$36,N6+M7-V6)))</f>
        <v>3.3211075467958162</v>
      </c>
      <c r="O7" s="13">
        <f>N7*VLOOKUP('Données projet'!$B$9,Paramètres!$A$1:$I$89,3,0)*VLOOKUP('Données projet'!$B$9,Paramètres!$A$1:$I$89,5,0)</f>
        <v>1.9860223129838983</v>
      </c>
      <c r="P7" s="13">
        <f t="shared" si="33"/>
        <v>0.8449885739209394</v>
      </c>
      <c r="Q7" s="20">
        <f t="shared" si="2"/>
        <v>4.9306772946925923</v>
      </c>
      <c r="R7" s="59">
        <f t="shared" si="0"/>
        <v>298.26401062802591</v>
      </c>
      <c r="S7" s="59">
        <f ca="1">AVERAGE(OFFSET($R$3,0,0,'Données projet'!$E$9+1,1))-AVERAGE(OFFSET($H$3,0,0,'Données projet'!$E$9+1,1))</f>
        <v>262.21372546382133</v>
      </c>
      <c r="T7" s="59">
        <f t="shared" si="34"/>
        <v>263.5279690714105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9.6605882352941173</v>
      </c>
      <c r="N8" s="13">
        <f>IF('Données projet'!$A$36&gt;35,N7+M8-V7,IF(A8&lt;'Données projet'!$A$36,$K$205^A8,IF(A8='Données projet'!$A$36,'Données projet'!$B$36,N7+M8-V7)))</f>
        <v>4.4833606359385181</v>
      </c>
      <c r="O8" s="13">
        <f>N8*VLOOKUP('Données projet'!$B$9,Paramètres!$A$1:$I$89,3,0)*VLOOKUP('Données projet'!$B$9,Paramètres!$A$1:$I$89,5,0)</f>
        <v>2.6810496602912339</v>
      </c>
      <c r="P8" s="13">
        <f t="shared" si="33"/>
        <v>1.1015449852862484</v>
      </c>
      <c r="Q8" s="20">
        <f t="shared" si="2"/>
        <v>6.5880190077141156</v>
      </c>
      <c r="R8" s="59">
        <f t="shared" si="0"/>
        <v>299.92135234104745</v>
      </c>
      <c r="S8" s="59">
        <f ca="1">AVERAGE(OFFSET($R$3,0,0,'Données projet'!$E$9+1,1))-AVERAGE(OFFSET($H$3,0,0,'Données projet'!$E$9+1,1))</f>
        <v>262.21372546382133</v>
      </c>
      <c r="T8" s="59">
        <f t="shared" si="34"/>
        <v>263.5279690714105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9.6605882352941173</v>
      </c>
      <c r="N9" s="13">
        <f>IF('Données projet'!$A$36&gt;35,N8+M9-V8,IF(A9&lt;'Données projet'!$A$36,$K$205^A9,IF(A9='Données projet'!$A$36,'Données projet'!$B$36,N8+M9-V8)))</f>
        <v>6.0523552184499092</v>
      </c>
      <c r="O9" s="13">
        <f>N9*VLOOKUP('Données projet'!$B$9,Paramètres!$A$1:$I$89,3,0)*VLOOKUP('Données projet'!$B$9,Paramètres!$A$1:$I$89,5,0)</f>
        <v>3.6193084206330464</v>
      </c>
      <c r="P9" s="13">
        <f t="shared" si="33"/>
        <v>1.4359973519864571</v>
      </c>
      <c r="Q9" s="20">
        <f t="shared" si="2"/>
        <v>8.8046575539789682</v>
      </c>
      <c r="R9" s="59">
        <f t="shared" si="0"/>
        <v>302.1379908873123</v>
      </c>
      <c r="S9" s="59">
        <f ca="1">AVERAGE(OFFSET($R$3,0,0,'Données projet'!$E$9+1,1))-AVERAGE(OFFSET($H$3,0,0,'Données projet'!$E$9+1,1))</f>
        <v>262.21372546382133</v>
      </c>
      <c r="T9" s="59">
        <f t="shared" si="34"/>
        <v>263.5279690714105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9.6605882352941173</v>
      </c>
      <c r="N10" s="13">
        <f>IF('Données projet'!$A$36&gt;35,N9+M10-V9,IF(A10&lt;'Données projet'!$A$36,$K$205^A10,IF(A10='Données projet'!$A$36,'Données projet'!$B$36,N9+M10-V9)))</f>
        <v>8.17043433817582</v>
      </c>
      <c r="O10" s="13">
        <f>N10*VLOOKUP('Données projet'!$B$9,Paramètres!$A$1:$I$89,3,0)*VLOOKUP('Données projet'!$B$9,Paramètres!$A$1:$I$89,5,0)</f>
        <v>4.8859197342291409</v>
      </c>
      <c r="P10" s="13">
        <f t="shared" si="33"/>
        <v>1.8719965343732736</v>
      </c>
      <c r="Q10" s="20">
        <f t="shared" si="2"/>
        <v>11.770037501149204</v>
      </c>
      <c r="R10" s="59">
        <f t="shared" si="0"/>
        <v>305.10337083448252</v>
      </c>
      <c r="S10" s="59">
        <f ca="1">AVERAGE(OFFSET($R$3,0,0,'Données projet'!$E$9+1,1))-AVERAGE(OFFSET($H$3,0,0,'Données projet'!$E$9+1,1))</f>
        <v>262.21372546382133</v>
      </c>
      <c r="T10" s="59">
        <f t="shared" si="34"/>
        <v>263.5279690714105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9.6605882352941173</v>
      </c>
      <c r="N11" s="13">
        <f>IF('Données projet'!$A$36&gt;35,N10+M11-V10,IF(A11&lt;'Données projet'!$A$36,$K$205^A11,IF(A11='Données projet'!$A$36,'Données projet'!$B$36,N10+M11-V10)))</f>
        <v>11.029755337384124</v>
      </c>
      <c r="O11" s="13">
        <f>N11*VLOOKUP('Données projet'!$B$9,Paramètres!$A$1:$I$89,3,0)*VLOOKUP('Données projet'!$B$9,Paramètres!$A$1:$I$89,5,0)</f>
        <v>6.5957936917557065</v>
      </c>
      <c r="P11" s="13">
        <f t="shared" si="33"/>
        <v>2.4403742944635995</v>
      </c>
      <c r="Q11" s="20">
        <f t="shared" si="2"/>
        <v>15.737992575998623</v>
      </c>
      <c r="R11" s="59">
        <f t="shared" si="0"/>
        <v>309.07132590933196</v>
      </c>
      <c r="S11" s="59">
        <f ca="1">AVERAGE(OFFSET($R$3,0,0,'Données projet'!$E$9+1,1))-AVERAGE(OFFSET($H$3,0,0,'Données projet'!$E$9+1,1))</f>
        <v>262.21372546382133</v>
      </c>
      <c r="T11" s="59">
        <f t="shared" si="34"/>
        <v>263.5279690714105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9.6605882352941173</v>
      </c>
      <c r="N12" s="13">
        <f>IF('Données projet'!$A$36&gt;35,N11+M12-V11,IF(A12&lt;'Données projet'!$A$36,$K$205^A12,IF(A12='Données projet'!$A$36,'Données projet'!$B$36,N11+M12-V11)))</f>
        <v>14.889722843022701</v>
      </c>
      <c r="O12" s="13">
        <f>N12*VLOOKUP('Données projet'!$B$9,Paramètres!$A$1:$I$89,3,0)*VLOOKUP('Données projet'!$B$9,Paramètres!$A$1:$I$89,5,0)</f>
        <v>8.9040542601275749</v>
      </c>
      <c r="P12" s="13">
        <f t="shared" si="33"/>
        <v>3.1813235696360578</v>
      </c>
      <c r="Q12" s="20">
        <f t="shared" si="2"/>
        <v>21.048699720171658</v>
      </c>
      <c r="R12" s="59">
        <f t="shared" si="0"/>
        <v>314.38203305350498</v>
      </c>
      <c r="S12" s="59">
        <f ca="1">AVERAGE(OFFSET($R$3,0,0,'Données projet'!$E$9+1,1))-AVERAGE(OFFSET($H$3,0,0,'Données projet'!$E$9+1,1))</f>
        <v>262.21372546382133</v>
      </c>
      <c r="T12" s="59">
        <f t="shared" si="34"/>
        <v>263.5279690714105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9.6605882352941173</v>
      </c>
      <c r="N13" s="13">
        <f>IF('Données projet'!$A$36&gt;35,N12+M13-V12,IF(A13&lt;'Données projet'!$A$36,$K$205^A13,IF(A13='Données projet'!$A$36,'Données projet'!$B$36,N12+M13-V12)))</f>
        <v>20.100522591883035</v>
      </c>
      <c r="O13" s="13">
        <f>N13*VLOOKUP('Données projet'!$B$9,Paramètres!$A$1:$I$89,3,0)*VLOOKUP('Données projet'!$B$9,Paramètres!$A$1:$I$89,5,0)</f>
        <v>12.020112509946056</v>
      </c>
      <c r="P13" s="13">
        <f t="shared" si="33"/>
        <v>4.1472407235573225</v>
      </c>
      <c r="Q13" s="20">
        <f t="shared" si="2"/>
        <v>28.158140215018378</v>
      </c>
      <c r="R13" s="59">
        <f t="shared" si="0"/>
        <v>321.49147354835168</v>
      </c>
      <c r="S13" s="59">
        <f ca="1">AVERAGE(OFFSET($R$3,0,0,'Données projet'!$E$9+1,1))-AVERAGE(OFFSET($H$3,0,0,'Données projet'!$E$9+1,1))</f>
        <v>262.21372546382133</v>
      </c>
      <c r="T13" s="59">
        <f t="shared" si="34"/>
        <v>263.5279690714105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9.6605882352941173</v>
      </c>
      <c r="N14" s="13">
        <f>IF('Données projet'!$A$36&gt;35,N13+M14-V13,IF(A14&lt;'Données projet'!$A$36,$K$205^A14,IF(A14='Données projet'!$A$36,'Données projet'!$B$36,N13+M14-V13)))</f>
        <v>27.134891141115393</v>
      </c>
      <c r="O14" s="13">
        <f>N14*VLOOKUP('Données projet'!$B$9,Paramètres!$A$1:$I$89,3,0)*VLOOKUP('Données projet'!$B$9,Paramètres!$A$1:$I$89,5,0)</f>
        <v>16.226664902387007</v>
      </c>
      <c r="P14" s="13">
        <f t="shared" si="33"/>
        <v>5.4064307646329395</v>
      </c>
      <c r="Q14" s="20">
        <f t="shared" si="2"/>
        <v>37.677641620059738</v>
      </c>
      <c r="R14" s="59">
        <f t="shared" si="0"/>
        <v>331.01097495339303</v>
      </c>
      <c r="S14" s="59">
        <f ca="1">AVERAGE(OFFSET($R$3,0,0,'Données projet'!$E$9+1,1))-AVERAGE(OFFSET($H$3,0,0,'Données projet'!$E$9+1,1))</f>
        <v>262.21372546382133</v>
      </c>
      <c r="T14" s="59">
        <f t="shared" si="34"/>
        <v>263.5279690714105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9.6605882352941173</v>
      </c>
      <c r="N15" s="13">
        <f>IF('Données projet'!$A$36&gt;35,N14+M15-V14,IF(A15&lt;'Données projet'!$A$36,$K$205^A15,IF(A15='Données projet'!$A$36,'Données projet'!$B$36,N14+M15-V14)))</f>
        <v>36.631003690297845</v>
      </c>
      <c r="O15" s="13">
        <f>N15*VLOOKUP('Données projet'!$B$9,Paramètres!$A$1:$I$89,3,0)*VLOOKUP('Données projet'!$B$9,Paramètres!$A$1:$I$89,5,0)</f>
        <v>21.905340206798115</v>
      </c>
      <c r="P15" s="13">
        <f t="shared" si="33"/>
        <v>7.0479375471838361</v>
      </c>
      <c r="Q15" s="20">
        <f t="shared" si="2"/>
        <v>50.426958754851889</v>
      </c>
      <c r="R15" s="59">
        <f t="shared" si="0"/>
        <v>343.76029208818522</v>
      </c>
      <c r="S15" s="59">
        <f ca="1">AVERAGE(OFFSET($R$3,0,0,'Données projet'!$E$9+1,1))-AVERAGE(OFFSET($H$3,0,0,'Données projet'!$E$9+1,1))</f>
        <v>262.21372546382133</v>
      </c>
      <c r="T15" s="59">
        <f t="shared" si="34"/>
        <v>263.5279690714105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9.6605882352941173</v>
      </c>
      <c r="N16" s="13">
        <f>IF('Données projet'!$A$36&gt;35,N15+M16-V15,IF(A16&lt;'Données projet'!$A$36,$K$205^A16,IF(A16='Données projet'!$A$36,'Données projet'!$B$36,N15+M16-V15)))</f>
        <v>49.450370903660748</v>
      </c>
      <c r="O16" s="13">
        <f>N16*VLOOKUP('Données projet'!$B$9,Paramètres!$A$1:$I$89,3,0)*VLOOKUP('Données projet'!$B$9,Paramètres!$A$1:$I$89,5,0)</f>
        <v>29.571321800389128</v>
      </c>
      <c r="P16" s="13">
        <f t="shared" si="33"/>
        <v>9.1878405239091538</v>
      </c>
      <c r="Q16" s="20">
        <f t="shared" si="2"/>
        <v>67.505541048152836</v>
      </c>
      <c r="R16" s="59">
        <f t="shared" si="0"/>
        <v>360.83887438148616</v>
      </c>
      <c r="S16" s="59">
        <f ca="1">AVERAGE(OFFSET($R$3,0,0,'Données projet'!$E$9+1,1))-AVERAGE(OFFSET($H$3,0,0,'Données projet'!$E$9+1,1))</f>
        <v>262.21372546382133</v>
      </c>
      <c r="T16" s="59">
        <f t="shared" si="34"/>
        <v>263.5279690714105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9.6605882352941173</v>
      </c>
      <c r="N17" s="13">
        <f>IF('Données projet'!$A$36&gt;35,N16+M17-V16,IF(A17&lt;'Données projet'!$A$36,$K$205^A17,IF(A17='Données projet'!$A$36,'Données projet'!$B$36,N16+M17-V16)))</f>
        <v>66.755997274442535</v>
      </c>
      <c r="O17" s="13">
        <f>N17*VLOOKUP('Données projet'!$B$9,Paramètres!$A$1:$I$89,3,0)*VLOOKUP('Données projet'!$B$9,Paramètres!$A$1:$I$89,5,0)</f>
        <v>39.920086370116636</v>
      </c>
      <c r="P17" s="13">
        <f t="shared" si="33"/>
        <v>11.97746332563883</v>
      </c>
      <c r="Q17" s="20">
        <f t="shared" si="2"/>
        <v>90.388232386774106</v>
      </c>
      <c r="R17" s="59">
        <f t="shared" si="0"/>
        <v>383.72156572010744</v>
      </c>
      <c r="S17" s="59">
        <f ca="1">AVERAGE(OFFSET($R$3,0,0,'Données projet'!$E$9+1,1))-AVERAGE(OFFSET($H$3,0,0,'Données projet'!$E$9+1,1))</f>
        <v>262.21372546382133</v>
      </c>
      <c r="T17" s="59">
        <f t="shared" si="34"/>
        <v>263.5279690714105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9.6605882352941173</v>
      </c>
      <c r="N18" s="13">
        <f>IF('Données projet'!$A$36&gt;35,N17+M18-V17,IF(A18&lt;'Données projet'!$A$36,$K$205^A18,IF(A18='Données projet'!$A$36,'Données projet'!$B$36,N17+M18-V17)))</f>
        <v>90.11789175024127</v>
      </c>
      <c r="O18" s="13">
        <f>N18*VLOOKUP('Données projet'!$B$9,Paramètres!$A$1:$I$89,3,0)*VLOOKUP('Données projet'!$B$9,Paramètres!$A$1:$I$89,5,0)</f>
        <v>53.890499266644284</v>
      </c>
      <c r="P18" s="13">
        <f t="shared" si="33"/>
        <v>15.614074639596092</v>
      </c>
      <c r="Q18" s="20">
        <f t="shared" si="2"/>
        <v>121.05379955336865</v>
      </c>
      <c r="R18" s="59">
        <f t="shared" si="0"/>
        <v>414.38713288670198</v>
      </c>
      <c r="S18" s="59">
        <f ca="1">AVERAGE(OFFSET($R$3,0,0,'Données projet'!$E$9+1,1))-AVERAGE(OFFSET($H$3,0,0,'Données projet'!$E$9+1,1))</f>
        <v>262.21372546382133</v>
      </c>
      <c r="T18" s="59">
        <f t="shared" si="34"/>
        <v>263.5279690714105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9.6605882352941173</v>
      </c>
      <c r="N19" s="13">
        <f>IF('Données projet'!$A$36&gt;35,N18+M19-V18,IF(A19&lt;'Données projet'!$A$36,$K$205^A19,IF(A19='Données projet'!$A$36,'Données projet'!$B$36,N18+M19-V18)))</f>
        <v>121.65550280255357</v>
      </c>
      <c r="O19" s="13">
        <f>N19*VLOOKUP('Données projet'!$B$9,Paramètres!$A$1:$I$89,3,0)*VLOOKUP('Données projet'!$B$9,Paramètres!$A$1:$I$89,5,0)</f>
        <v>72.749990675927037</v>
      </c>
      <c r="P19" s="13">
        <f t="shared" si="33"/>
        <v>20.354838100735694</v>
      </c>
      <c r="Q19" s="20">
        <f t="shared" si="2"/>
        <v>162.15757678602091</v>
      </c>
      <c r="R19" s="59">
        <f t="shared" si="0"/>
        <v>455.49091011935423</v>
      </c>
      <c r="S19" s="59">
        <f ca="1">AVERAGE(OFFSET($R$3,0,0,'Données projet'!$E$9+1,1))-AVERAGE(OFFSET($H$3,0,0,'Données projet'!$E$9+1,1))</f>
        <v>262.21372546382133</v>
      </c>
      <c r="T19" s="59">
        <f t="shared" si="34"/>
        <v>263.5279690714105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164.23</v>
      </c>
      <c r="L20" s="12">
        <f>VLOOKUP(A20,'Données projet'!$A$35:$I$55,9,0)</f>
        <v>9.6605882352941173</v>
      </c>
      <c r="M20" s="12">
        <f t="array" ref="M20">INDEX(L:L,MIN(IF(ISNUMBER(L20:L216),ROW(L20:L216),"")))</f>
        <v>9.6605882352941173</v>
      </c>
      <c r="N20" s="13">
        <f>IF('Données projet'!$A$36&gt;35,N19+M20-V19,IF(A20&lt;'Données projet'!$A$36,$K$205^A20,IF(A20='Données projet'!$A$36,'Données projet'!$B$36,N19+M20-V19)))</f>
        <v>164.23</v>
      </c>
      <c r="O20" s="13">
        <f>N20*VLOOKUP('Données projet'!$B$9,Paramètres!$A$1:$I$89,3,0)*VLOOKUP('Données projet'!$B$9,Paramètres!$A$1:$I$89,5,0)</f>
        <v>98.209540000000004</v>
      </c>
      <c r="P20" s="13">
        <f t="shared" si="33"/>
        <v>26.534997665278201</v>
      </c>
      <c r="Q20" s="20">
        <f t="shared" si="2"/>
        <v>217.26340310035951</v>
      </c>
      <c r="R20" s="59">
        <f t="shared" si="0"/>
        <v>510.59673643369285</v>
      </c>
      <c r="S20" s="59">
        <f ca="1">AVERAGE(OFFSET($R$3,0,0,'Données projet'!$E$9+1,1))-AVERAGE(OFFSET($H$3,0,0,'Données projet'!$E$9+1,1))</f>
        <v>262.21372546382133</v>
      </c>
      <c r="T20" s="59">
        <f t="shared" si="34"/>
        <v>263.5279690714105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54.71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10.893901341243648</v>
      </c>
      <c r="AB20" s="21">
        <f>EXP(-LN(2)/2)*AB19+(1-EXP(-LN(2)/2))/(LN(2)/2)*V20*Y20*VLOOKUP('Données projet'!$B$9,Paramètres!$A$1:$I$89,3,0)*0.475*44/12</f>
        <v>16.298818157867704</v>
      </c>
      <c r="AC20" s="22">
        <f t="shared" si="3"/>
        <v>27.192719499111352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19.405000000000001</v>
      </c>
      <c r="N21" s="13">
        <f>IF('Données projet'!$A$36&gt;35,N20+M21-V20,IF(A21&lt;'Données projet'!$A$36,$K$205^A21,IF(A21='Données projet'!$A$36,'Données projet'!$B$36,N20+M21-V20)))</f>
        <v>128.92499999999998</v>
      </c>
      <c r="O21" s="13">
        <f>N21*VLOOKUP('Données projet'!$B$9,Paramètres!$A$1:$I$89,3,0)*VLOOKUP('Données projet'!$B$9,Paramètres!$A$1:$I$89,5,0)</f>
        <v>77.097149999999999</v>
      </c>
      <c r="P21" s="13">
        <f t="shared" si="33"/>
        <v>21.425902683546461</v>
      </c>
      <c r="Q21" s="20">
        <f t="shared" si="2"/>
        <v>171.59431675717676</v>
      </c>
      <c r="R21" s="59">
        <f t="shared" si="0"/>
        <v>464.92765009051004</v>
      </c>
      <c r="S21" s="59">
        <f ca="1">AVERAGE(OFFSET($R$3,0,0,'Données projet'!$E$9+1,1))-AVERAGE(OFFSET($H$3,0,0,'Données projet'!$E$9+1,1))</f>
        <v>262.21372546382133</v>
      </c>
      <c r="T21" s="59">
        <f t="shared" si="34"/>
        <v>263.5279690714105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10.596007036181968</v>
      </c>
      <c r="AB21" s="21">
        <f>EXP(-LN(2)/2)*AB20+(1-EXP(-LN(2)/2))/(LN(2)/2)*V21*Y21*VLOOKUP('Données projet'!$B$9,Paramètres!$A$1:$I$89,3,0)*0.475*44/12</f>
        <v>11.525004844754687</v>
      </c>
      <c r="AC21" s="22">
        <f t="shared" si="3"/>
        <v>22.121011880936656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19.405000000000001</v>
      </c>
      <c r="N22" s="13">
        <f>IF('Données projet'!$A$36&gt;35,N21+M22-V21,IF(A22&lt;'Données projet'!$A$36,$K$205^A22,IF(A22='Données projet'!$A$36,'Données projet'!$B$36,N21+M22-V21)))</f>
        <v>148.32999999999998</v>
      </c>
      <c r="O22" s="13">
        <f>N22*VLOOKUP('Données projet'!$B$9,Paramètres!$A$1:$I$89,3,0)*VLOOKUP('Données projet'!$B$9,Paramètres!$A$1:$I$89,5,0)</f>
        <v>88.701339999999988</v>
      </c>
      <c r="P22" s="13">
        <f t="shared" si="33"/>
        <v>24.251755020259427</v>
      </c>
      <c r="Q22" s="20">
        <f t="shared" si="2"/>
        <v>196.72664049361845</v>
      </c>
      <c r="R22" s="59">
        <f t="shared" si="0"/>
        <v>490.05997382695176</v>
      </c>
      <c r="S22" s="59">
        <f ca="1">AVERAGE(OFFSET($R$3,0,0,'Données projet'!$E$9+1,1))-AVERAGE(OFFSET($H$3,0,0,'Données projet'!$E$9+1,1))</f>
        <v>262.21372546382133</v>
      </c>
      <c r="T22" s="59">
        <f t="shared" si="34"/>
        <v>263.5279690714105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10.306258666557779</v>
      </c>
      <c r="AB22" s="21">
        <f>EXP(-LN(2)/2)*AB21+(1-EXP(-LN(2)/2))/(LN(2)/2)*V22*Y22*VLOOKUP('Données projet'!$B$9,Paramètres!$A$1:$I$89,3,0)*0.475*44/12</f>
        <v>8.1494090789338536</v>
      </c>
      <c r="AC22" s="22">
        <f t="shared" si="3"/>
        <v>18.455667745491631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19.405000000000001</v>
      </c>
      <c r="N23" s="13">
        <f>IF('Données projet'!$A$36&gt;35,N22+M23-V22,IF(A23&lt;'Données projet'!$A$36,$K$205^A23,IF(A23='Données projet'!$A$36,'Données projet'!$B$36,N22+M23-V22)))</f>
        <v>167.73499999999999</v>
      </c>
      <c r="O23" s="13">
        <f>N23*VLOOKUP('Données projet'!$B$9,Paramètres!$A$1:$I$89,3,0)*VLOOKUP('Données projet'!$B$9,Paramètres!$A$1:$I$89,5,0)</f>
        <v>100.30552999999999</v>
      </c>
      <c r="P23" s="13">
        <f t="shared" si="33"/>
        <v>27.034772929282543</v>
      </c>
      <c r="Q23" s="20">
        <f t="shared" si="2"/>
        <v>221.78436093516709</v>
      </c>
      <c r="R23" s="59">
        <f t="shared" si="0"/>
        <v>515.11769426850037</v>
      </c>
      <c r="S23" s="59">
        <f ca="1">AVERAGE(OFFSET($R$3,0,0,'Données projet'!$E$9+1,1))-AVERAGE(OFFSET($H$3,0,0,'Données projet'!$E$9+1,1))</f>
        <v>262.21372546382133</v>
      </c>
      <c r="T23" s="59">
        <f t="shared" si="34"/>
        <v>263.5279690714105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10.024433481338169</v>
      </c>
      <c r="AB23" s="21">
        <f>EXP(-LN(2)/2)*AB22+(1-EXP(-LN(2)/2))/(LN(2)/2)*V23*Y23*VLOOKUP('Données projet'!$B$9,Paramètres!$A$1:$I$89,3,0)*0.475*44/12</f>
        <v>5.7625024223773442</v>
      </c>
      <c r="AC23" s="22">
        <f t="shared" si="3"/>
        <v>15.786935903715513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19.405000000000001</v>
      </c>
      <c r="N24" s="13">
        <f>IF('Données projet'!$A$36&gt;35,N23+M24-V23,IF(A24&lt;'Données projet'!$A$36,$K$205^A24,IF(A24='Données projet'!$A$36,'Données projet'!$B$36,N23+M24-V23)))</f>
        <v>187.14</v>
      </c>
      <c r="O24" s="13">
        <f>N24*VLOOKUP('Données projet'!$B$9,Paramètres!$A$1:$I$89,3,0)*VLOOKUP('Données projet'!$B$9,Paramètres!$A$1:$I$89,5,0)</f>
        <v>111.90972000000001</v>
      </c>
      <c r="P24" s="13">
        <f t="shared" si="33"/>
        <v>29.780477779017989</v>
      </c>
      <c r="Q24" s="20">
        <f t="shared" si="2"/>
        <v>246.77709446512299</v>
      </c>
      <c r="R24" s="59">
        <f t="shared" si="0"/>
        <v>540.11042779845627</v>
      </c>
      <c r="S24" s="59">
        <f ca="1">AVERAGE(OFFSET($R$3,0,0,'Données projet'!$E$9+1,1))-AVERAGE(OFFSET($H$3,0,0,'Données projet'!$E$9+1,1))</f>
        <v>262.21372546382133</v>
      </c>
      <c r="T24" s="59">
        <f t="shared" si="34"/>
        <v>263.5279690714105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9.7503148206289314</v>
      </c>
      <c r="AB24" s="21">
        <f>EXP(-LN(2)/2)*AB23+(1-EXP(-LN(2)/2))/(LN(2)/2)*V24*Y24*VLOOKUP('Données projet'!$B$9,Paramètres!$A$1:$I$89,3,0)*0.475*44/12</f>
        <v>4.0747045394669268</v>
      </c>
      <c r="AC24" s="22">
        <f t="shared" si="3"/>
        <v>13.825019360095858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19.405000000000001</v>
      </c>
      <c r="N25" s="13">
        <f>IF('Données projet'!$A$36&gt;35,N24+M25-V24,IF(A25&lt;'Données projet'!$A$36,$K$205^A25,IF(A25='Données projet'!$A$36,'Données projet'!$B$36,N24+M25-V24)))</f>
        <v>206.54499999999999</v>
      </c>
      <c r="O25" s="13">
        <f>N25*VLOOKUP('Données projet'!$B$9,Paramètres!$A$1:$I$89,3,0)*VLOOKUP('Données projet'!$B$9,Paramètres!$A$1:$I$89,5,0)</f>
        <v>123.51391000000001</v>
      </c>
      <c r="P25" s="13">
        <f t="shared" si="33"/>
        <v>32.493179350123825</v>
      </c>
      <c r="Q25" s="20">
        <f t="shared" si="2"/>
        <v>271.71234728479902</v>
      </c>
      <c r="R25" s="59">
        <f t="shared" si="0"/>
        <v>565.04568061813234</v>
      </c>
      <c r="S25" s="59">
        <f ca="1">AVERAGE(OFFSET($R$3,0,0,'Données projet'!$E$9+1,1))-AVERAGE(OFFSET($H$3,0,0,'Données projet'!$E$9+1,1))</f>
        <v>262.21372546382133</v>
      </c>
      <c r="T25" s="59">
        <f t="shared" si="34"/>
        <v>263.5279690714105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9.4836919491120621</v>
      </c>
      <c r="AB25" s="21">
        <f>EXP(-LN(2)/2)*AB24+(1-EXP(-LN(2)/2))/(LN(2)/2)*V25*Y25*VLOOKUP('Données projet'!$B$9,Paramètres!$A$1:$I$89,3,0)*0.475*44/12</f>
        <v>2.8812512111886721</v>
      </c>
      <c r="AC25" s="22">
        <f t="shared" si="3"/>
        <v>12.364943160300735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225.95</v>
      </c>
      <c r="L26" s="12">
        <f>VLOOKUP(A26,'Données projet'!$A$35:$I$55,9,0)</f>
        <v>19.405000000000001</v>
      </c>
      <c r="M26" s="12">
        <f t="array" ref="M26">INDEX(L:L,MIN(IF(ISNUMBER(L26:L222),ROW(L26:L222),"")))</f>
        <v>19.405000000000001</v>
      </c>
      <c r="N26" s="13">
        <f>IF('Données projet'!$A$36&gt;35,N25+M26-V25,IF(A26&lt;'Données projet'!$A$36,$K$205^A26,IF(A26='Données projet'!$A$36,'Données projet'!$B$36,N25+M26-V25)))</f>
        <v>225.95</v>
      </c>
      <c r="O26" s="13">
        <f>N26*VLOOKUP('Données projet'!$B$9,Paramètres!$A$1:$I$89,3,0)*VLOOKUP('Données projet'!$B$9,Paramètres!$A$1:$I$89,5,0)</f>
        <v>135.1181</v>
      </c>
      <c r="P26" s="13">
        <f t="shared" si="33"/>
        <v>35.176331036110092</v>
      </c>
      <c r="Q26" s="20">
        <f t="shared" si="2"/>
        <v>296.59613405455843</v>
      </c>
      <c r="R26" s="59">
        <f t="shared" si="0"/>
        <v>589.92946738789169</v>
      </c>
      <c r="S26" s="59">
        <f ca="1">AVERAGE(OFFSET($R$3,0,0,'Données projet'!$E$9+1,1))-AVERAGE(OFFSET($H$3,0,0,'Données projet'!$E$9+1,1))</f>
        <v>262.21372546382133</v>
      </c>
      <c r="T26" s="59">
        <f t="shared" si="34"/>
        <v>263.5279690714105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70.33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0.25200000000000006</v>
      </c>
      <c r="Y26" s="16">
        <f>IF(ISNA(VLOOKUP(A26,'Données projet'!$A$35:$I$55,7,0)),0%,VLOOKUP(A26,'Données projet'!$A$35:$I$55,7,0))</f>
        <v>0.44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23.228528808855415</v>
      </c>
      <c r="AB26" s="21">
        <f>EXP(-LN(2)/2)*AB25+(1-EXP(-LN(2)/2))/(LN(2)/2)*V26*Y26*VLOOKUP('Données projet'!$B$9,Paramètres!$A$1:$I$89,3,0)*0.475*44/12</f>
        <v>22.989570895996231</v>
      </c>
      <c r="AC26" s="22">
        <f t="shared" si="3"/>
        <v>46.218099704851646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19.594999999999999</v>
      </c>
      <c r="N27" s="13">
        <f>IF('Données projet'!$A$36&gt;35,N26+M27-V26,IF(A27&lt;'Données projet'!$A$36,$K$205^A27,IF(A27='Données projet'!$A$36,'Données projet'!$B$36,N26+M27-V26)))</f>
        <v>175.21499999999997</v>
      </c>
      <c r="O27" s="13">
        <f>N27*VLOOKUP('Données projet'!$B$9,Paramètres!$A$1:$I$89,3,0)*VLOOKUP('Données projet'!$B$9,Paramètres!$A$1:$I$89,5,0)</f>
        <v>104.77856999999999</v>
      </c>
      <c r="P27" s="13">
        <f t="shared" si="33"/>
        <v>28.097314760624915</v>
      </c>
      <c r="Q27" s="20">
        <f t="shared" si="2"/>
        <v>231.42549929142169</v>
      </c>
      <c r="R27" s="59">
        <f t="shared" si="0"/>
        <v>524.75883262475497</v>
      </c>
      <c r="S27" s="59">
        <f ca="1">AVERAGE(OFFSET($R$3,0,0,'Données projet'!$E$9+1,1))-AVERAGE(OFFSET($H$3,0,0,'Données projet'!$E$9+1,1))</f>
        <v>262.21372546382133</v>
      </c>
      <c r="T27" s="59">
        <f t="shared" si="34"/>
        <v>263.5279690714105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22.593343467042022</v>
      </c>
      <c r="AB27" s="21">
        <f>EXP(-LN(2)/2)*AB26+(1-EXP(-LN(2)/2))/(LN(2)/2)*V27*Y27*VLOOKUP('Données projet'!$B$9,Paramètres!$A$1:$I$89,3,0)*0.475*44/12</f>
        <v>16.256081477127829</v>
      </c>
      <c r="AC27" s="22">
        <f t="shared" si="3"/>
        <v>38.849424944169854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19.594999999999999</v>
      </c>
      <c r="N28" s="13">
        <f>IF('Données projet'!$A$36&gt;35,N27+M28-V27,IF(A28&lt;'Données projet'!$A$36,$K$205^A28,IF(A28='Données projet'!$A$36,'Données projet'!$B$36,N27+M28-V27)))</f>
        <v>194.80999999999997</v>
      </c>
      <c r="O28" s="13">
        <f>N28*VLOOKUP('Données projet'!$B$9,Paramètres!$A$1:$I$89,3,0)*VLOOKUP('Données projet'!$B$9,Paramètres!$A$1:$I$89,5,0)</f>
        <v>116.49637999999999</v>
      </c>
      <c r="P28" s="13">
        <f t="shared" si="33"/>
        <v>30.856433573868703</v>
      </c>
      <c r="Q28" s="20">
        <f t="shared" si="2"/>
        <v>256.63948364115464</v>
      </c>
      <c r="R28" s="59">
        <f t="shared" si="0"/>
        <v>549.97281697448796</v>
      </c>
      <c r="S28" s="59">
        <f ca="1">AVERAGE(OFFSET($R$3,0,0,'Données projet'!$E$9+1,1))-AVERAGE(OFFSET($H$3,0,0,'Données projet'!$E$9+1,1))</f>
        <v>262.21372546382133</v>
      </c>
      <c r="T28" s="59">
        <f t="shared" si="34"/>
        <v>263.5279690714105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21.975527301803464</v>
      </c>
      <c r="AB28" s="21">
        <f>EXP(-LN(2)/2)*AB27+(1-EXP(-LN(2)/2))/(LN(2)/2)*V28*Y28*VLOOKUP('Données projet'!$B$9,Paramètres!$A$1:$I$89,3,0)*0.475*44/12</f>
        <v>11.494785447998117</v>
      </c>
      <c r="AC28" s="22">
        <f t="shared" si="3"/>
        <v>33.470312749801579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19.594999999999999</v>
      </c>
      <c r="N29" s="13">
        <f>IF('Données projet'!$A$36&gt;35,N28+M29-V28,IF(A29&lt;'Données projet'!$A$36,$K$205^A29,IF(A29='Données projet'!$A$36,'Données projet'!$B$36,N28+M29-V28)))</f>
        <v>214.40499999999997</v>
      </c>
      <c r="O29" s="13">
        <f>N29*VLOOKUP('Données projet'!$B$9,Paramètres!$A$1:$I$89,3,0)*VLOOKUP('Données projet'!$B$9,Paramètres!$A$1:$I$89,5,0)</f>
        <v>128.21418999999997</v>
      </c>
      <c r="P29" s="13">
        <f t="shared" si="33"/>
        <v>33.583379465602683</v>
      </c>
      <c r="Q29" s="20">
        <f t="shared" si="2"/>
        <v>281.79743348592461</v>
      </c>
      <c r="R29" s="59">
        <f t="shared" si="0"/>
        <v>575.13076681925793</v>
      </c>
      <c r="S29" s="59">
        <f ca="1">AVERAGE(OFFSET($R$3,0,0,'Données projet'!$E$9+1,1))-AVERAGE(OFFSET($H$3,0,0,'Données projet'!$E$9+1,1))</f>
        <v>262.21372546382133</v>
      </c>
      <c r="T29" s="59">
        <f t="shared" si="34"/>
        <v>263.5279690714105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21.374605352092892</v>
      </c>
      <c r="AB29" s="21">
        <f>EXP(-LN(2)/2)*AB28+(1-EXP(-LN(2)/2))/(LN(2)/2)*V29*Y29*VLOOKUP('Données projet'!$B$9,Paramètres!$A$1:$I$89,3,0)*0.475*44/12</f>
        <v>8.1280407385639162</v>
      </c>
      <c r="AC29" s="22">
        <f t="shared" si="3"/>
        <v>29.50264609065681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19.594999999999999</v>
      </c>
      <c r="N30" s="13">
        <f>IF('Données projet'!$A$36&gt;35,N29+M30-V29,IF(A30&lt;'Données projet'!$A$36,$K$205^A30,IF(A30='Données projet'!$A$36,'Données projet'!$B$36,N29+M30-V29)))</f>
        <v>233.99999999999997</v>
      </c>
      <c r="O30" s="13">
        <f>N30*VLOOKUP('Données projet'!$B$9,Paramètres!$A$1:$I$89,3,0)*VLOOKUP('Données projet'!$B$9,Paramètres!$A$1:$I$89,5,0)</f>
        <v>139.93199999999999</v>
      </c>
      <c r="P30" s="13">
        <f t="shared" si="33"/>
        <v>36.281427209452353</v>
      </c>
      <c r="Q30" s="20">
        <f t="shared" si="2"/>
        <v>306.90505238979614</v>
      </c>
      <c r="R30" s="59">
        <f t="shared" si="0"/>
        <v>600.23838572312945</v>
      </c>
      <c r="S30" s="59">
        <f ca="1">AVERAGE(OFFSET($R$3,0,0,'Données projet'!$E$9+1,1))-AVERAGE(OFFSET($H$3,0,0,'Données projet'!$E$9+1,1))</f>
        <v>262.21372546382133</v>
      </c>
      <c r="T30" s="59">
        <f t="shared" si="34"/>
        <v>263.5279690714105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20.790115644698268</v>
      </c>
      <c r="AB30" s="21">
        <f>EXP(-LN(2)/2)*AB29+(1-EXP(-LN(2)/2))/(LN(2)/2)*V30*Y30*VLOOKUP('Données projet'!$B$9,Paramètres!$A$1:$I$89,3,0)*0.475*44/12</f>
        <v>5.7473927239990594</v>
      </c>
      <c r="AC30" s="22">
        <f t="shared" si="3"/>
        <v>26.537508368697328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19.594999999999999</v>
      </c>
      <c r="N31" s="13">
        <f>IF('Données projet'!$A$36&gt;35,N30+M31-V30,IF(A31&lt;'Données projet'!$A$36,$K$205^A31,IF(A31='Données projet'!$A$36,'Données projet'!$B$36,N30+M31-V30)))</f>
        <v>253.59499999999997</v>
      </c>
      <c r="O31" s="13">
        <f>N31*VLOOKUP('Données projet'!$B$9,Paramètres!$A$1:$I$89,3,0)*VLOOKUP('Données projet'!$B$9,Paramètres!$A$1:$I$89,5,0)</f>
        <v>151.64980999999997</v>
      </c>
      <c r="P31" s="13">
        <f t="shared" si="33"/>
        <v>38.953271840610711</v>
      </c>
      <c r="Q31" s="20">
        <f t="shared" si="2"/>
        <v>331.96703420573027</v>
      </c>
      <c r="R31" s="59">
        <f t="shared" si="0"/>
        <v>625.30036753906359</v>
      </c>
      <c r="S31" s="59">
        <f ca="1">AVERAGE(OFFSET($R$3,0,0,'Données projet'!$E$9+1,1))-AVERAGE(OFFSET($H$3,0,0,'Données projet'!$E$9+1,1))</f>
        <v>262.21372546382133</v>
      </c>
      <c r="T31" s="59">
        <f t="shared" si="34"/>
        <v>263.5279690714105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20.221608839089328</v>
      </c>
      <c r="AB31" s="21">
        <f>EXP(-LN(2)/2)*AB30+(1-EXP(-LN(2)/2))/(LN(2)/2)*V31*Y31*VLOOKUP('Données projet'!$B$9,Paramètres!$A$1:$I$89,3,0)*0.475*44/12</f>
        <v>4.0640203692819581</v>
      </c>
      <c r="AC31" s="22">
        <f t="shared" si="3"/>
        <v>24.285629208371287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273.19</v>
      </c>
      <c r="L32" s="12">
        <f>VLOOKUP(A32,'Données projet'!$A$35:$I$55,9,0)</f>
        <v>19.594999999999999</v>
      </c>
      <c r="M32" s="12">
        <f t="array" ref="M32">INDEX(L:L,MIN(IF(ISNUMBER(L32:L228),ROW(L32:L228),"")))</f>
        <v>19.594999999999999</v>
      </c>
      <c r="N32" s="13">
        <f>IF('Données projet'!$A$36&gt;35,N31+M32-V31,IF(A32&lt;'Données projet'!$A$36,$K$205^A32,IF(A32='Données projet'!$A$36,'Données projet'!$B$36,N31+M32-V31)))</f>
        <v>273.18999999999994</v>
      </c>
      <c r="O32" s="13">
        <f>N32*VLOOKUP('Données projet'!$B$9,Paramètres!$A$1:$I$89,3,0)*VLOOKUP('Données projet'!$B$9,Paramètres!$A$1:$I$89,5,0)</f>
        <v>163.36761999999996</v>
      </c>
      <c r="P32" s="13">
        <f t="shared" si="33"/>
        <v>41.601168246307083</v>
      </c>
      <c r="Q32" s="20">
        <f t="shared" si="2"/>
        <v>356.9873061956514</v>
      </c>
      <c r="R32" s="59">
        <f t="shared" si="0"/>
        <v>650.32063952898466</v>
      </c>
      <c r="S32" s="59">
        <f ca="1">AVERAGE(OFFSET($R$3,0,0,'Données projet'!$E$9+1,1))-AVERAGE(OFFSET($H$3,0,0,'Données projet'!$E$9+1,1))</f>
        <v>262.21372546382133</v>
      </c>
      <c r="T32" s="59">
        <f t="shared" si="34"/>
        <v>263.5279690714105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61.96</v>
      </c>
      <c r="W32" s="16">
        <f>IF(ISNA(VLOOKUP(A32,'Données projet'!$A$35:$I$55,5,0)),0%,VLOOKUP(A32,'Données projet'!$A$35:$I$55,5,0)*VLOOKUP('Données projet'!$B$9,Paramètres!$A$1:$I$89,7,0))</f>
        <v>0.315</v>
      </c>
      <c r="X32" s="16">
        <f>IF(ISNA(VLOOKUP(A32,'Données projet'!$A$35:$I$55,6,0)),0%,VLOOKUP(A32,'Données projet'!$A$35:$I$55,6,0)*VLOOKUP('Données projet'!$B$9,Paramètres!$A$1:$I$89,7,0))</f>
        <v>7.5600000000000001E-2</v>
      </c>
      <c r="Y32" s="16">
        <f>IF(ISNA(VLOOKUP(A32,'Données projet'!$A$35:$I$55,7,0)),0%,VLOOKUP(A32,'Données projet'!$A$35:$I$55,7,0))</f>
        <v>0.13200000000000001</v>
      </c>
      <c r="Z32" s="21">
        <f>EXP(-LN(2)/35)*Z31+(1-EXP(-LN(2)/35))/(LN(2)/35)*V32*W32*VLOOKUP('Données projet'!$B$9,Paramètres!$A$1:$I$89,3,0)*0.475*44/12</f>
        <v>15.482871283352218</v>
      </c>
      <c r="AA32" s="21">
        <f>EXP(-LN(2)/25)*AA31+(1-EXP(-LN(2)/25))/(LN(2)/25)*Calculateur!V32*Calculateur!X32*VLOOKUP('Données projet'!$B$9,Paramètres!$A$1:$I$89,3,0)*0.475*44/12</f>
        <v>23.369906118697806</v>
      </c>
      <c r="AB32" s="21">
        <f>EXP(-LN(2)/2)*AB31+(1-EXP(-LN(2)/2))/(LN(2)/2)*V32*Y32*VLOOKUP('Données projet'!$B$9,Paramètres!$A$1:$I$89,3,0)*0.475*44/12</f>
        <v>8.4113025019820729</v>
      </c>
      <c r="AC32" s="22">
        <f t="shared" si="3"/>
        <v>47.264079904032094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18.588571428571434</v>
      </c>
      <c r="N33" s="13">
        <f>IF('Données projet'!$A$36&gt;35,N32+M33-V32,IF(A33&lt;'Données projet'!$A$36,$K$205^A33,IF(A33='Données projet'!$A$36,'Données projet'!$B$36,N32+M33-V32)))</f>
        <v>229.81857142857135</v>
      </c>
      <c r="O33" s="13">
        <f>N33*VLOOKUP('Données projet'!$B$9,Paramètres!$A$1:$I$89,3,0)*VLOOKUP('Données projet'!$B$9,Paramètres!$A$1:$I$89,5,0)</f>
        <v>137.43150571428569</v>
      </c>
      <c r="P33" s="13">
        <f t="shared" si="33"/>
        <v>35.70796691435644</v>
      </c>
      <c r="Q33" s="20">
        <f t="shared" si="2"/>
        <v>301.55124816155165</v>
      </c>
      <c r="R33" s="59">
        <f t="shared" si="0"/>
        <v>594.88458149488497</v>
      </c>
      <c r="S33" s="59">
        <f ca="1">AVERAGE(OFFSET($R$3,0,0,'Données projet'!$E$9+1,1))-AVERAGE(OFFSET($H$3,0,0,'Données projet'!$E$9+1,1))</f>
        <v>262.21372546382133</v>
      </c>
      <c r="T33" s="59">
        <f t="shared" si="34"/>
        <v>263.5279690714105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15.179261621104683</v>
      </c>
      <c r="AA33" s="21">
        <f>EXP(-LN(2)/25)*AA32+(1-EXP(-LN(2)/25))/(LN(2)/25)*Calculateur!V33*Calculateur!X33*VLOOKUP('Données projet'!$B$9,Paramètres!$A$1:$I$89,3,0)*0.475*44/12</f>
        <v>22.730854806912063</v>
      </c>
      <c r="AB33" s="21">
        <f>EXP(-LN(2)/2)*AB32+(1-EXP(-LN(2)/2))/(LN(2)/2)*V33*Y33*VLOOKUP('Données projet'!$B$9,Paramètres!$A$1:$I$89,3,0)*0.475*44/12</f>
        <v>5.9476890377628981</v>
      </c>
      <c r="AC33" s="22">
        <f t="shared" si="3"/>
        <v>43.857805465779649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18.588571428571434</v>
      </c>
      <c r="N34" s="13">
        <f>IF('Données projet'!$A$36&gt;35,N33+M34-V33,IF(A34&lt;'Données projet'!$A$36,$K$205^A34,IF(A34='Données projet'!$A$36,'Données projet'!$B$36,N33+M34-V33)))</f>
        <v>248.40714285714279</v>
      </c>
      <c r="O34" s="13">
        <f>N34*VLOOKUP('Données projet'!$B$9,Paramètres!$A$1:$I$89,3,0)*VLOOKUP('Données projet'!$B$9,Paramètres!$A$1:$I$89,5,0)</f>
        <v>148.54747142857141</v>
      </c>
      <c r="P34" s="13">
        <f t="shared" si="33"/>
        <v>38.248306583161778</v>
      </c>
      <c r="Q34" s="20">
        <f t="shared" si="2"/>
        <v>325.33598003710199</v>
      </c>
      <c r="R34" s="59">
        <f t="shared" si="0"/>
        <v>618.66931337043525</v>
      </c>
      <c r="S34" s="59">
        <f ca="1">AVERAGE(OFFSET($R$3,0,0,'Données projet'!$E$9+1,1))-AVERAGE(OFFSET($H$3,0,0,'Données projet'!$E$9+1,1))</f>
        <v>262.21372546382133</v>
      </c>
      <c r="T34" s="59">
        <f t="shared" si="34"/>
        <v>263.5279690714105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14.881605559150215</v>
      </c>
      <c r="AA34" s="21">
        <f>EXP(-LN(2)/25)*AA33+(1-EXP(-LN(2)/25))/(LN(2)/25)*Calculateur!V34*Calculateur!X34*VLOOKUP('Données projet'!$B$9,Paramètres!$A$1:$I$89,3,0)*0.475*44/12</f>
        <v>22.109278386853351</v>
      </c>
      <c r="AB34" s="21">
        <f>EXP(-LN(2)/2)*AB33+(1-EXP(-LN(2)/2))/(LN(2)/2)*V34*Y34*VLOOKUP('Données projet'!$B$9,Paramètres!$A$1:$I$89,3,0)*0.475*44/12</f>
        <v>4.2056512509910373</v>
      </c>
      <c r="AC34" s="22">
        <f t="shared" si="3"/>
        <v>41.196535196994603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18.588571428571434</v>
      </c>
      <c r="N35" s="13">
        <f>IF('Données projet'!$A$36&gt;35,N34+M35-V34,IF(A35&lt;'Données projet'!$A$36,$K$205^A35,IF(A35='Données projet'!$A$36,'Données projet'!$B$36,N34+M35-V34)))</f>
        <v>266.9957142857142</v>
      </c>
      <c r="O35" s="13">
        <f>N35*VLOOKUP('Données projet'!$B$9,Paramètres!$A$1:$I$89,3,0)*VLOOKUP('Données projet'!$B$9,Paramètres!$A$1:$I$89,5,0)</f>
        <v>159.66343714285711</v>
      </c>
      <c r="P35" s="13">
        <f t="shared" si="33"/>
        <v>40.766593413933535</v>
      </c>
      <c r="Q35" s="20">
        <f t="shared" ref="Q35:Q66" si="53">(O35+P35)*0.475*44/12</f>
        <v>349.08230321974366</v>
      </c>
      <c r="R35" s="59">
        <f t="shared" si="0"/>
        <v>642.41563655307698</v>
      </c>
      <c r="S35" s="59">
        <f ca="1">AVERAGE(OFFSET($R$3,0,0,'Données projet'!$E$9+1,1))-AVERAGE(OFFSET($H$3,0,0,'Données projet'!$E$9+1,1))</f>
        <v>262.21372546382133</v>
      </c>
      <c r="T35" s="59">
        <f t="shared" si="34"/>
        <v>263.5279690714105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14.589786351018402</v>
      </c>
      <c r="AA35" s="21">
        <f>EXP(-LN(2)/25)*AA34+(1-EXP(-LN(2)/25))/(LN(2)/25)*Calculateur!V35*Calculateur!X35*VLOOKUP('Données projet'!$B$9,Paramètres!$A$1:$I$89,3,0)*0.475*44/12</f>
        <v>21.504699006688426</v>
      </c>
      <c r="AB35" s="21">
        <f>EXP(-LN(2)/2)*AB34+(1-EXP(-LN(2)/2))/(LN(2)/2)*V35*Y35*VLOOKUP('Données projet'!$B$9,Paramètres!$A$1:$I$89,3,0)*0.475*44/12</f>
        <v>2.9738445188814495</v>
      </c>
      <c r="AC35" s="22">
        <f t="shared" si="3"/>
        <v>39.06832987658828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18.588571428571434</v>
      </c>
      <c r="N36" s="13">
        <f>IF('Données projet'!$A$36&gt;35,N35+M36-V35,IF(A36&lt;'Données projet'!$A$36,$K$205^A36,IF(A36='Données projet'!$A$36,'Données projet'!$B$36,N35+M36-V35)))</f>
        <v>285.58428571428561</v>
      </c>
      <c r="O36" s="13">
        <f>N36*VLOOKUP('Données projet'!$B$9,Paramètres!$A$1:$I$89,3,0)*VLOOKUP('Données projet'!$B$9,Paramètres!$A$1:$I$89,5,0)</f>
        <v>170.77940285714283</v>
      </c>
      <c r="P36" s="13">
        <f t="shared" si="33"/>
        <v>43.264537399169193</v>
      </c>
      <c r="Q36" s="20">
        <f t="shared" si="53"/>
        <v>372.79319594641009</v>
      </c>
      <c r="R36" s="59">
        <f t="shared" si="0"/>
        <v>666.12652927974341</v>
      </c>
      <c r="S36" s="59">
        <f ca="1">AVERAGE(OFFSET($R$3,0,0,'Données projet'!$E$9+1,1))-AVERAGE(OFFSET($H$3,0,0,'Données projet'!$E$9+1,1))</f>
        <v>262.21372546382133</v>
      </c>
      <c r="T36" s="59">
        <f t="shared" si="34"/>
        <v>263.5279690714105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14.303689539565912</v>
      </c>
      <c r="AA36" s="21">
        <f>EXP(-LN(2)/25)*AA35+(1-EXP(-LN(2)/25))/(LN(2)/25)*Calculateur!V36*Calculateur!X36*VLOOKUP('Données projet'!$B$9,Paramètres!$A$1:$I$89,3,0)*0.475*44/12</f>
        <v>20.916651881467558</v>
      </c>
      <c r="AB36" s="21">
        <f>EXP(-LN(2)/2)*AB35+(1-EXP(-LN(2)/2))/(LN(2)/2)*V36*Y36*VLOOKUP('Données projet'!$B$9,Paramètres!$A$1:$I$89,3,0)*0.475*44/12</f>
        <v>2.1028256254955191</v>
      </c>
      <c r="AC36" s="22">
        <f t="shared" si="3"/>
        <v>37.323167046528987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18.588571428571434</v>
      </c>
      <c r="N37" s="13">
        <f>IF('Données projet'!$A$36&gt;35,N36+M37-V36,IF(A37&lt;'Données projet'!$A$36,$K$205^A37,IF(A37='Données projet'!$A$36,'Données projet'!$B$36,N36+M37-V36)))</f>
        <v>304.17285714285703</v>
      </c>
      <c r="O37" s="13">
        <f>N37*VLOOKUP('Données projet'!$B$9,Paramètres!$A$1:$I$89,3,0)*VLOOKUP('Données projet'!$B$9,Paramètres!$A$1:$I$89,5,0)</f>
        <v>181.89536857142849</v>
      </c>
      <c r="P37" s="13">
        <f t="shared" si="33"/>
        <v>45.743613337212622</v>
      </c>
      <c r="Q37" s="20">
        <f t="shared" si="53"/>
        <v>396.47122682421656</v>
      </c>
      <c r="R37" s="59">
        <f t="shared" si="0"/>
        <v>689.80456015754987</v>
      </c>
      <c r="S37" s="59">
        <f ca="1">AVERAGE(OFFSET($R$3,0,0,'Données projet'!$E$9+1,1))-AVERAGE(OFFSET($H$3,0,0,'Données projet'!$E$9+1,1))</f>
        <v>262.21372546382133</v>
      </c>
      <c r="T37" s="59">
        <f t="shared" si="34"/>
        <v>263.5279690714105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14.023202912084182</v>
      </c>
      <c r="AA37" s="21">
        <f>EXP(-LN(2)/25)*AA36+(1-EXP(-LN(2)/25))/(LN(2)/25)*Calculateur!V37*Calculateur!X37*VLOOKUP('Données projet'!$B$9,Paramètres!$A$1:$I$89,3,0)*0.475*44/12</f>
        <v>20.344684935809912</v>
      </c>
      <c r="AB37" s="21">
        <f>EXP(-LN(2)/2)*AB36+(1-EXP(-LN(2)/2))/(LN(2)/2)*V37*Y37*VLOOKUP('Données projet'!$B$9,Paramètres!$A$1:$I$89,3,0)*0.475*44/12</f>
        <v>1.486922259440725</v>
      </c>
      <c r="AC37" s="22">
        <f t="shared" si="3"/>
        <v>35.854810107334821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18.588571428571434</v>
      </c>
      <c r="N38" s="13">
        <f>IF('Données projet'!$A$36&gt;35,N37+M38-V37,IF(A38&lt;'Données projet'!$A$36,$K$205^A38,IF(A38='Données projet'!$A$36,'Données projet'!$B$36,N37+M38-V37)))</f>
        <v>322.76142857142844</v>
      </c>
      <c r="O38" s="13">
        <f>N38*VLOOKUP('Données projet'!$B$9,Paramètres!$A$1:$I$89,3,0)*VLOOKUP('Données projet'!$B$9,Paramètres!$A$1:$I$89,5,0)</f>
        <v>193.01133428571424</v>
      </c>
      <c r="P38" s="13">
        <f t="shared" si="33"/>
        <v>48.20510558534972</v>
      </c>
      <c r="Q38" s="20">
        <f t="shared" si="53"/>
        <v>420.11863277543631</v>
      </c>
      <c r="R38" s="59">
        <f t="shared" si="0"/>
        <v>713.45196610876962</v>
      </c>
      <c r="S38" s="59">
        <f ca="1">AVERAGE(OFFSET($R$3,0,0,'Données projet'!$E$9+1,1))-AVERAGE(OFFSET($H$3,0,0,'Données projet'!$E$9+1,1))</f>
        <v>262.21372546382133</v>
      </c>
      <c r="T38" s="59">
        <f t="shared" si="34"/>
        <v>263.5279690714105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13.748216456287418</v>
      </c>
      <c r="AA38" s="21">
        <f>EXP(-LN(2)/25)*AA37+(1-EXP(-LN(2)/25))/(LN(2)/25)*Calculateur!V38*Calculateur!X38*VLOOKUP('Données projet'!$B$9,Paramètres!$A$1:$I$89,3,0)*0.475*44/12</f>
        <v>19.788358456359706</v>
      </c>
      <c r="AB38" s="21">
        <f>EXP(-LN(2)/2)*AB37+(1-EXP(-LN(2)/2))/(LN(2)/2)*V38*Y38*VLOOKUP('Données projet'!$B$9,Paramètres!$A$1:$I$89,3,0)*0.475*44/12</f>
        <v>1.0514128127477596</v>
      </c>
      <c r="AC38" s="22">
        <f t="shared" si="3"/>
        <v>34.587987725394882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341.35</v>
      </c>
      <c r="L39" s="12">
        <f>VLOOKUP(A39,'Données projet'!$A$35:$I$55,9,0)</f>
        <v>18.588571428571434</v>
      </c>
      <c r="M39" s="12">
        <f t="array" ref="M39">INDEX(L:L,MIN(IF(ISNUMBER(L39:L235),ROW(L39:L235),"")))</f>
        <v>18.588571428571434</v>
      </c>
      <c r="N39" s="13">
        <f>IF('Données projet'!$A$36&gt;35,N38+M39-V38,IF(A39&lt;'Données projet'!$A$36,$K$205^A39,IF(A39='Données projet'!$A$36,'Données projet'!$B$36,N38+M39-V38)))</f>
        <v>341.34999999999985</v>
      </c>
      <c r="O39" s="13">
        <f>N39*VLOOKUP('Données projet'!$B$9,Paramètres!$A$1:$I$89,3,0)*VLOOKUP('Données projet'!$B$9,Paramètres!$A$1:$I$89,5,0)</f>
        <v>204.12729999999991</v>
      </c>
      <c r="P39" s="13">
        <f t="shared" si="33"/>
        <v>50.650142206454269</v>
      </c>
      <c r="Q39" s="20">
        <f t="shared" si="53"/>
        <v>443.73737850957428</v>
      </c>
      <c r="R39" s="59">
        <f t="shared" si="0"/>
        <v>737.0707118429076</v>
      </c>
      <c r="S39" s="59">
        <f ca="1">AVERAGE(OFFSET($R$3,0,0,'Données projet'!$E$9+1,1))-AVERAGE(OFFSET($H$3,0,0,'Données projet'!$E$9+1,1))</f>
        <v>262.21372546382133</v>
      </c>
      <c r="T39" s="59">
        <f t="shared" si="34"/>
        <v>263.5279690714105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83.92</v>
      </c>
      <c r="W39" s="16">
        <f>IF(ISNA(VLOOKUP(A39,'Données projet'!$A$35:$I$55,5,0)),0%,VLOOKUP(A39,'Données projet'!$A$35:$I$55,5,0)*VLOOKUP('Données projet'!$B$9,Paramètres!$A$1:$I$89,7,0))</f>
        <v>0.315</v>
      </c>
      <c r="X39" s="16">
        <f>IF(ISNA(VLOOKUP(A39,'Données projet'!$A$35:$I$55,6,0)),0%,VLOOKUP(A39,'Données projet'!$A$35:$I$55,6,0)*VLOOKUP('Données projet'!$B$9,Paramètres!$A$1:$I$89,7,0))</f>
        <v>7.5600000000000001E-2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34.448967025022242</v>
      </c>
      <c r="AA39" s="21">
        <f>EXP(-LN(2)/25)*AA38+(1-EXP(-LN(2)/25))/(LN(2)/25)*Calculateur!V39*Calculateur!X39*VLOOKUP('Données projet'!$B$9,Paramètres!$A$1:$I$89,3,0)*0.475*44/12</f>
        <v>24.260311106645844</v>
      </c>
      <c r="AB39" s="21">
        <f>EXP(-LN(2)/2)*AB38+(1-EXP(-LN(2)/2))/(LN(2)/2)*V39*Y39*VLOOKUP('Données projet'!$B$9,Paramètres!$A$1:$I$89,3,0)*0.475*44/12</f>
        <v>8.2437178641834841</v>
      </c>
      <c r="AC39" s="22">
        <f t="shared" si="3"/>
        <v>66.952995995851566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17.083749999999995</v>
      </c>
      <c r="N40" s="13">
        <f>IF('Données projet'!$A$36&gt;35,N39+M40-V39,IF(A40&lt;'Données projet'!$A$36,$K$205^A40,IF(A40='Données projet'!$A$36,'Données projet'!$B$36,N39+M40-V39)))</f>
        <v>274.51374999999985</v>
      </c>
      <c r="O40" s="13">
        <f>N40*VLOOKUP('Données projet'!$B$9,Paramètres!$A$1:$I$89,3,0)*VLOOKUP('Données projet'!$B$9,Paramètres!$A$1:$I$89,5,0)</f>
        <v>164.15922249999991</v>
      </c>
      <c r="P40" s="13">
        <f t="shared" si="33"/>
        <v>41.779233891086946</v>
      </c>
      <c r="Q40" s="20">
        <f t="shared" si="53"/>
        <v>358.67614488114287</v>
      </c>
      <c r="R40" s="59">
        <f t="shared" si="0"/>
        <v>652.00947821447619</v>
      </c>
      <c r="S40" s="59">
        <f ca="1">AVERAGE(OFFSET($R$3,0,0,'Données projet'!$E$9+1,1))-AVERAGE(OFFSET($H$3,0,0,'Données projet'!$E$9+1,1))</f>
        <v>262.21372546382133</v>
      </c>
      <c r="T40" s="59">
        <f t="shared" si="34"/>
        <v>263.5279690714105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33.7734437934567</v>
      </c>
      <c r="AA40" s="21">
        <f>EXP(-LN(2)/25)*AA39+(1-EXP(-LN(2)/25))/(LN(2)/25)*Calculateur!V40*Calculateur!X40*VLOOKUP('Données projet'!$B$9,Paramètres!$A$1:$I$89,3,0)*0.475*44/12</f>
        <v>23.596911623640299</v>
      </c>
      <c r="AB40" s="21">
        <f>EXP(-LN(2)/2)*AB39+(1-EXP(-LN(2)/2))/(LN(2)/2)*V40*Y40*VLOOKUP('Données projet'!$B$9,Paramètres!$A$1:$I$89,3,0)*0.475*44/12</f>
        <v>5.8291888039528246</v>
      </c>
      <c r="AC40" s="22">
        <f t="shared" si="3"/>
        <v>63.199544221049827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17.083749999999995</v>
      </c>
      <c r="N41" s="13">
        <f>IF('Données projet'!$A$36&gt;35,N40+M41-V40,IF(A41&lt;'Données projet'!$A$36,$K$205^A41,IF(A41='Données projet'!$A$36,'Données projet'!$B$36,N40+M41-V40)))</f>
        <v>291.59749999999985</v>
      </c>
      <c r="O41" s="13">
        <f>N41*VLOOKUP('Données projet'!$B$9,Paramètres!$A$1:$I$89,3,0)*VLOOKUP('Données projet'!$B$9,Paramètres!$A$1:$I$89,5,0)</f>
        <v>174.37530499999994</v>
      </c>
      <c r="P41" s="13">
        <f t="shared" si="33"/>
        <v>44.068492402934417</v>
      </c>
      <c r="Q41" s="20">
        <f t="shared" si="53"/>
        <v>380.45628047677729</v>
      </c>
      <c r="R41" s="59">
        <f t="shared" si="0"/>
        <v>673.78961381011061</v>
      </c>
      <c r="S41" s="59">
        <f ca="1">AVERAGE(OFFSET($R$3,0,0,'Données projet'!$E$9+1,1))-AVERAGE(OFFSET($H$3,0,0,'Données projet'!$E$9+1,1))</f>
        <v>262.21372546382133</v>
      </c>
      <c r="T41" s="59">
        <f t="shared" si="34"/>
        <v>263.5279690714105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33.111167160433666</v>
      </c>
      <c r="AA41" s="21">
        <f>EXP(-LN(2)/25)*AA40+(1-EXP(-LN(2)/25))/(LN(2)/25)*Calculateur!V41*Calculateur!X41*VLOOKUP('Données projet'!$B$9,Paramètres!$A$1:$I$89,3,0)*0.475*44/12</f>
        <v>22.951652834384205</v>
      </c>
      <c r="AB41" s="21">
        <f>EXP(-LN(2)/2)*AB40+(1-EXP(-LN(2)/2))/(LN(2)/2)*V41*Y41*VLOOKUP('Données projet'!$B$9,Paramètres!$A$1:$I$89,3,0)*0.475*44/12</f>
        <v>4.1218589320917429</v>
      </c>
      <c r="AC41" s="22">
        <f t="shared" si="3"/>
        <v>60.184678926909612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17.083749999999995</v>
      </c>
      <c r="N42" s="13">
        <f>IF('Données projet'!$A$36&gt;35,N41+M42-V41,IF(A42&lt;'Données projet'!$A$36,$K$205^A42,IF(A42='Données projet'!$A$36,'Données projet'!$B$36,N41+M42-V41)))</f>
        <v>308.68124999999986</v>
      </c>
      <c r="O42" s="13">
        <f>N42*VLOOKUP('Données projet'!$B$9,Paramètres!$A$1:$I$89,3,0)*VLOOKUP('Données projet'!$B$9,Paramètres!$A$1:$I$89,5,0)</f>
        <v>184.59138749999991</v>
      </c>
      <c r="P42" s="13">
        <f t="shared" si="33"/>
        <v>46.342183032350626</v>
      </c>
      <c r="Q42" s="20">
        <f t="shared" si="53"/>
        <v>402.2093020105105</v>
      </c>
      <c r="R42" s="59">
        <f t="shared" si="0"/>
        <v>695.54263534384381</v>
      </c>
      <c r="S42" s="59">
        <f ca="1">AVERAGE(OFFSET($R$3,0,0,'Données projet'!$E$9+1,1))-AVERAGE(OFFSET($H$3,0,0,'Données projet'!$E$9+1,1))</f>
        <v>262.21372546382133</v>
      </c>
      <c r="T42" s="59">
        <f t="shared" si="34"/>
        <v>263.5279690714105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32.461877368235356</v>
      </c>
      <c r="AA42" s="21">
        <f>EXP(-LN(2)/25)*AA41+(1-EXP(-LN(2)/25))/(LN(2)/25)*Calculateur!V42*Calculateur!X42*VLOOKUP('Données projet'!$B$9,Paramètres!$A$1:$I$89,3,0)*0.475*44/12</f>
        <v>22.324038680653004</v>
      </c>
      <c r="AB42" s="21">
        <f>EXP(-LN(2)/2)*AB41+(1-EXP(-LN(2)/2))/(LN(2)/2)*V42*Y42*VLOOKUP('Données projet'!$B$9,Paramètres!$A$1:$I$89,3,0)*0.475*44/12</f>
        <v>2.9145944019764127</v>
      </c>
      <c r="AC42" s="22">
        <f t="shared" si="3"/>
        <v>57.700510450864776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17.083749999999995</v>
      </c>
      <c r="N43" s="13">
        <f>IF('Données projet'!$A$36&gt;35,N42+M43-V42,IF(A43&lt;'Données projet'!$A$36,$K$205^A43,IF(A43='Données projet'!$A$36,'Données projet'!$B$36,N42+M43-V42)))</f>
        <v>325.76499999999987</v>
      </c>
      <c r="O43" s="13">
        <f>N43*VLOOKUP('Données projet'!$B$9,Paramètres!$A$1:$I$89,3,0)*VLOOKUP('Données projet'!$B$9,Paramètres!$A$1:$I$89,5,0)</f>
        <v>194.80746999999994</v>
      </c>
      <c r="P43" s="13">
        <f t="shared" si="33"/>
        <v>48.60126557723693</v>
      </c>
      <c r="Q43" s="20">
        <f t="shared" si="53"/>
        <v>423.93688113035427</v>
      </c>
      <c r="R43" s="59">
        <f t="shared" si="0"/>
        <v>717.27021446368758</v>
      </c>
      <c r="S43" s="59">
        <f ca="1">AVERAGE(OFFSET($R$3,0,0,'Données projet'!$E$9+1,1))-AVERAGE(OFFSET($H$3,0,0,'Données projet'!$E$9+1,1))</f>
        <v>262.21372546382133</v>
      </c>
      <c r="T43" s="59">
        <f t="shared" si="34"/>
        <v>263.5279690714105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31.825319752834389</v>
      </c>
      <c r="AA43" s="21">
        <f>EXP(-LN(2)/25)*AA42+(1-EXP(-LN(2)/25))/(LN(2)/25)*Calculateur!V43*Calculateur!X43*VLOOKUP('Données projet'!$B$9,Paramètres!$A$1:$I$89,3,0)*0.475*44/12</f>
        <v>21.713586668960374</v>
      </c>
      <c r="AB43" s="21">
        <f>EXP(-LN(2)/2)*AB42+(1-EXP(-LN(2)/2))/(LN(2)/2)*V43*Y43*VLOOKUP('Données projet'!$B$9,Paramètres!$A$1:$I$89,3,0)*0.475*44/12</f>
        <v>2.0609294660458719</v>
      </c>
      <c r="AC43" s="22">
        <f t="shared" si="3"/>
        <v>55.599835887840634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17.083749999999995</v>
      </c>
      <c r="N44" s="13">
        <f>IF('Données projet'!$A$36&gt;35,N43+M44-V43,IF(A44&lt;'Données projet'!$A$36,$K$205^A44,IF(A44='Données projet'!$A$36,'Données projet'!$B$36,N43+M44-V43)))</f>
        <v>342.84874999999988</v>
      </c>
      <c r="O44" s="13">
        <f>N44*VLOOKUP('Données projet'!$B$9,Paramètres!$A$1:$I$89,3,0)*VLOOKUP('Données projet'!$B$9,Paramètres!$A$1:$I$89,5,0)</f>
        <v>205.02355249999997</v>
      </c>
      <c r="P44" s="13">
        <f t="shared" si="33"/>
        <v>50.846593482451794</v>
      </c>
      <c r="Q44" s="20">
        <f t="shared" si="53"/>
        <v>445.64050425277014</v>
      </c>
      <c r="R44" s="59">
        <f t="shared" si="0"/>
        <v>738.9738375861034</v>
      </c>
      <c r="S44" s="59">
        <f ca="1">AVERAGE(OFFSET($R$3,0,0,'Données projet'!$E$9+1,1))-AVERAGE(OFFSET($H$3,0,0,'Données projet'!$E$9+1,1))</f>
        <v>262.21372546382133</v>
      </c>
      <c r="T44" s="59">
        <f t="shared" si="34"/>
        <v>263.5279690714105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31.201244644009627</v>
      </c>
      <c r="AA44" s="21">
        <f>EXP(-LN(2)/25)*AA43+(1-EXP(-LN(2)/25))/(LN(2)/25)*Calculateur!V44*Calculateur!X44*VLOOKUP('Données projet'!$B$9,Paramètres!$A$1:$I$89,3,0)*0.475*44/12</f>
        <v>21.119827499629757</v>
      </c>
      <c r="AB44" s="21">
        <f>EXP(-LN(2)/2)*AB43+(1-EXP(-LN(2)/2))/(LN(2)/2)*V44*Y44*VLOOKUP('Données projet'!$B$9,Paramètres!$A$1:$I$89,3,0)*0.475*44/12</f>
        <v>1.4572972009882066</v>
      </c>
      <c r="AC44" s="22">
        <f t="shared" si="3"/>
        <v>53.778369344627592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17.083749999999995</v>
      </c>
      <c r="N45" s="13">
        <f>IF('Données projet'!$A$36&gt;35,N44+M45-V44,IF(A45&lt;'Données projet'!$A$36,$K$205^A45,IF(A45='Données projet'!$A$36,'Données projet'!$B$36,N44+M45-V44)))</f>
        <v>359.93249999999989</v>
      </c>
      <c r="O45" s="13">
        <f>N45*VLOOKUP('Données projet'!$B$9,Paramètres!$A$1:$I$89,3,0)*VLOOKUP('Données projet'!$B$9,Paramètres!$A$1:$I$89,5,0)</f>
        <v>215.23963499999994</v>
      </c>
      <c r="P45" s="13">
        <f t="shared" si="33"/>
        <v>53.078930335905511</v>
      </c>
      <c r="Q45" s="20">
        <f t="shared" si="53"/>
        <v>467.32150129336861</v>
      </c>
      <c r="R45" s="59">
        <f t="shared" si="0"/>
        <v>760.65483462670193</v>
      </c>
      <c r="S45" s="59">
        <f ca="1">AVERAGE(OFFSET($R$3,0,0,'Données projet'!$E$9+1,1))-AVERAGE(OFFSET($H$3,0,0,'Données projet'!$E$9+1,1))</f>
        <v>262.21372546382133</v>
      </c>
      <c r="T45" s="59">
        <f t="shared" si="34"/>
        <v>263.5279690714105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30.589407267420686</v>
      </c>
      <c r="AA45" s="21">
        <f>EXP(-LN(2)/25)*AA44+(1-EXP(-LN(2)/25))/(LN(2)/25)*Calculateur!V45*Calculateur!X45*VLOOKUP('Données projet'!$B$9,Paramètres!$A$1:$I$89,3,0)*0.475*44/12</f>
        <v>20.542304706008924</v>
      </c>
      <c r="AB45" s="21">
        <f>EXP(-LN(2)/2)*AB44+(1-EXP(-LN(2)/2))/(LN(2)/2)*V45*Y45*VLOOKUP('Données projet'!$B$9,Paramètres!$A$1:$I$89,3,0)*0.475*44/12</f>
        <v>1.030464733022936</v>
      </c>
      <c r="AC45" s="22">
        <f t="shared" si="3"/>
        <v>52.162176706452549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17.083749999999995</v>
      </c>
      <c r="N46" s="13">
        <f>IF('Données projet'!$A$36&gt;35,N45+M46-V45,IF(A46&lt;'Données projet'!$A$36,$K$205^A46,IF(A46='Données projet'!$A$36,'Données projet'!$B$36,N45+M46-V45)))</f>
        <v>377.0162499999999</v>
      </c>
      <c r="O46" s="13">
        <f>N46*VLOOKUP('Données projet'!$B$9,Paramètres!$A$1:$I$89,3,0)*VLOOKUP('Données projet'!$B$9,Paramètres!$A$1:$I$89,5,0)</f>
        <v>225.45571749999996</v>
      </c>
      <c r="P46" s="13">
        <f t="shared" si="33"/>
        <v>55.298963144067891</v>
      </c>
      <c r="Q46" s="20">
        <f t="shared" si="53"/>
        <v>488.9810687884181</v>
      </c>
      <c r="R46" s="59">
        <f t="shared" si="0"/>
        <v>782.31440212175141</v>
      </c>
      <c r="S46" s="59">
        <f ca="1">AVERAGE(OFFSET($R$3,0,0,'Données projet'!$E$9+1,1))-AVERAGE(OFFSET($H$3,0,0,'Données projet'!$E$9+1,1))</f>
        <v>262.21372546382133</v>
      </c>
      <c r="T46" s="59">
        <f t="shared" si="34"/>
        <v>263.5279690714105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29.989567648602705</v>
      </c>
      <c r="AA46" s="21">
        <f>EXP(-LN(2)/25)*AA45+(1-EXP(-LN(2)/25))/(LN(2)/25)*Calculateur!V46*Calculateur!X46*VLOOKUP('Données projet'!$B$9,Paramètres!$A$1:$I$89,3,0)*0.475*44/12</f>
        <v>19.980574303550256</v>
      </c>
      <c r="AB46" s="21">
        <f>EXP(-LN(2)/2)*AB45+(1-EXP(-LN(2)/2))/(LN(2)/2)*V46*Y46*VLOOKUP('Données projet'!$B$9,Paramètres!$A$1:$I$89,3,0)*0.475*44/12</f>
        <v>0.72864860049410329</v>
      </c>
      <c r="AC46" s="22">
        <f t="shared" si="3"/>
        <v>50.698790552647061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394.09999999999997</v>
      </c>
      <c r="L47" s="12">
        <f>VLOOKUP(A47,'Données projet'!$A$35:$I$55,9,0)</f>
        <v>17.083749999999995</v>
      </c>
      <c r="M47" s="12">
        <f t="array" ref="M47">INDEX(L:L,MIN(IF(ISNUMBER(L47:L243),ROW(L47:L243),"")))</f>
        <v>17.083749999999995</v>
      </c>
      <c r="N47" s="13">
        <f>IF('Données projet'!$A$36&gt;35,N46+M47-V46,IF(A47&lt;'Données projet'!$A$36,$K$205^A47,IF(A47='Données projet'!$A$36,'Données projet'!$B$36,N46+M47-V46)))</f>
        <v>394.09999999999991</v>
      </c>
      <c r="O47" s="13">
        <f>N47*VLOOKUP('Données projet'!$B$9,Paramètres!$A$1:$I$89,3,0)*VLOOKUP('Données projet'!$B$9,Paramètres!$A$1:$I$89,5,0)</f>
        <v>235.67179999999996</v>
      </c>
      <c r="P47" s="13">
        <f t="shared" si="33"/>
        <v>57.507313133253085</v>
      </c>
      <c r="Q47" s="20">
        <f t="shared" si="53"/>
        <v>510.62028870708235</v>
      </c>
      <c r="R47" s="59">
        <f t="shared" si="0"/>
        <v>803.95362204041567</v>
      </c>
      <c r="S47" s="59">
        <f ca="1">AVERAGE(OFFSET($R$3,0,0,'Données projet'!$E$9+1,1))-AVERAGE(OFFSET($H$3,0,0,'Données projet'!$E$9+1,1))</f>
        <v>262.21372546382133</v>
      </c>
      <c r="T47" s="59">
        <f t="shared" si="34"/>
        <v>263.5279690714105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83.82</v>
      </c>
      <c r="W47" s="16">
        <f>IF(ISNA(VLOOKUP(A47,'Données projet'!$A$35:$I$55,5,0)),0%,VLOOKUP(A47,'Données projet'!$A$35:$I$55,5,0)*VLOOKUP('Données projet'!$B$9,Paramètres!$A$1:$I$89,7,0))</f>
        <v>0.315</v>
      </c>
      <c r="X47" s="16">
        <f>IF(ISNA(VLOOKUP(A47,'Données projet'!$A$35:$I$55,6,0)),0%,VLOOKUP(A47,'Données projet'!$A$35:$I$55,6,0)*VLOOKUP('Données projet'!$B$9,Paramètres!$A$1:$I$89,7,0))</f>
        <v>7.5600000000000001E-2</v>
      </c>
      <c r="Y47" s="16">
        <f>IF(ISNA(VLOOKUP(A47,'Données projet'!$A$35:$I$55,7,0)),0%,VLOOKUP(A47,'Données projet'!$A$35:$I$55,7,0))</f>
        <v>0.13200000000000001</v>
      </c>
      <c r="Z47" s="21">
        <f>EXP(-LN(2)/35)*Z46+(1-EXP(-LN(2)/35))/(LN(2)/35)*V47*W47*VLOOKUP('Données projet'!$B$9,Paramètres!$A$1:$I$89,3,0)*0.475*44/12</f>
        <v>50.346846732055177</v>
      </c>
      <c r="AA47" s="21">
        <f>EXP(-LN(2)/25)*AA46+(1-EXP(-LN(2)/25))/(LN(2)/25)*Calculateur!V47*Calculateur!X47*VLOOKUP('Données projet'!$B$9,Paramètres!$A$1:$I$89,3,0)*0.475*44/12</f>
        <v>24.441297176085413</v>
      </c>
      <c r="AB47" s="21">
        <f>EXP(-LN(2)/2)*AB46+(1-EXP(-LN(2)/2))/(LN(2)/2)*V47*Y47*VLOOKUP('Données projet'!$B$9,Paramètres!$A$1:$I$89,3,0)*0.475*44/12</f>
        <v>8.0065517121108325</v>
      </c>
      <c r="AC47" s="22">
        <f t="shared" si="3"/>
        <v>82.794695620251431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15.135000000000005</v>
      </c>
      <c r="N48" s="13">
        <f>IF('Données projet'!$A$36&gt;35,N47+M48-V47,IF(A48&lt;'Données projet'!$A$36,$K$205^A48,IF(A48='Données projet'!$A$36,'Données projet'!$B$36,N47+M48-V47)))</f>
        <v>325.41499999999991</v>
      </c>
      <c r="O48" s="13">
        <f>N48*VLOOKUP('Données projet'!$B$9,Paramètres!$A$1:$I$89,3,0)*VLOOKUP('Données projet'!$B$9,Paramètres!$A$1:$I$89,5,0)</f>
        <v>194.59816999999998</v>
      </c>
      <c r="P48" s="13">
        <f t="shared" si="33"/>
        <v>48.555123825922088</v>
      </c>
      <c r="Q48" s="20">
        <f t="shared" si="53"/>
        <v>423.49198674681429</v>
      </c>
      <c r="R48" s="59">
        <f t="shared" si="0"/>
        <v>716.82532008014755</v>
      </c>
      <c r="S48" s="59">
        <f ca="1">AVERAGE(OFFSET($R$3,0,0,'Données projet'!$E$9+1,1))-AVERAGE(OFFSET($H$3,0,0,'Données projet'!$E$9+1,1))</f>
        <v>262.21372546382133</v>
      </c>
      <c r="T48" s="59">
        <f t="shared" si="34"/>
        <v>263.5279690714105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49.359575776183867</v>
      </c>
      <c r="AA48" s="21">
        <f>EXP(-LN(2)/25)*AA47+(1-EXP(-LN(2)/25))/(LN(2)/25)*Calculateur!V48*Calculateur!X48*VLOOKUP('Données projet'!$B$9,Paramètres!$A$1:$I$89,3,0)*0.475*44/12</f>
        <v>23.772948619493402</v>
      </c>
      <c r="AB48" s="21">
        <f>EXP(-LN(2)/2)*AB47+(1-EXP(-LN(2)/2))/(LN(2)/2)*V48*Y48*VLOOKUP('Données projet'!$B$9,Paramètres!$A$1:$I$89,3,0)*0.475*44/12</f>
        <v>5.6614870095543326</v>
      </c>
      <c r="AC48" s="22">
        <f t="shared" si="3"/>
        <v>78.794011405231601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15.135000000000005</v>
      </c>
      <c r="N49" s="13">
        <f>IF('Données projet'!$A$36&gt;35,N48+M49-V48,IF(A49&lt;'Données projet'!$A$36,$K$205^A49,IF(A49='Données projet'!$A$36,'Données projet'!$B$36,N48+M49-V48)))</f>
        <v>340.5499999999999</v>
      </c>
      <c r="O49" s="13">
        <f>N49*VLOOKUP('Données projet'!$B$9,Paramètres!$A$1:$I$89,3,0)*VLOOKUP('Données projet'!$B$9,Paramètres!$A$1:$I$89,5,0)</f>
        <v>203.64889999999997</v>
      </c>
      <c r="P49" s="13">
        <f t="shared" si="33"/>
        <v>50.545239729876002</v>
      </c>
      <c r="Q49" s="20">
        <f t="shared" si="53"/>
        <v>442.721460029534</v>
      </c>
      <c r="R49" s="59">
        <f t="shared" si="0"/>
        <v>736.05479336286726</v>
      </c>
      <c r="S49" s="59">
        <f ca="1">AVERAGE(OFFSET($R$3,0,0,'Données projet'!$E$9+1,1))-AVERAGE(OFFSET($H$3,0,0,'Données projet'!$E$9+1,1))</f>
        <v>262.21372546382133</v>
      </c>
      <c r="T49" s="59">
        <f t="shared" si="34"/>
        <v>263.5279690714105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48.391664601581368</v>
      </c>
      <c r="AA49" s="21">
        <f>EXP(-LN(2)/25)*AA48+(1-EXP(-LN(2)/25))/(LN(2)/25)*Calculateur!V49*Calculateur!X49*VLOOKUP('Données projet'!$B$9,Paramètres!$A$1:$I$89,3,0)*0.475*44/12</f>
        <v>23.122876089328322</v>
      </c>
      <c r="AB49" s="21">
        <f>EXP(-LN(2)/2)*AB48+(1-EXP(-LN(2)/2))/(LN(2)/2)*V49*Y49*VLOOKUP('Données projet'!$B$9,Paramètres!$A$1:$I$89,3,0)*0.475*44/12</f>
        <v>4.0032758560554171</v>
      </c>
      <c r="AC49" s="22">
        <f t="shared" si="3"/>
        <v>75.517816546965093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15.135000000000005</v>
      </c>
      <c r="N50" s="13">
        <f>IF('Données projet'!$A$36&gt;35,N49+M50-V49,IF(A50&lt;'Données projet'!$A$36,$K$205^A50,IF(A50='Données projet'!$A$36,'Données projet'!$B$36,N49+M50-V49)))</f>
        <v>355.68499999999989</v>
      </c>
      <c r="O50" s="13">
        <f>N50*VLOOKUP('Données projet'!$B$9,Paramètres!$A$1:$I$89,3,0)*VLOOKUP('Données projet'!$B$9,Paramètres!$A$1:$I$89,5,0)</f>
        <v>212.69962999999996</v>
      </c>
      <c r="P50" s="13">
        <f t="shared" si="33"/>
        <v>52.525083491290523</v>
      </c>
      <c r="Q50" s="20">
        <f t="shared" si="53"/>
        <v>461.93304266399747</v>
      </c>
      <c r="R50" s="59">
        <f t="shared" si="0"/>
        <v>755.26637599733078</v>
      </c>
      <c r="S50" s="59">
        <f ca="1">AVERAGE(OFFSET($R$3,0,0,'Données projet'!$E$9+1,1))-AVERAGE(OFFSET($H$3,0,0,'Données projet'!$E$9+1,1))</f>
        <v>262.21372546382133</v>
      </c>
      <c r="T50" s="59">
        <f t="shared" si="34"/>
        <v>263.5279690714105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47.442733574745304</v>
      </c>
      <c r="AA50" s="21">
        <f>EXP(-LN(2)/25)*AA49+(1-EXP(-LN(2)/25))/(LN(2)/25)*Calculateur!V50*Calculateur!X50*VLOOKUP('Données projet'!$B$9,Paramètres!$A$1:$I$89,3,0)*0.475*44/12</f>
        <v>22.490579826686435</v>
      </c>
      <c r="AB50" s="21">
        <f>EXP(-LN(2)/2)*AB49+(1-EXP(-LN(2)/2))/(LN(2)/2)*V50*Y50*VLOOKUP('Données projet'!$B$9,Paramètres!$A$1:$I$89,3,0)*0.475*44/12</f>
        <v>2.8307435047771667</v>
      </c>
      <c r="AC50" s="22">
        <f t="shared" si="3"/>
        <v>72.764056906208907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15.135000000000005</v>
      </c>
      <c r="N51" s="13">
        <f>IF('Données projet'!$A$36&gt;35,N50+M51-V50,IF(A51&lt;'Données projet'!$A$36,$K$205^A51,IF(A51='Données projet'!$A$36,'Données projet'!$B$36,N50+M51-V50)))</f>
        <v>370.81999999999988</v>
      </c>
      <c r="O51" s="13">
        <f>N51*VLOOKUP('Données projet'!$B$9,Paramètres!$A$1:$I$89,3,0)*VLOOKUP('Données projet'!$B$9,Paramètres!$A$1:$I$89,5,0)</f>
        <v>221.75035999999994</v>
      </c>
      <c r="P51" s="13">
        <f t="shared" si="33"/>
        <v>54.495142178787084</v>
      </c>
      <c r="Q51" s="20">
        <f t="shared" si="53"/>
        <v>481.12758296138736</v>
      </c>
      <c r="R51" s="59">
        <f t="shared" si="0"/>
        <v>774.46091629472062</v>
      </c>
      <c r="S51" s="59">
        <f ca="1">AVERAGE(OFFSET($R$3,0,0,'Données projet'!$E$9+1,1))-AVERAGE(OFFSET($H$3,0,0,'Données projet'!$E$9+1,1))</f>
        <v>262.21372546382133</v>
      </c>
      <c r="T51" s="59">
        <f t="shared" si="34"/>
        <v>263.5279690714105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46.512410506554716</v>
      </c>
      <c r="AA51" s="21">
        <f>EXP(-LN(2)/25)*AA50+(1-EXP(-LN(2)/25))/(LN(2)/25)*Calculateur!V51*Calculateur!X51*VLOOKUP('Données projet'!$B$9,Paramètres!$A$1:$I$89,3,0)*0.475*44/12</f>
        <v>21.875573738597506</v>
      </c>
      <c r="AB51" s="21">
        <f>EXP(-LN(2)/2)*AB50+(1-EXP(-LN(2)/2))/(LN(2)/2)*V51*Y51*VLOOKUP('Données projet'!$B$9,Paramètres!$A$1:$I$89,3,0)*0.475*44/12</f>
        <v>2.001637928027709</v>
      </c>
      <c r="AC51" s="22">
        <f t="shared" si="3"/>
        <v>70.38962217317993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15.135000000000005</v>
      </c>
      <c r="N52" s="13">
        <f>IF('Données projet'!$A$36&gt;35,N51+M52-V51,IF(A52&lt;'Données projet'!$A$36,$K$205^A52,IF(A52='Données projet'!$A$36,'Données projet'!$B$36,N51+M52-V51)))</f>
        <v>385.95499999999987</v>
      </c>
      <c r="O52" s="13">
        <f>N52*VLOOKUP('Données projet'!$B$9,Paramètres!$A$1:$I$89,3,0)*VLOOKUP('Données projet'!$B$9,Paramètres!$A$1:$I$89,5,0)</f>
        <v>230.80108999999993</v>
      </c>
      <c r="P52" s="13">
        <f t="shared" si="33"/>
        <v>56.455860851662869</v>
      </c>
      <c r="Q52" s="20">
        <f t="shared" si="53"/>
        <v>500.30585606664596</v>
      </c>
      <c r="R52" s="59">
        <f t="shared" si="0"/>
        <v>793.63918939997927</v>
      </c>
      <c r="S52" s="59">
        <f ca="1">AVERAGE(OFFSET($R$3,0,0,'Données projet'!$E$9+1,1))-AVERAGE(OFFSET($H$3,0,0,'Données projet'!$E$9+1,1))</f>
        <v>262.21372546382133</v>
      </c>
      <c r="T52" s="59">
        <f t="shared" si="34"/>
        <v>263.5279690714105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45.600330506290305</v>
      </c>
      <c r="AA52" s="21">
        <f>EXP(-LN(2)/25)*AA51+(1-EXP(-LN(2)/25))/(LN(2)/25)*Calculateur!V52*Calculateur!X52*VLOOKUP('Données projet'!$B$9,Paramètres!$A$1:$I$89,3,0)*0.475*44/12</f>
        <v>21.277385024329131</v>
      </c>
      <c r="AB52" s="21">
        <f>EXP(-LN(2)/2)*AB51+(1-EXP(-LN(2)/2))/(LN(2)/2)*V52*Y52*VLOOKUP('Données projet'!$B$9,Paramètres!$A$1:$I$89,3,0)*0.475*44/12</f>
        <v>1.4153717523885836</v>
      </c>
      <c r="AC52" s="22">
        <f t="shared" si="3"/>
        <v>68.29308728300802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15.135000000000005</v>
      </c>
      <c r="N53" s="13">
        <f>IF('Données projet'!$A$36&gt;35,N52+M53-V52,IF(A53&lt;'Données projet'!$A$36,$K$205^A53,IF(A53='Données projet'!$A$36,'Données projet'!$B$36,N52+M53-V52)))</f>
        <v>401.08999999999986</v>
      </c>
      <c r="O53" s="13">
        <f>N53*VLOOKUP('Données projet'!$B$9,Paramètres!$A$1:$I$89,3,0)*VLOOKUP('Données projet'!$B$9,Paramètres!$A$1:$I$89,5,0)</f>
        <v>239.85181999999992</v>
      </c>
      <c r="P53" s="13">
        <f t="shared" si="33"/>
        <v>58.407647687484328</v>
      </c>
      <c r="Q53" s="20">
        <f t="shared" si="53"/>
        <v>519.46857288903504</v>
      </c>
      <c r="R53" s="59">
        <f t="shared" si="0"/>
        <v>812.80190622236842</v>
      </c>
      <c r="S53" s="59">
        <f ca="1">AVERAGE(OFFSET($R$3,0,0,'Données projet'!$E$9+1,1))-AVERAGE(OFFSET($H$3,0,0,'Données projet'!$E$9+1,1))</f>
        <v>262.21372546382133</v>
      </c>
      <c r="T53" s="59">
        <f t="shared" si="34"/>
        <v>263.5279690714105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44.706135838517213</v>
      </c>
      <c r="AA53" s="21">
        <f>EXP(-LN(2)/25)*AA52+(1-EXP(-LN(2)/25))/(LN(2)/25)*Calculateur!V53*Calculateur!X53*VLOOKUP('Données projet'!$B$9,Paramètres!$A$1:$I$89,3,0)*0.475*44/12</f>
        <v>20.695553811909804</v>
      </c>
      <c r="AB53" s="21">
        <f>EXP(-LN(2)/2)*AB52+(1-EXP(-LN(2)/2))/(LN(2)/2)*V53*Y53*VLOOKUP('Données projet'!$B$9,Paramètres!$A$1:$I$89,3,0)*0.475*44/12</f>
        <v>1.0008189640138545</v>
      </c>
      <c r="AC53" s="22">
        <f t="shared" si="3"/>
        <v>66.402508614440876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15.135000000000005</v>
      </c>
      <c r="N54" s="13">
        <f>IF('Données projet'!$A$36&gt;35,N53+M54-V53,IF(A54&lt;'Données projet'!$A$36,$K$205^A54,IF(A54='Données projet'!$A$36,'Données projet'!$B$36,N53+M54-V53)))</f>
        <v>416.22499999999985</v>
      </c>
      <c r="O54" s="13">
        <f>N54*VLOOKUP('Données projet'!$B$9,Paramètres!$A$1:$I$89,3,0)*VLOOKUP('Données projet'!$B$9,Paramètres!$A$1:$I$89,5,0)</f>
        <v>248.90254999999993</v>
      </c>
      <c r="P54" s="13">
        <f t="shared" si="33"/>
        <v>60.350878313965332</v>
      </c>
      <c r="Q54" s="20">
        <f t="shared" si="53"/>
        <v>538.61638764682289</v>
      </c>
      <c r="R54" s="59">
        <f t="shared" si="0"/>
        <v>831.94972098015614</v>
      </c>
      <c r="S54" s="59">
        <f ca="1">AVERAGE(OFFSET($R$3,0,0,'Données projet'!$E$9+1,1))-AVERAGE(OFFSET($H$3,0,0,'Données projet'!$E$9+1,1))</f>
        <v>262.21372546382133</v>
      </c>
      <c r="T54" s="59">
        <f t="shared" si="34"/>
        <v>263.5279690714105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43.829475782774253</v>
      </c>
      <c r="AA54" s="21">
        <f>EXP(-LN(2)/25)*AA53+(1-EXP(-LN(2)/25))/(LN(2)/25)*Calculateur!V54*Calculateur!X54*VLOOKUP('Données projet'!$B$9,Paramètres!$A$1:$I$89,3,0)*0.475*44/12</f>
        <v>20.129632804591257</v>
      </c>
      <c r="AB54" s="21">
        <f>EXP(-LN(2)/2)*AB53+(1-EXP(-LN(2)/2))/(LN(2)/2)*V54*Y54*VLOOKUP('Données projet'!$B$9,Paramètres!$A$1:$I$89,3,0)*0.475*44/12</f>
        <v>0.7076858761942918</v>
      </c>
      <c r="AC54" s="22">
        <f t="shared" si="3"/>
        <v>64.666794463559796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431.36</v>
      </c>
      <c r="L55" s="12">
        <f>VLOOKUP(A55,'Données projet'!$A$35:$I$55,9,0)</f>
        <v>15.135000000000005</v>
      </c>
      <c r="M55" s="12">
        <f t="array" ref="M55">INDEX(L:L,MIN(IF(ISNUMBER(L55:L251),ROW(L55:L251),"")))</f>
        <v>15.135000000000005</v>
      </c>
      <c r="N55" s="13">
        <f>IF('Données projet'!$A$36&gt;35,N54+M55-V54,IF(A55&lt;'Données projet'!$A$36,$K$205^A55,IF(A55='Données projet'!$A$36,'Données projet'!$B$36,N54+M55-V54)))</f>
        <v>431.35999999999984</v>
      </c>
      <c r="O55" s="13">
        <f>N55*VLOOKUP('Données projet'!$B$9,Paramètres!$A$1:$I$89,3,0)*VLOOKUP('Données projet'!$B$9,Paramètres!$A$1:$I$89,5,0)</f>
        <v>257.95327999999995</v>
      </c>
      <c r="P55" s="13">
        <f t="shared" si="33"/>
        <v>62.285899493064591</v>
      </c>
      <c r="Q55" s="20">
        <f t="shared" si="53"/>
        <v>557.74990428375406</v>
      </c>
      <c r="R55" s="59">
        <f t="shared" si="0"/>
        <v>851.08323761708743</v>
      </c>
      <c r="S55" s="59">
        <f ca="1">AVERAGE(OFFSET($R$3,0,0,'Données projet'!$E$9+1,1))-AVERAGE(OFFSET($H$3,0,0,'Données projet'!$E$9+1,1))</f>
        <v>262.21372546382133</v>
      </c>
      <c r="T55" s="59">
        <f t="shared" si="34"/>
        <v>263.5279690714105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80.319999999999993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7.5600000000000001E-2</v>
      </c>
      <c r="Y55" s="16">
        <f>IF(ISNA(VLOOKUP(A55,'Données projet'!$A$35:$I$55,7,0)),0%,VLOOKUP(A55,'Données projet'!$A$35:$I$55,7,0))</f>
        <v>0.13200000000000001</v>
      </c>
      <c r="Z55" s="21">
        <f>EXP(-LN(2)/35)*Z54+(1-EXP(-LN(2)/35))/(LN(2)/35)*V55*W55*VLOOKUP('Données projet'!$B$9,Paramètres!$A$1:$I$89,3,0)*0.475*44/12</f>
        <v>63.040765396577036</v>
      </c>
      <c r="AA55" s="21">
        <f>EXP(-LN(2)/25)*AA54+(1-EXP(-LN(2)/25))/(LN(2)/25)*Calculateur!V55*Calculateur!X55*VLOOKUP('Données projet'!$B$9,Paramètres!$A$1:$I$89,3,0)*0.475*44/12</f>
        <v>24.377202779029268</v>
      </c>
      <c r="AB55" s="21">
        <f>EXP(-LN(2)/2)*AB54+(1-EXP(-LN(2)/2))/(LN(2)/2)*V55*Y55*VLOOKUP('Données projet'!$B$9,Paramètres!$A$1:$I$89,3,0)*0.475*44/12</f>
        <v>7.6789202173748716</v>
      </c>
      <c r="AC55" s="22">
        <f t="shared" si="3"/>
        <v>95.096888392981171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13.563749999999999</v>
      </c>
      <c r="N56" s="13">
        <f>IF('Données projet'!$A$36&gt;35,N55+M56-V55,IF(A56&lt;'Données projet'!$A$36,$K$205^A56,IF(A56='Données projet'!$A$36,'Données projet'!$B$36,N55+M56-V55)))</f>
        <v>364.60374999999982</v>
      </c>
      <c r="O56" s="13">
        <f>N56*VLOOKUP('Données projet'!$B$9,Paramètres!$A$1:$I$89,3,0)*VLOOKUP('Données projet'!$B$9,Paramètres!$A$1:$I$89,5,0)</f>
        <v>218.03304249999991</v>
      </c>
      <c r="P56" s="13">
        <f t="shared" si="33"/>
        <v>53.68715402876812</v>
      </c>
      <c r="Q56" s="20">
        <f t="shared" si="53"/>
        <v>473.24600895427096</v>
      </c>
      <c r="R56" s="59">
        <f t="shared" si="0"/>
        <v>766.57934228760428</v>
      </c>
      <c r="S56" s="59">
        <f ca="1">AVERAGE(OFFSET($R$3,0,0,'Données projet'!$E$9+1,1))-AVERAGE(OFFSET($H$3,0,0,'Données projet'!$E$9+1,1))</f>
        <v>262.21372546382133</v>
      </c>
      <c r="T56" s="59">
        <f t="shared" si="34"/>
        <v>263.5279690714105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61.804574438220328</v>
      </c>
      <c r="AA56" s="21">
        <f>EXP(-LN(2)/25)*AA55+(1-EXP(-LN(2)/25))/(LN(2)/25)*Calculateur!V56*Calculateur!X56*VLOOKUP('Données projet'!$B$9,Paramètres!$A$1:$I$89,3,0)*0.475*44/12</f>
        <v>23.710606887095334</v>
      </c>
      <c r="AB56" s="21">
        <f>EXP(-LN(2)/2)*AB55+(1-EXP(-LN(2)/2))/(LN(2)/2)*V56*Y56*VLOOKUP('Données projet'!$B$9,Paramètres!$A$1:$I$89,3,0)*0.475*44/12</f>
        <v>5.4298165578962498</v>
      </c>
      <c r="AC56" s="22">
        <f t="shared" si="3"/>
        <v>90.944997883211911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13.563749999999999</v>
      </c>
      <c r="N57" s="13">
        <f>IF('Données projet'!$A$36&gt;35,N56+M57-V56,IF(A57&lt;'Données projet'!$A$36,$K$205^A57,IF(A57='Données projet'!$A$36,'Données projet'!$B$36,N56+M57-V56)))</f>
        <v>378.16749999999979</v>
      </c>
      <c r="O57" s="13">
        <f>N57*VLOOKUP('Données projet'!$B$9,Paramètres!$A$1:$I$89,3,0)*VLOOKUP('Données projet'!$B$9,Paramètres!$A$1:$I$89,5,0)</f>
        <v>226.1441649999999</v>
      </c>
      <c r="P57" s="13">
        <f t="shared" si="33"/>
        <v>55.448141277201401</v>
      </c>
      <c r="Q57" s="20">
        <f t="shared" si="53"/>
        <v>490.43993343279226</v>
      </c>
      <c r="R57" s="59">
        <f t="shared" si="0"/>
        <v>783.77326676612552</v>
      </c>
      <c r="S57" s="59">
        <f ca="1">AVERAGE(OFFSET($R$3,0,0,'Données projet'!$E$9+1,1))-AVERAGE(OFFSET($H$3,0,0,'Données projet'!$E$9+1,1))</f>
        <v>262.21372546382133</v>
      </c>
      <c r="T57" s="59">
        <f t="shared" si="34"/>
        <v>263.5279690714105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60.592624430554956</v>
      </c>
      <c r="AA57" s="21">
        <f>EXP(-LN(2)/25)*AA56+(1-EXP(-LN(2)/25))/(LN(2)/25)*Calculateur!V57*Calculateur!X57*VLOOKUP('Données projet'!$B$9,Paramètres!$A$1:$I$89,3,0)*0.475*44/12</f>
        <v>23.062239094881086</v>
      </c>
      <c r="AB57" s="21">
        <f>EXP(-LN(2)/2)*AB56+(1-EXP(-LN(2)/2))/(LN(2)/2)*V57*Y57*VLOOKUP('Données projet'!$B$9,Paramètres!$A$1:$I$89,3,0)*0.475*44/12</f>
        <v>3.8394601086874363</v>
      </c>
      <c r="AC57" s="22">
        <f t="shared" si="3"/>
        <v>87.494323634123475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13.563749999999999</v>
      </c>
      <c r="N58" s="13">
        <f>IF('Données projet'!$A$36&gt;35,N57+M58-V57,IF(A58&lt;'Données projet'!$A$36,$K$205^A58,IF(A58='Données projet'!$A$36,'Données projet'!$B$36,N57+M58-V57)))</f>
        <v>391.73124999999982</v>
      </c>
      <c r="O58" s="13">
        <f>N58*VLOOKUP('Données projet'!$B$9,Paramètres!$A$1:$I$89,3,0)*VLOOKUP('Données projet'!$B$9,Paramètres!$A$1:$I$89,5,0)</f>
        <v>234.25528749999992</v>
      </c>
      <c r="P58" s="13">
        <f t="shared" si="33"/>
        <v>57.201790201692489</v>
      </c>
      <c r="Q58" s="20">
        <f t="shared" si="53"/>
        <v>507.62107699711424</v>
      </c>
      <c r="R58" s="59">
        <f t="shared" si="0"/>
        <v>800.95441033044756</v>
      </c>
      <c r="S58" s="59">
        <f ca="1">AVERAGE(OFFSET($R$3,0,0,'Données projet'!$E$9+1,1))-AVERAGE(OFFSET($H$3,0,0,'Données projet'!$E$9+1,1))</f>
        <v>262.21372546382133</v>
      </c>
      <c r="T58" s="59">
        <f t="shared" si="34"/>
        <v>263.5279690714105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59.404440023323389</v>
      </c>
      <c r="AA58" s="21">
        <f>EXP(-LN(2)/25)*AA57+(1-EXP(-LN(2)/25))/(LN(2)/25)*Calculateur!V58*Calculateur!X58*VLOOKUP('Données projet'!$B$9,Paramètres!$A$1:$I$89,3,0)*0.475*44/12</f>
        <v>22.431600954041119</v>
      </c>
      <c r="AB58" s="21">
        <f>EXP(-LN(2)/2)*AB57+(1-EXP(-LN(2)/2))/(LN(2)/2)*V58*Y58*VLOOKUP('Données projet'!$B$9,Paramètres!$A$1:$I$89,3,0)*0.475*44/12</f>
        <v>2.7149082789481254</v>
      </c>
      <c r="AC58" s="22">
        <f t="shared" si="3"/>
        <v>84.550949256312634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13.563749999999999</v>
      </c>
      <c r="N59" s="13">
        <f>IF('Données projet'!$A$36&gt;35,N58+M59-V58,IF(A59&lt;'Données projet'!$A$36,$K$205^A59,IF(A59='Données projet'!$A$36,'Données projet'!$B$36,N58+M59-V58)))</f>
        <v>405.29499999999985</v>
      </c>
      <c r="O59" s="13">
        <f>N59*VLOOKUP('Données projet'!$B$9,Paramètres!$A$1:$I$89,3,0)*VLOOKUP('Données projet'!$B$9,Paramètres!$A$1:$I$89,5,0)</f>
        <v>242.36640999999992</v>
      </c>
      <c r="P59" s="13">
        <f t="shared" si="33"/>
        <v>58.948384013025219</v>
      </c>
      <c r="Q59" s="20">
        <f t="shared" si="53"/>
        <v>524.78993290601875</v>
      </c>
      <c r="R59" s="59">
        <f t="shared" si="0"/>
        <v>818.12326623935201</v>
      </c>
      <c r="S59" s="59">
        <f ca="1">AVERAGE(OFFSET($R$3,0,0,'Données projet'!$E$9+1,1))-AVERAGE(OFFSET($H$3,0,0,'Données projet'!$E$9+1,1))</f>
        <v>262.21372546382133</v>
      </c>
      <c r="T59" s="59">
        <f t="shared" si="34"/>
        <v>263.5279690714105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58.239555187596707</v>
      </c>
      <c r="AA59" s="21">
        <f>EXP(-LN(2)/25)*AA58+(1-EXP(-LN(2)/25))/(LN(2)/25)*Calculateur!V59*Calculateur!X59*VLOOKUP('Données projet'!$B$9,Paramètres!$A$1:$I$89,3,0)*0.475*44/12</f>
        <v>21.81820764632624</v>
      </c>
      <c r="AB59" s="21">
        <f>EXP(-LN(2)/2)*AB58+(1-EXP(-LN(2)/2))/(LN(2)/2)*V59*Y59*VLOOKUP('Données projet'!$B$9,Paramètres!$A$1:$I$89,3,0)*0.475*44/12</f>
        <v>1.9197300543437186</v>
      </c>
      <c r="AC59" s="22">
        <f t="shared" si="3"/>
        <v>81.977492888266667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13.563749999999999</v>
      </c>
      <c r="N60" s="13">
        <f>IF('Données projet'!$A$36&gt;35,N59+M60-V59,IF(A60&lt;'Données projet'!$A$36,$K$205^A60,IF(A60='Données projet'!$A$36,'Données projet'!$B$36,N59+M60-V59)))</f>
        <v>418.85874999999987</v>
      </c>
      <c r="O60" s="13">
        <f>N60*VLOOKUP('Données projet'!$B$9,Paramètres!$A$1:$I$89,3,0)*VLOOKUP('Données projet'!$B$9,Paramètres!$A$1:$I$89,5,0)</f>
        <v>250.47753249999994</v>
      </c>
      <c r="P60" s="13">
        <f t="shared" si="33"/>
        <v>60.68818589031747</v>
      </c>
      <c r="Q60" s="20">
        <f t="shared" si="53"/>
        <v>541.94695952980283</v>
      </c>
      <c r="R60" s="59">
        <f t="shared" si="0"/>
        <v>835.28029286313608</v>
      </c>
      <c r="S60" s="59">
        <f ca="1">AVERAGE(OFFSET($R$3,0,0,'Données projet'!$E$9+1,1))-AVERAGE(OFFSET($H$3,0,0,'Données projet'!$E$9+1,1))</f>
        <v>262.21372546382133</v>
      </c>
      <c r="T60" s="59">
        <f t="shared" si="34"/>
        <v>263.5279690714105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57.097513032989035</v>
      </c>
      <c r="AA60" s="21">
        <f>EXP(-LN(2)/25)*AA59+(1-EXP(-LN(2)/25))/(LN(2)/25)*Calculateur!V60*Calculateur!X60*VLOOKUP('Données projet'!$B$9,Paramètres!$A$1:$I$89,3,0)*0.475*44/12</f>
        <v>21.221587610867775</v>
      </c>
      <c r="AB60" s="21">
        <f>EXP(-LN(2)/2)*AB59+(1-EXP(-LN(2)/2))/(LN(2)/2)*V60*Y60*VLOOKUP('Données projet'!$B$9,Paramètres!$A$1:$I$89,3,0)*0.475*44/12</f>
        <v>1.3574541394740629</v>
      </c>
      <c r="AC60" s="22">
        <f t="shared" si="3"/>
        <v>79.676554783330872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13.563749999999999</v>
      </c>
      <c r="N61" s="13">
        <f>IF('Données projet'!$A$36&gt;35,N60+M61-V60,IF(A61&lt;'Données projet'!$A$36,$K$205^A61,IF(A61='Données projet'!$A$36,'Données projet'!$B$36,N60+M61-V60)))</f>
        <v>432.4224999999999</v>
      </c>
      <c r="O61" s="13">
        <f>N61*VLOOKUP('Données projet'!$B$9,Paramètres!$A$1:$I$89,3,0)*VLOOKUP('Données projet'!$B$9,Paramètres!$A$1:$I$89,5,0)</f>
        <v>258.58865499999996</v>
      </c>
      <c r="P61" s="13">
        <f t="shared" si="33"/>
        <v>62.421441000197383</v>
      </c>
      <c r="Q61" s="20">
        <f t="shared" si="53"/>
        <v>559.09258386701038</v>
      </c>
      <c r="R61" s="59">
        <f t="shared" si="0"/>
        <v>852.42591720034375</v>
      </c>
      <c r="S61" s="59">
        <f ca="1">AVERAGE(OFFSET($R$3,0,0,'Données projet'!$E$9+1,1))-AVERAGE(OFFSET($H$3,0,0,'Données projet'!$E$9+1,1))</f>
        <v>262.21372546382133</v>
      </c>
      <c r="T61" s="59">
        <f t="shared" si="34"/>
        <v>263.5279690714105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55.977865628456286</v>
      </c>
      <c r="AA61" s="21">
        <f>EXP(-LN(2)/25)*AA60+(1-EXP(-LN(2)/25))/(LN(2)/25)*Calculateur!V61*Calculateur!X61*VLOOKUP('Données projet'!$B$9,Paramètres!$A$1:$I$89,3,0)*0.475*44/12</f>
        <v>20.641282181653807</v>
      </c>
      <c r="AB61" s="21">
        <f>EXP(-LN(2)/2)*AB60+(1-EXP(-LN(2)/2))/(LN(2)/2)*V61*Y61*VLOOKUP('Données projet'!$B$9,Paramètres!$A$1:$I$89,3,0)*0.475*44/12</f>
        <v>0.9598650271718594</v>
      </c>
      <c r="AC61" s="22">
        <f t="shared" si="3"/>
        <v>77.579012837281951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13.563749999999999</v>
      </c>
      <c r="N62" s="13">
        <f>IF('Données projet'!$A$36&gt;35,N61+M62-V61,IF(A62&lt;'Données projet'!$A$36,$K$205^A62,IF(A62='Données projet'!$A$36,'Données projet'!$B$36,N61+M62-V61)))</f>
        <v>445.98624999999993</v>
      </c>
      <c r="O62" s="13">
        <f>N62*VLOOKUP('Données projet'!$B$9,Paramètres!$A$1:$I$89,3,0)*VLOOKUP('Données projet'!$B$9,Paramètres!$A$1:$I$89,5,0)</f>
        <v>266.69977749999998</v>
      </c>
      <c r="P62" s="13">
        <f t="shared" si="33"/>
        <v>64.148378255520143</v>
      </c>
      <c r="Q62" s="20">
        <f t="shared" si="53"/>
        <v>576.22720460753078</v>
      </c>
      <c r="R62" s="59">
        <f t="shared" si="0"/>
        <v>869.56053794086415</v>
      </c>
      <c r="S62" s="59">
        <f ca="1">AVERAGE(OFFSET($R$3,0,0,'Données projet'!$E$9+1,1))-AVERAGE(OFFSET($H$3,0,0,'Données projet'!$E$9+1,1))</f>
        <v>262.21372546382133</v>
      </c>
      <c r="T62" s="59">
        <f t="shared" si="34"/>
        <v>263.5279690714105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54.880173826608939</v>
      </c>
      <c r="AA62" s="21">
        <f>EXP(-LN(2)/25)*AA61+(1-EXP(-LN(2)/25))/(LN(2)/25)*Calculateur!V62*Calculateur!X62*VLOOKUP('Données projet'!$B$9,Paramètres!$A$1:$I$89,3,0)*0.475*44/12</f>
        <v>20.076845234918629</v>
      </c>
      <c r="AB62" s="21">
        <f>EXP(-LN(2)/2)*AB61+(1-EXP(-LN(2)/2))/(LN(2)/2)*V62*Y62*VLOOKUP('Données projet'!$B$9,Paramètres!$A$1:$I$89,3,0)*0.475*44/12</f>
        <v>0.67872706973703156</v>
      </c>
      <c r="AC62" s="22">
        <f t="shared" si="3"/>
        <v>75.635746131264611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459.55</v>
      </c>
      <c r="L63" s="12">
        <f>VLOOKUP(A63,'Données projet'!$A$35:$I$55,9,0)</f>
        <v>13.563749999999999</v>
      </c>
      <c r="M63" s="12">
        <f t="array" ref="M63">INDEX(L:L,MIN(IF(ISNUMBER(L63:L259),ROW(L63:L259),"")))</f>
        <v>13.563749999999999</v>
      </c>
      <c r="N63" s="13">
        <f>IF('Données projet'!$A$36&gt;35,N62+M63-V62,IF(A63&lt;'Données projet'!$A$36,$K$205^A63,IF(A63='Données projet'!$A$36,'Données projet'!$B$36,N62+M63-V62)))</f>
        <v>459.54999999999995</v>
      </c>
      <c r="O63" s="13">
        <f>N63*VLOOKUP('Données projet'!$B$9,Paramètres!$A$1:$I$89,3,0)*VLOOKUP('Données projet'!$B$9,Paramètres!$A$1:$I$89,5,0)</f>
        <v>274.8109</v>
      </c>
      <c r="P63" s="13">
        <f t="shared" si="33"/>
        <v>65.869211854124515</v>
      </c>
      <c r="Q63" s="20">
        <f t="shared" si="53"/>
        <v>593.35119481260017</v>
      </c>
      <c r="R63" s="59">
        <f t="shared" si="0"/>
        <v>886.68452814593343</v>
      </c>
      <c r="S63" s="59">
        <f ca="1">AVERAGE(OFFSET($R$3,0,0,'Données projet'!$E$9+1,1))-AVERAGE(OFFSET($H$3,0,0,'Données projet'!$E$9+1,1))</f>
        <v>262.21372546382133</v>
      </c>
      <c r="T63" s="59">
        <f t="shared" si="34"/>
        <v>263.5279690714105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459.55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7.5600000000000001E-2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168.63863424228515</v>
      </c>
      <c r="AA63" s="21">
        <f>EXP(-LN(2)/25)*AA62+(1-EXP(-LN(2)/25))/(LN(2)/25)*Calculateur!V63*Calculateur!X63*VLOOKUP('Données projet'!$B$9,Paramètres!$A$1:$I$89,3,0)*0.475*44/12</f>
        <v>46.979637918566176</v>
      </c>
      <c r="AB63" s="21">
        <f>EXP(-LN(2)/2)*AB62+(1-EXP(-LN(2)/2))/(LN(2)/2)*V63*Y63*VLOOKUP('Données projet'!$B$9,Paramètres!$A$1:$I$89,3,0)*0.475*44/12</f>
        <v>41.551703036971631</v>
      </c>
      <c r="AC63" s="22">
        <f t="shared" si="3"/>
        <v>257.16997519782296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262.21372546382133</v>
      </c>
      <c r="T64" s="59">
        <f t="shared" si="34"/>
        <v>263.5279690714105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165.33173348420431</v>
      </c>
      <c r="AA64" s="21">
        <f>EXP(-LN(2)/25)*AA63+(1-EXP(-LN(2)/25))/(LN(2)/25)*Calculateur!V64*Calculateur!X64*VLOOKUP('Données projet'!$B$9,Paramètres!$A$1:$I$89,3,0)*0.475*44/12</f>
        <v>45.694977249131199</v>
      </c>
      <c r="AB64" s="21">
        <f>EXP(-LN(2)/2)*AB63+(1-EXP(-LN(2)/2))/(LN(2)/2)*V64*Y64*VLOOKUP('Données projet'!$B$9,Paramètres!$A$1:$I$89,3,0)*0.475*44/12</f>
        <v>29.381490987292302</v>
      </c>
      <c r="AC64" s="22">
        <f t="shared" si="3"/>
        <v>240.4082017206278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262.21372546382133</v>
      </c>
      <c r="T65" s="59">
        <f t="shared" si="34"/>
        <v>263.5279690714105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162.08967903297912</v>
      </c>
      <c r="AA65" s="21">
        <f>EXP(-LN(2)/25)*AA64+(1-EXP(-LN(2)/25))/(LN(2)/25)*Calculateur!V65*Calculateur!X65*VLOOKUP('Données projet'!$B$9,Paramètres!$A$1:$I$89,3,0)*0.475*44/12</f>
        <v>44.445445693259288</v>
      </c>
      <c r="AB65" s="21">
        <f>EXP(-LN(2)/2)*AB64+(1-EXP(-LN(2)/2))/(LN(2)/2)*V65*Y65*VLOOKUP('Données projet'!$B$9,Paramètres!$A$1:$I$89,3,0)*0.475*44/12</f>
        <v>20.775851518485819</v>
      </c>
      <c r="AC65" s="22">
        <f t="shared" si="3"/>
        <v>227.3109762447242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262.21372546382133</v>
      </c>
      <c r="T66" s="59">
        <f t="shared" si="34"/>
        <v>263.5279690714105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158.91119929208452</v>
      </c>
      <c r="AA66" s="21">
        <f>EXP(-LN(2)/25)*AA65+(1-EXP(-LN(2)/25))/(LN(2)/25)*Calculateur!V66*Calculateur!X66*VLOOKUP('Données projet'!$B$9,Paramètres!$A$1:$I$89,3,0)*0.475*44/12</f>
        <v>43.230082643492707</v>
      </c>
      <c r="AB66" s="21">
        <f>EXP(-LN(2)/2)*AB65+(1-EXP(-LN(2)/2))/(LN(2)/2)*V66*Y66*VLOOKUP('Données projet'!$B$9,Paramètres!$A$1:$I$89,3,0)*0.475*44/12</f>
        <v>14.690745493646155</v>
      </c>
      <c r="AC66" s="22">
        <f t="shared" si="3"/>
        <v>216.83202742922339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262.21372546382133</v>
      </c>
      <c r="T67" s="59">
        <f t="shared" si="34"/>
        <v>263.5279690714105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155.79504760022763</v>
      </c>
      <c r="AA67" s="21">
        <f>EXP(-LN(2)/25)*AA66+(1-EXP(-LN(2)/25))/(LN(2)/25)*Calculateur!V67*Calculateur!X67*VLOOKUP('Données projet'!$B$9,Paramètres!$A$1:$I$89,3,0)*0.475*44/12</f>
        <v>42.04795376023516</v>
      </c>
      <c r="AB67" s="21">
        <f>EXP(-LN(2)/2)*AB66+(1-EXP(-LN(2)/2))/(LN(2)/2)*V67*Y67*VLOOKUP('Données projet'!$B$9,Paramètres!$A$1:$I$89,3,0)*0.475*44/12</f>
        <v>10.387925759242911</v>
      </c>
      <c r="AC67" s="22">
        <f t="shared" si="3"/>
        <v>208.23092711970568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262.21372546382133</v>
      </c>
      <c r="T68" s="59">
        <f t="shared" si="34"/>
        <v>263.5279690714105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152.74000174238321</v>
      </c>
      <c r="AA68" s="21">
        <f>EXP(-LN(2)/25)*AA67+(1-EXP(-LN(2)/25))/(LN(2)/25)*Calculateur!V68*Calculateur!X68*VLOOKUP('Données projet'!$B$9,Paramètres!$A$1:$I$89,3,0)*0.475*44/12</f>
        <v>40.898150253455746</v>
      </c>
      <c r="AB68" s="21">
        <f>EXP(-LN(2)/2)*AB67+(1-EXP(-LN(2)/2))/(LN(2)/2)*V68*Y68*VLOOKUP('Données projet'!$B$9,Paramètres!$A$1:$I$89,3,0)*0.475*44/12</f>
        <v>7.3453727468230783</v>
      </c>
      <c r="AC68" s="22">
        <f t="shared" ref="AC68:AC131" si="57">SUM(Z68:AB68)</f>
        <v>200.98352474266204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262.21372546382133</v>
      </c>
      <c r="T69" s="59">
        <f t="shared" ref="T69:T132" si="88">$T$3</f>
        <v>263.5279690714105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149.74486347041713</v>
      </c>
      <c r="AA69" s="21">
        <f>EXP(-LN(2)/25)*AA68+(1-EXP(-LN(2)/25))/(LN(2)/25)*Calculateur!V69*Calculateur!X69*VLOOKUP('Données projet'!$B$9,Paramètres!$A$1:$I$89,3,0)*0.475*44/12</f>
        <v>39.77978818403475</v>
      </c>
      <c r="AB69" s="21">
        <f>EXP(-LN(2)/2)*AB68+(1-EXP(-LN(2)/2))/(LN(2)/2)*V69*Y69*VLOOKUP('Données projet'!$B$9,Paramètres!$A$1:$I$89,3,0)*0.475*44/12</f>
        <v>5.1939628796214565</v>
      </c>
      <c r="AC69" s="22">
        <f t="shared" si="57"/>
        <v>194.71861453407334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262.21372546382133</v>
      </c>
      <c r="T70" s="59">
        <f t="shared" si="88"/>
        <v>263.5279690714105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146.80845803311036</v>
      </c>
      <c r="AA70" s="21">
        <f>EXP(-LN(2)/25)*AA69+(1-EXP(-LN(2)/25))/(LN(2)/25)*Calculateur!V70*Calculateur!X70*VLOOKUP('Données projet'!$B$9,Paramètres!$A$1:$I$89,3,0)*0.475*44/12</f>
        <v>38.692007784214177</v>
      </c>
      <c r="AB70" s="21">
        <f>EXP(-LN(2)/2)*AB69+(1-EXP(-LN(2)/2))/(LN(2)/2)*V70*Y70*VLOOKUP('Données projet'!$B$9,Paramètres!$A$1:$I$89,3,0)*0.475*44/12</f>
        <v>3.6726863734115396</v>
      </c>
      <c r="AC70" s="22">
        <f t="shared" si="57"/>
        <v>189.17315219073609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262.21372546382133</v>
      </c>
      <c r="T71" s="59">
        <f t="shared" si="88"/>
        <v>263.5279690714105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143.92963371539869</v>
      </c>
      <c r="AA71" s="21">
        <f>EXP(-LN(2)/25)*AA70+(1-EXP(-LN(2)/25))/(LN(2)/25)*Calculateur!V71*Calculateur!X71*VLOOKUP('Données projet'!$B$9,Paramètres!$A$1:$I$89,3,0)*0.475*44/12</f>
        <v>37.63397279663058</v>
      </c>
      <c r="AB71" s="21">
        <f>EXP(-LN(2)/2)*AB70+(1-EXP(-LN(2)/2))/(LN(2)/2)*V71*Y71*VLOOKUP('Données projet'!$B$9,Paramètres!$A$1:$I$89,3,0)*0.475*44/12</f>
        <v>2.5969814398107283</v>
      </c>
      <c r="AC71" s="22">
        <f t="shared" si="57"/>
        <v>184.16058795184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262.21372546382133</v>
      </c>
      <c r="T72" s="59">
        <f t="shared" si="88"/>
        <v>263.5279690714105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141.10726138664791</v>
      </c>
      <c r="AA72" s="21">
        <f>EXP(-LN(2)/25)*AA71+(1-EXP(-LN(2)/25))/(LN(2)/25)*Calculateur!V72*Calculateur!X72*VLOOKUP('Données projet'!$B$9,Paramètres!$A$1:$I$89,3,0)*0.475*44/12</f>
        <v>36.6048698314221</v>
      </c>
      <c r="AB72" s="21">
        <f>EXP(-LN(2)/2)*AB71+(1-EXP(-LN(2)/2))/(LN(2)/2)*V72*Y72*VLOOKUP('Données projet'!$B$9,Paramètres!$A$1:$I$89,3,0)*0.475*44/12</f>
        <v>1.8363431867057698</v>
      </c>
      <c r="AC72" s="22">
        <f t="shared" si="57"/>
        <v>179.54847440477576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262.21372546382133</v>
      </c>
      <c r="T73" s="59">
        <f t="shared" si="88"/>
        <v>263.5279690714105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138.34023405778677</v>
      </c>
      <c r="AA73" s="21">
        <f>EXP(-LN(2)/25)*AA72+(1-EXP(-LN(2)/25))/(LN(2)/25)*Calculateur!V73*Calculateur!X73*VLOOKUP('Données projet'!$B$9,Paramètres!$A$1:$I$89,3,0)*0.475*44/12</f>
        <v>35.603907740915417</v>
      </c>
      <c r="AB73" s="21">
        <f>EXP(-LN(2)/2)*AB72+(1-EXP(-LN(2)/2))/(LN(2)/2)*V73*Y73*VLOOKUP('Données projet'!$B$9,Paramètres!$A$1:$I$89,3,0)*0.475*44/12</f>
        <v>1.2984907199053641</v>
      </c>
      <c r="AC73" s="22">
        <f t="shared" si="57"/>
        <v>175.24263251860756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262.21372546382133</v>
      </c>
      <c r="T74" s="59">
        <f t="shared" si="88"/>
        <v>263.5279690714105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135.62746644712459</v>
      </c>
      <c r="AA74" s="21">
        <f>EXP(-LN(2)/25)*AA73+(1-EXP(-LN(2)/25))/(LN(2)/25)*Calculateur!V74*Calculateur!X74*VLOOKUP('Données projet'!$B$9,Paramètres!$A$1:$I$89,3,0)*0.475*44/12</f>
        <v>34.630317011411954</v>
      </c>
      <c r="AB74" s="21">
        <f>EXP(-LN(2)/2)*AB73+(1-EXP(-LN(2)/2))/(LN(2)/2)*V74*Y74*VLOOKUP('Données projet'!$B$9,Paramètres!$A$1:$I$89,3,0)*0.475*44/12</f>
        <v>0.9181715933528849</v>
      </c>
      <c r="AC74" s="22">
        <f t="shared" si="57"/>
        <v>171.17595505188945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262.21372546382133</v>
      </c>
      <c r="T75" s="59">
        <f t="shared" si="88"/>
        <v>263.5279690714105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132.96789455468263</v>
      </c>
      <c r="AA75" s="21">
        <f>EXP(-LN(2)/25)*AA74+(1-EXP(-LN(2)/25))/(LN(2)/25)*Calculateur!V75*Calculateur!X75*VLOOKUP('Données projet'!$B$9,Paramètres!$A$1:$I$89,3,0)*0.475*44/12</f>
        <v>33.68334917160567</v>
      </c>
      <c r="AB75" s="21">
        <f>EXP(-LN(2)/2)*AB74+(1-EXP(-LN(2)/2))/(LN(2)/2)*V75*Y75*VLOOKUP('Données projet'!$B$9,Paramètres!$A$1:$I$89,3,0)*0.475*44/12</f>
        <v>0.64924535995268207</v>
      </c>
      <c r="AC75" s="22">
        <f t="shared" si="57"/>
        <v>167.30048908624099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262.21372546382133</v>
      </c>
      <c r="T76" s="59">
        <f t="shared" si="88"/>
        <v>263.5279690714105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130.36047524487279</v>
      </c>
      <c r="AA76" s="21">
        <f>EXP(-LN(2)/25)*AA75+(1-EXP(-LN(2)/25))/(LN(2)/25)*Calculateur!V76*Calculateur!X76*VLOOKUP('Données projet'!$B$9,Paramètres!$A$1:$I$89,3,0)*0.475*44/12</f>
        <v>32.762276217177764</v>
      </c>
      <c r="AB76" s="21">
        <f>EXP(-LN(2)/2)*AB75+(1-EXP(-LN(2)/2))/(LN(2)/2)*V76*Y76*VLOOKUP('Données projet'!$B$9,Paramètres!$A$1:$I$89,3,0)*0.475*44/12</f>
        <v>0.45908579667644245</v>
      </c>
      <c r="AC76" s="22">
        <f t="shared" si="57"/>
        <v>163.58183725872701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262.21372546382133</v>
      </c>
      <c r="T77" s="59">
        <f t="shared" si="88"/>
        <v>263.5279690714105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127.80418583735957</v>
      </c>
      <c r="AA77" s="21">
        <f>EXP(-LN(2)/25)*AA76+(1-EXP(-LN(2)/25))/(LN(2)/25)*Calculateur!V77*Calculateur!X77*VLOOKUP('Données projet'!$B$9,Paramètres!$A$1:$I$89,3,0)*0.475*44/12</f>
        <v>31.866390051125812</v>
      </c>
      <c r="AB77" s="21">
        <f>EXP(-LN(2)/2)*AB76+(1-EXP(-LN(2)/2))/(LN(2)/2)*V77*Y77*VLOOKUP('Données projet'!$B$9,Paramètres!$A$1:$I$89,3,0)*0.475*44/12</f>
        <v>0.32462267997634103</v>
      </c>
      <c r="AC77" s="22">
        <f t="shared" si="57"/>
        <v>159.99519856846172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262.21372546382133</v>
      </c>
      <c r="T78" s="59">
        <f t="shared" si="88"/>
        <v>263.5279690714105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125.2980237059451</v>
      </c>
      <c r="AA78" s="21">
        <f>EXP(-LN(2)/25)*AA77+(1-EXP(-LN(2)/25))/(LN(2)/25)*Calculateur!V78*Calculateur!X78*VLOOKUP('Données projet'!$B$9,Paramètres!$A$1:$I$89,3,0)*0.475*44/12</f>
        <v>30.995001939397156</v>
      </c>
      <c r="AB78" s="21">
        <f>EXP(-LN(2)/2)*AB77+(1-EXP(-LN(2)/2))/(LN(2)/2)*V78*Y78*VLOOKUP('Données projet'!$B$9,Paramètres!$A$1:$I$89,3,0)*0.475*44/12</f>
        <v>0.22954289833822122</v>
      </c>
      <c r="AC78" s="22">
        <f t="shared" si="57"/>
        <v>156.52256854368048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262.21372546382133</v>
      </c>
      <c r="T79" s="59">
        <f t="shared" si="88"/>
        <v>263.5279690714105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122.8410058853197</v>
      </c>
      <c r="AA79" s="21">
        <f>EXP(-LN(2)/25)*AA78+(1-EXP(-LN(2)/25))/(LN(2)/25)*Calculateur!V79*Calculateur!X79*VLOOKUP('Données projet'!$B$9,Paramètres!$A$1:$I$89,3,0)*0.475*44/12</f>
        <v>30.147441981408029</v>
      </c>
      <c r="AB79" s="21">
        <f>EXP(-LN(2)/2)*AB78+(1-EXP(-LN(2)/2))/(LN(2)/2)*V79*Y79*VLOOKUP('Données projet'!$B$9,Paramètres!$A$1:$I$89,3,0)*0.475*44/12</f>
        <v>0.16231133998817052</v>
      </c>
      <c r="AC79" s="22">
        <f t="shared" si="57"/>
        <v>153.15075920671592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262.21372546382133</v>
      </c>
      <c r="T80" s="59">
        <f t="shared" si="88"/>
        <v>263.5279690714105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120.43216868552388</v>
      </c>
      <c r="AA80" s="21">
        <f>EXP(-LN(2)/25)*AA79+(1-EXP(-LN(2)/25))/(LN(2)/25)*Calculateur!V80*Calculateur!X80*VLOOKUP('Données projet'!$B$9,Paramètres!$A$1:$I$89,3,0)*0.475*44/12</f>
        <v>29.323058595041356</v>
      </c>
      <c r="AB80" s="21">
        <f>EXP(-LN(2)/2)*AB79+(1-EXP(-LN(2)/2))/(LN(2)/2)*V80*Y80*VLOOKUP('Données projet'!$B$9,Paramètres!$A$1:$I$89,3,0)*0.475*44/12</f>
        <v>0.11477144916911061</v>
      </c>
      <c r="AC80" s="22">
        <f t="shared" si="57"/>
        <v>149.86999872973433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262.21372546382133</v>
      </c>
      <c r="T81" s="59">
        <f t="shared" si="88"/>
        <v>263.5279690714105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118.07056731397044</v>
      </c>
      <c r="AA81" s="21">
        <f>EXP(-LN(2)/25)*AA80+(1-EXP(-LN(2)/25))/(LN(2)/25)*Calculateur!V81*Calculateur!X81*VLOOKUP('Données projet'!$B$9,Paramètres!$A$1:$I$89,3,0)*0.475*44/12</f>
        <v>28.521218015727317</v>
      </c>
      <c r="AB81" s="21">
        <f>EXP(-LN(2)/2)*AB80+(1-EXP(-LN(2)/2))/(LN(2)/2)*V81*Y81*VLOOKUP('Données projet'!$B$9,Paramètres!$A$1:$I$89,3,0)*0.475*44/12</f>
        <v>8.1155669994085258E-2</v>
      </c>
      <c r="AC81" s="22">
        <f t="shared" si="57"/>
        <v>146.67294099969183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262.21372546382133</v>
      </c>
      <c r="T82" s="59">
        <f t="shared" si="88"/>
        <v>263.5279690714105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115.75527550487855</v>
      </c>
      <c r="AA82" s="21">
        <f>EXP(-LN(2)/25)*AA81+(1-EXP(-LN(2)/25))/(LN(2)/25)*Calculateur!V82*Calculateur!X82*VLOOKUP('Données projet'!$B$9,Paramètres!$A$1:$I$89,3,0)*0.475*44/12</f>
        <v>27.741303809221584</v>
      </c>
      <c r="AB82" s="21">
        <f>EXP(-LN(2)/2)*AB81+(1-EXP(-LN(2)/2))/(LN(2)/2)*V82*Y82*VLOOKUP('Données projet'!$B$9,Paramètres!$A$1:$I$89,3,0)*0.475*44/12</f>
        <v>5.7385724584555306E-2</v>
      </c>
      <c r="AC82" s="22">
        <f t="shared" si="57"/>
        <v>143.55396503868468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262.21372546382133</v>
      </c>
      <c r="T83" s="59">
        <f t="shared" si="88"/>
        <v>263.5279690714105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113.4853851559744</v>
      </c>
      <c r="AA83" s="21">
        <f>EXP(-LN(2)/25)*AA82+(1-EXP(-LN(2)/25))/(LN(2)/25)*Calculateur!V83*Calculateur!X83*VLOOKUP('Données projet'!$B$9,Paramètres!$A$1:$I$89,3,0)*0.475*44/12</f>
        <v>26.982716397706657</v>
      </c>
      <c r="AB83" s="21">
        <f>EXP(-LN(2)/2)*AB82+(1-EXP(-LN(2)/2))/(LN(2)/2)*V83*Y83*VLOOKUP('Données projet'!$B$9,Paramètres!$A$1:$I$89,3,0)*0.475*44/12</f>
        <v>4.0577834997042629E-2</v>
      </c>
      <c r="AC83" s="22">
        <f t="shared" si="57"/>
        <v>140.5086793886781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262.21372546382133</v>
      </c>
      <c r="T84" s="59">
        <f t="shared" si="88"/>
        <v>263.5279690714105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111.26000597231585</v>
      </c>
      <c r="AA84" s="21">
        <f>EXP(-LN(2)/25)*AA83+(1-EXP(-LN(2)/25))/(LN(2)/25)*Calculateur!V84*Calculateur!X84*VLOOKUP('Données projet'!$B$9,Paramètres!$A$1:$I$89,3,0)*0.475*44/12</f>
        <v>26.244872598851984</v>
      </c>
      <c r="AB84" s="21">
        <f>EXP(-LN(2)/2)*AB83+(1-EXP(-LN(2)/2))/(LN(2)/2)*V84*Y84*VLOOKUP('Données projet'!$B$9,Paramètres!$A$1:$I$89,3,0)*0.475*44/12</f>
        <v>2.8692862292277653E-2</v>
      </c>
      <c r="AC84" s="22">
        <f t="shared" si="57"/>
        <v>137.53357143346011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262.21372546382133</v>
      </c>
      <c r="T85" s="59">
        <f t="shared" si="88"/>
        <v>263.5279690714105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109.07826511710158</v>
      </c>
      <c r="AA85" s="21">
        <f>EXP(-LN(2)/25)*AA84+(1-EXP(-LN(2)/25))/(LN(2)/25)*Calculateur!V85*Calculateur!X85*VLOOKUP('Données projet'!$B$9,Paramètres!$A$1:$I$89,3,0)*0.475*44/12</f>
        <v>25.52720517747851</v>
      </c>
      <c r="AB85" s="21">
        <f>EXP(-LN(2)/2)*AB84+(1-EXP(-LN(2)/2))/(LN(2)/2)*V85*Y85*VLOOKUP('Données projet'!$B$9,Paramètres!$A$1:$I$89,3,0)*0.475*44/12</f>
        <v>2.0288917498521315E-2</v>
      </c>
      <c r="AC85" s="22">
        <f t="shared" si="57"/>
        <v>134.62575921207863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262.21372546382133</v>
      </c>
      <c r="T86" s="59">
        <f t="shared" si="88"/>
        <v>263.5279690714105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106.93930686932754</v>
      </c>
      <c r="AA86" s="21">
        <f>EXP(-LN(2)/25)*AA85+(1-EXP(-LN(2)/25))/(LN(2)/25)*Calculateur!V86*Calculateur!X86*VLOOKUP('Données projet'!$B$9,Paramètres!$A$1:$I$89,3,0)*0.475*44/12</f>
        <v>24.829162409482983</v>
      </c>
      <c r="AB86" s="21">
        <f>EXP(-LN(2)/2)*AB85+(1-EXP(-LN(2)/2))/(LN(2)/2)*V86*Y86*VLOOKUP('Données projet'!$B$9,Paramètres!$A$1:$I$89,3,0)*0.475*44/12</f>
        <v>1.4346431146138827E-2</v>
      </c>
      <c r="AC86" s="22">
        <f t="shared" si="57"/>
        <v>131.78281570995668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262.21372546382133</v>
      </c>
      <c r="T87" s="59">
        <f t="shared" si="88"/>
        <v>263.5279690714105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104.84229228815663</v>
      </c>
      <c r="AA87" s="21">
        <f>EXP(-LN(2)/25)*AA86+(1-EXP(-LN(2)/25))/(LN(2)/25)*Calculateur!V87*Calculateur!X87*VLOOKUP('Données projet'!$B$9,Paramètres!$A$1:$I$89,3,0)*0.475*44/12</f>
        <v>24.150207657686767</v>
      </c>
      <c r="AB87" s="21">
        <f>EXP(-LN(2)/2)*AB86+(1-EXP(-LN(2)/2))/(LN(2)/2)*V87*Y87*VLOOKUP('Données projet'!$B$9,Paramètres!$A$1:$I$89,3,0)*0.475*44/12</f>
        <v>1.0144458749260657E-2</v>
      </c>
      <c r="AC87" s="22">
        <f t="shared" si="57"/>
        <v>129.00264440459267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262.21372546382133</v>
      </c>
      <c r="T88" s="59">
        <f t="shared" si="88"/>
        <v>263.5279690714105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102.78639888386988</v>
      </c>
      <c r="AA88" s="21">
        <f>EXP(-LN(2)/25)*AA87+(1-EXP(-LN(2)/25))/(LN(2)/25)*Calculateur!V88*Calculateur!X88*VLOOKUP('Données projet'!$B$9,Paramètres!$A$1:$I$89,3,0)*0.475*44/12</f>
        <v>23.489818959283099</v>
      </c>
      <c r="AB88" s="21">
        <f>EXP(-LN(2)/2)*AB87+(1-EXP(-LN(2)/2))/(LN(2)/2)*V88*Y88*VLOOKUP('Données projet'!$B$9,Paramètres!$A$1:$I$89,3,0)*0.475*44/12</f>
        <v>7.1732155730694133E-3</v>
      </c>
      <c r="AC88" s="22">
        <f t="shared" si="57"/>
        <v>126.28339105872605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262.21372546382133</v>
      </c>
      <c r="T89" s="59">
        <f t="shared" si="88"/>
        <v>263.5279690714105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100.77082029527004</v>
      </c>
      <c r="AA89" s="21">
        <f>EXP(-LN(2)/25)*AA88+(1-EXP(-LN(2)/25))/(LN(2)/25)*Calculateur!V89*Calculateur!X89*VLOOKUP('Données projet'!$B$9,Paramètres!$A$1:$I$89,3,0)*0.475*44/12</f>
        <v>22.84748862456561</v>
      </c>
      <c r="AB89" s="21">
        <f>EXP(-LN(2)/2)*AB88+(1-EXP(-LN(2)/2))/(LN(2)/2)*V89*Y89*VLOOKUP('Données projet'!$B$9,Paramètres!$A$1:$I$89,3,0)*0.475*44/12</f>
        <v>5.0722293746303286E-3</v>
      </c>
      <c r="AC89" s="22">
        <f t="shared" si="57"/>
        <v>123.62338114921029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262.21372546382133</v>
      </c>
      <c r="T90" s="59">
        <f t="shared" si="88"/>
        <v>263.5279690714105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98.794765973411103</v>
      </c>
      <c r="AA90" s="21">
        <f>EXP(-LN(2)/25)*AA89+(1-EXP(-LN(2)/25))/(LN(2)/25)*Calculateur!V90*Calculateur!X90*VLOOKUP('Données projet'!$B$9,Paramètres!$A$1:$I$89,3,0)*0.475*44/12</f>
        <v>22.222722846629654</v>
      </c>
      <c r="AB90" s="21">
        <f>EXP(-LN(2)/2)*AB89+(1-EXP(-LN(2)/2))/(LN(2)/2)*V90*Y90*VLOOKUP('Données projet'!$B$9,Paramètres!$A$1:$I$89,3,0)*0.475*44/12</f>
        <v>3.5866077865347066E-3</v>
      </c>
      <c r="AC90" s="22">
        <f t="shared" si="57"/>
        <v>121.02107542782728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262.21372546382133</v>
      </c>
      <c r="T91" s="59">
        <f t="shared" si="88"/>
        <v>263.5279690714105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96.857460871529682</v>
      </c>
      <c r="AA91" s="21">
        <f>EXP(-LN(2)/25)*AA90+(1-EXP(-LN(2)/25))/(LN(2)/25)*Calculateur!V91*Calculateur!X91*VLOOKUP('Données projet'!$B$9,Paramètres!$A$1:$I$89,3,0)*0.475*44/12</f>
        <v>21.615041321746364</v>
      </c>
      <c r="AB91" s="21">
        <f>EXP(-LN(2)/2)*AB90+(1-EXP(-LN(2)/2))/(LN(2)/2)*V91*Y91*VLOOKUP('Données projet'!$B$9,Paramètres!$A$1:$I$89,3,0)*0.475*44/12</f>
        <v>2.5361146873151643E-3</v>
      </c>
      <c r="AC91" s="22">
        <f t="shared" si="57"/>
        <v>118.47503830796336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262.21372546382133</v>
      </c>
      <c r="T92" s="59">
        <f t="shared" si="88"/>
        <v>263.5279690714105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94.958145141056733</v>
      </c>
      <c r="AA92" s="21">
        <f>EXP(-LN(2)/25)*AA91+(1-EXP(-LN(2)/25))/(LN(2)/25)*Calculateur!V92*Calculateur!X92*VLOOKUP('Données projet'!$B$9,Paramètres!$A$1:$I$89,3,0)*0.475*44/12</f>
        <v>21.023976880117587</v>
      </c>
      <c r="AB92" s="21">
        <f>EXP(-LN(2)/2)*AB91+(1-EXP(-LN(2)/2))/(LN(2)/2)*V92*Y92*VLOOKUP('Données projet'!$B$9,Paramètres!$A$1:$I$89,3,0)*0.475*44/12</f>
        <v>1.7933038932673533E-3</v>
      </c>
      <c r="AC92" s="22">
        <f t="shared" si="57"/>
        <v>115.98391532506758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262.21372546382133</v>
      </c>
      <c r="T93" s="59">
        <f t="shared" si="88"/>
        <v>263.5279690714105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93.09607383359014</v>
      </c>
      <c r="AA93" s="21">
        <f>EXP(-LN(2)/25)*AA92+(1-EXP(-LN(2)/25))/(LN(2)/25)*Calculateur!V93*Calculateur!X93*VLOOKUP('Données projet'!$B$9,Paramètres!$A$1:$I$89,3,0)*0.475*44/12</f>
        <v>20.449075126727877</v>
      </c>
      <c r="AB93" s="21">
        <f>EXP(-LN(2)/2)*AB92+(1-EXP(-LN(2)/2))/(LN(2)/2)*V93*Y93*VLOOKUP('Données projet'!$B$9,Paramètres!$A$1:$I$89,3,0)*0.475*44/12</f>
        <v>1.2680573436575822E-3</v>
      </c>
      <c r="AC93" s="22">
        <f t="shared" si="57"/>
        <v>113.54641701766167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262.21372546382133</v>
      </c>
      <c r="T94" s="59">
        <f t="shared" si="88"/>
        <v>263.5279690714105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91.270516608711617</v>
      </c>
      <c r="AA94" s="21">
        <f>EXP(-LN(2)/25)*AA93+(1-EXP(-LN(2)/25))/(LN(2)/25)*Calculateur!V94*Calculateur!X94*VLOOKUP('Données projet'!$B$9,Paramètres!$A$1:$I$89,3,0)*0.475*44/12</f>
        <v>19.889894092017379</v>
      </c>
      <c r="AB94" s="21">
        <f>EXP(-LN(2)/2)*AB93+(1-EXP(-LN(2)/2))/(LN(2)/2)*V94*Y94*VLOOKUP('Données projet'!$B$9,Paramètres!$A$1:$I$89,3,0)*0.475*44/12</f>
        <v>8.9665194663367666E-4</v>
      </c>
      <c r="AC94" s="22">
        <f t="shared" si="57"/>
        <v>111.16130735267562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262.21372546382133</v>
      </c>
      <c r="T95" s="59">
        <f t="shared" si="88"/>
        <v>263.5279690714105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89.480757447533009</v>
      </c>
      <c r="AA95" s="21">
        <f>EXP(-LN(2)/25)*AA94+(1-EXP(-LN(2)/25))/(LN(2)/25)*Calculateur!V95*Calculateur!X95*VLOOKUP('Données projet'!$B$9,Paramètres!$A$1:$I$89,3,0)*0.475*44/12</f>
        <v>19.346003892107092</v>
      </c>
      <c r="AB95" s="21">
        <f>EXP(-LN(2)/2)*AB94+(1-EXP(-LN(2)/2))/(LN(2)/2)*V95*Y95*VLOOKUP('Données projet'!$B$9,Paramètres!$A$1:$I$89,3,0)*0.475*44/12</f>
        <v>6.3402867182879108E-4</v>
      </c>
      <c r="AC95" s="22">
        <f t="shared" si="57"/>
        <v>108.82739536831193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262.21372546382133</v>
      </c>
      <c r="T96" s="59">
        <f t="shared" si="88"/>
        <v>263.5279690714105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87.726094371859816</v>
      </c>
      <c r="AA96" s="21">
        <f>EXP(-LN(2)/25)*AA95+(1-EXP(-LN(2)/25))/(LN(2)/25)*Calculateur!V96*Calculateur!X96*VLOOKUP('Données projet'!$B$9,Paramètres!$A$1:$I$89,3,0)*0.475*44/12</f>
        <v>18.816986398315294</v>
      </c>
      <c r="AB96" s="21">
        <f>EXP(-LN(2)/2)*AB95+(1-EXP(-LN(2)/2))/(LN(2)/2)*V96*Y96*VLOOKUP('Données projet'!$B$9,Paramètres!$A$1:$I$89,3,0)*0.475*44/12</f>
        <v>4.4832597331683833E-4</v>
      </c>
      <c r="AC96" s="22">
        <f t="shared" si="57"/>
        <v>106.54352909614843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262.21372546382133</v>
      </c>
      <c r="T97" s="59">
        <f t="shared" si="88"/>
        <v>263.5279690714105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86.005839168861769</v>
      </c>
      <c r="AA97" s="21">
        <f>EXP(-LN(2)/25)*AA96+(1-EXP(-LN(2)/25))/(LN(2)/25)*Calculateur!V97*Calculateur!X97*VLOOKUP('Données projet'!$B$9,Paramètres!$A$1:$I$89,3,0)*0.475*44/12</f>
        <v>18.302434915711054</v>
      </c>
      <c r="AB97" s="21">
        <f>EXP(-LN(2)/2)*AB96+(1-EXP(-LN(2)/2))/(LN(2)/2)*V97*Y97*VLOOKUP('Données projet'!$B$9,Paramètres!$A$1:$I$89,3,0)*0.475*44/12</f>
        <v>3.1701433591439554E-4</v>
      </c>
      <c r="AC97" s="22">
        <f t="shared" si="57"/>
        <v>104.30859109890874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262.21372546382133</v>
      </c>
      <c r="T98" s="59">
        <f t="shared" si="88"/>
        <v>263.5279690714105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84.319317121142447</v>
      </c>
      <c r="AA98" s="21">
        <f>EXP(-LN(2)/25)*AA97+(1-EXP(-LN(2)/25))/(LN(2)/25)*Calculateur!V98*Calculateur!X98*VLOOKUP('Données projet'!$B$9,Paramètres!$A$1:$I$89,3,0)*0.475*44/12</f>
        <v>17.801953870457712</v>
      </c>
      <c r="AB98" s="21">
        <f>EXP(-LN(2)/2)*AB97+(1-EXP(-LN(2)/2))/(LN(2)/2)*V98*Y98*VLOOKUP('Données projet'!$B$9,Paramètres!$A$1:$I$89,3,0)*0.475*44/12</f>
        <v>2.2416298665841916E-4</v>
      </c>
      <c r="AC98" s="22">
        <f t="shared" si="57"/>
        <v>102.12149515458681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262.21372546382133</v>
      </c>
      <c r="T99" s="59">
        <f t="shared" si="88"/>
        <v>263.5279690714105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82.665866742102025</v>
      </c>
      <c r="AA99" s="21">
        <f>EXP(-LN(2)/25)*AA98+(1-EXP(-LN(2)/25))/(LN(2)/25)*Calculateur!V99*Calculateur!X99*VLOOKUP('Données projet'!$B$9,Paramètres!$A$1:$I$89,3,0)*0.475*44/12</f>
        <v>17.31515850570598</v>
      </c>
      <c r="AB99" s="21">
        <f>EXP(-LN(2)/2)*AB98+(1-EXP(-LN(2)/2))/(LN(2)/2)*V99*Y99*VLOOKUP('Données projet'!$B$9,Paramètres!$A$1:$I$89,3,0)*0.475*44/12</f>
        <v>1.5850716795719777E-4</v>
      </c>
      <c r="AC99" s="22">
        <f t="shared" si="57"/>
        <v>99.981183754975959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262.21372546382133</v>
      </c>
      <c r="T100" s="59">
        <f t="shared" si="88"/>
        <v>263.5279690714105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81.044839516489432</v>
      </c>
      <c r="AA100" s="21">
        <f>EXP(-LN(2)/25)*AA99+(1-EXP(-LN(2)/25))/(LN(2)/25)*Calculateur!V100*Calculateur!X100*VLOOKUP('Données projet'!$B$9,Paramètres!$A$1:$I$89,3,0)*0.475*44/12</f>
        <v>16.841674585802838</v>
      </c>
      <c r="AB100" s="21">
        <f>EXP(-LN(2)/2)*AB99+(1-EXP(-LN(2)/2))/(LN(2)/2)*V100*Y100*VLOOKUP('Données projet'!$B$9,Paramètres!$A$1:$I$89,3,0)*0.475*44/12</f>
        <v>1.1208149332920958E-4</v>
      </c>
      <c r="AC100" s="22">
        <f t="shared" si="57"/>
        <v>97.886626183785594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262.21372546382133</v>
      </c>
      <c r="T101" s="59">
        <f t="shared" si="88"/>
        <v>263.5279690714105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79.455599646042131</v>
      </c>
      <c r="AA101" s="21">
        <f>EXP(-LN(2)/25)*AA100+(1-EXP(-LN(2)/25))/(LN(2)/25)*Calculateur!V101*Calculateur!X101*VLOOKUP('Données projet'!$B$9,Paramètres!$A$1:$I$89,3,0)*0.475*44/12</f>
        <v>16.381138108588885</v>
      </c>
      <c r="AB101" s="21">
        <f>EXP(-LN(2)/2)*AB100+(1-EXP(-LN(2)/2))/(LN(2)/2)*V101*Y101*VLOOKUP('Données projet'!$B$9,Paramètres!$A$1:$I$89,3,0)*0.475*44/12</f>
        <v>7.9253583978598885E-5</v>
      </c>
      <c r="AC101" s="22">
        <f t="shared" si="57"/>
        <v>95.836817008214993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262.21372546382133</v>
      </c>
      <c r="T102" s="59">
        <f t="shared" si="88"/>
        <v>263.5279690714105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77.897523800113689</v>
      </c>
      <c r="AA102" s="21">
        <f>EXP(-LN(2)/25)*AA101+(1-EXP(-LN(2)/25))/(LN(2)/25)*Calculateur!V102*Calculateur!X102*VLOOKUP('Données projet'!$B$9,Paramètres!$A$1:$I$89,3,0)*0.475*44/12</f>
        <v>15.93319502556291</v>
      </c>
      <c r="AB102" s="21">
        <f>EXP(-LN(2)/2)*AB101+(1-EXP(-LN(2)/2))/(LN(2)/2)*V102*Y102*VLOOKUP('Données projet'!$B$9,Paramètres!$A$1:$I$89,3,0)*0.475*44/12</f>
        <v>5.6040746664604791E-5</v>
      </c>
      <c r="AC102" s="22">
        <f t="shared" si="57"/>
        <v>93.830774866423269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262.21372546382133</v>
      </c>
      <c r="T103" s="59">
        <f t="shared" si="88"/>
        <v>263.5279690714105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76.370000871191479</v>
      </c>
      <c r="AA103" s="21">
        <f>EXP(-LN(2)/25)*AA102+(1-EXP(-LN(2)/25))/(LN(2)/25)*Calculateur!V103*Calculateur!X103*VLOOKUP('Données projet'!$B$9,Paramètres!$A$1:$I$89,3,0)*0.475*44/12</f>
        <v>15.497500969698581</v>
      </c>
      <c r="AB103" s="21">
        <f>EXP(-LN(2)/2)*AB102+(1-EXP(-LN(2)/2))/(LN(2)/2)*V103*Y103*VLOOKUP('Données projet'!$B$9,Paramètres!$A$1:$I$89,3,0)*0.475*44/12</f>
        <v>3.9626791989299443E-5</v>
      </c>
      <c r="AC103" s="22">
        <f t="shared" si="57"/>
        <v>91.867541467682045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262.21372546382133</v>
      </c>
      <c r="T104" s="59">
        <f t="shared" si="88"/>
        <v>263.5279690714105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74.872431735208437</v>
      </c>
      <c r="AA104" s="21">
        <f>EXP(-LN(2)/25)*AA103+(1-EXP(-LN(2)/25))/(LN(2)/25)*Calculateur!V104*Calculateur!X104*VLOOKUP('Données projet'!$B$9,Paramètres!$A$1:$I$89,3,0)*0.475*44/12</f>
        <v>15.073720990704018</v>
      </c>
      <c r="AB104" s="21">
        <f>EXP(-LN(2)/2)*AB103+(1-EXP(-LN(2)/2))/(LN(2)/2)*V104*Y104*VLOOKUP('Données projet'!$B$9,Paramètres!$A$1:$I$89,3,0)*0.475*44/12</f>
        <v>2.8020373332302396E-5</v>
      </c>
      <c r="AC104" s="22">
        <f t="shared" si="57"/>
        <v>89.946180746285791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262.21372546382133</v>
      </c>
      <c r="T105" s="59">
        <f t="shared" si="88"/>
        <v>263.5279690714105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73.40422901655505</v>
      </c>
      <c r="AA105" s="21">
        <f>EXP(-LN(2)/25)*AA104+(1-EXP(-LN(2)/25))/(LN(2)/25)*Calculateur!V105*Calculateur!X105*VLOOKUP('Données projet'!$B$9,Paramètres!$A$1:$I$89,3,0)*0.475*44/12</f>
        <v>14.661529297520682</v>
      </c>
      <c r="AB105" s="21">
        <f>EXP(-LN(2)/2)*AB104+(1-EXP(-LN(2)/2))/(LN(2)/2)*V105*Y105*VLOOKUP('Données projet'!$B$9,Paramètres!$A$1:$I$89,3,0)*0.475*44/12</f>
        <v>1.9813395994649721E-5</v>
      </c>
      <c r="AC105" s="22">
        <f t="shared" si="57"/>
        <v>88.065778127471731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262.21372546382133</v>
      </c>
      <c r="T106" s="59">
        <f t="shared" si="88"/>
        <v>263.5279690714105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71.964816857699219</v>
      </c>
      <c r="AA106" s="21">
        <f>EXP(-LN(2)/25)*AA105+(1-EXP(-LN(2)/25))/(LN(2)/25)*Calculateur!V106*Calculateur!X106*VLOOKUP('Données projet'!$B$9,Paramètres!$A$1:$I$89,3,0)*0.475*44/12</f>
        <v>14.260609007863662</v>
      </c>
      <c r="AB106" s="21">
        <f>EXP(-LN(2)/2)*AB105+(1-EXP(-LN(2)/2))/(LN(2)/2)*V106*Y106*VLOOKUP('Données projet'!$B$9,Paramètres!$A$1:$I$89,3,0)*0.475*44/12</f>
        <v>1.4010186666151198E-5</v>
      </c>
      <c r="AC106" s="22">
        <f t="shared" si="57"/>
        <v>86.225439875749544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262.21372546382133</v>
      </c>
      <c r="T107" s="59">
        <f t="shared" si="88"/>
        <v>263.5279690714105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70.553630693323825</v>
      </c>
      <c r="AA107" s="21">
        <f>EXP(-LN(2)/25)*AA106+(1-EXP(-LN(2)/25))/(LN(2)/25)*Calculateur!V107*Calculateur!X107*VLOOKUP('Données projet'!$B$9,Paramètres!$A$1:$I$89,3,0)*0.475*44/12</f>
        <v>13.870651904610796</v>
      </c>
      <c r="AB107" s="21">
        <f>EXP(-LN(2)/2)*AB106+(1-EXP(-LN(2)/2))/(LN(2)/2)*V107*Y107*VLOOKUP('Données projet'!$B$9,Paramètres!$A$1:$I$89,3,0)*0.475*44/12</f>
        <v>9.9066979973248606E-6</v>
      </c>
      <c r="AC107" s="22">
        <f t="shared" si="57"/>
        <v>84.424292504632618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262.21372546382133</v>
      </c>
      <c r="T108" s="59">
        <f t="shared" si="88"/>
        <v>263.5279690714105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69.170117028893273</v>
      </c>
      <c r="AA108" s="21">
        <f>EXP(-LN(2)/25)*AA107+(1-EXP(-LN(2)/25))/(LN(2)/25)*Calculateur!V108*Calculateur!X108*VLOOKUP('Données projet'!$B$9,Paramètres!$A$1:$I$89,3,0)*0.475*44/12</f>
        <v>13.491358198853332</v>
      </c>
      <c r="AB108" s="21">
        <f>EXP(-LN(2)/2)*AB107+(1-EXP(-LN(2)/2))/(LN(2)/2)*V108*Y108*VLOOKUP('Données projet'!$B$9,Paramètres!$A$1:$I$89,3,0)*0.475*44/12</f>
        <v>7.0050933330755989E-6</v>
      </c>
      <c r="AC108" s="22">
        <f t="shared" si="57"/>
        <v>82.661482232839944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262.21372546382133</v>
      </c>
      <c r="T109" s="59">
        <f t="shared" si="88"/>
        <v>263.5279690714105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67.813733223562181</v>
      </c>
      <c r="AA109" s="21">
        <f>EXP(-LN(2)/25)*AA108+(1-EXP(-LN(2)/25))/(LN(2)/25)*Calculateur!V109*Calculateur!X109*VLOOKUP('Données projet'!$B$9,Paramètres!$A$1:$I$89,3,0)*0.475*44/12</f>
        <v>13.122436299425996</v>
      </c>
      <c r="AB109" s="21">
        <f>EXP(-LN(2)/2)*AB108+(1-EXP(-LN(2)/2))/(LN(2)/2)*V109*Y109*VLOOKUP('Données projet'!$B$9,Paramètres!$A$1:$I$89,3,0)*0.475*44/12</f>
        <v>4.9533489986624303E-6</v>
      </c>
      <c r="AC109" s="22">
        <f t="shared" si="57"/>
        <v>80.936174476337186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262.21372546382133</v>
      </c>
      <c r="T110" s="59">
        <f t="shared" si="88"/>
        <v>263.5279690714105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66.483947277341201</v>
      </c>
      <c r="AA110" s="21">
        <f>EXP(-LN(2)/25)*AA109+(1-EXP(-LN(2)/25))/(LN(2)/25)*Calculateur!V110*Calculateur!X110*VLOOKUP('Données projet'!$B$9,Paramètres!$A$1:$I$89,3,0)*0.475*44/12</f>
        <v>12.763602588739259</v>
      </c>
      <c r="AB110" s="21">
        <f>EXP(-LN(2)/2)*AB109+(1-EXP(-LN(2)/2))/(LN(2)/2)*V110*Y110*VLOOKUP('Données projet'!$B$9,Paramètres!$A$1:$I$89,3,0)*0.475*44/12</f>
        <v>3.5025466665377994E-6</v>
      </c>
      <c r="AC110" s="22">
        <f t="shared" si="57"/>
        <v>79.247553368627123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262.21372546382133</v>
      </c>
      <c r="T111" s="59">
        <f t="shared" si="88"/>
        <v>263.5279690714105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65.18023762243628</v>
      </c>
      <c r="AA111" s="21">
        <f>EXP(-LN(2)/25)*AA110+(1-EXP(-LN(2)/25))/(LN(2)/25)*Calculateur!V111*Calculateur!X111*VLOOKUP('Données projet'!$B$9,Paramètres!$A$1:$I$89,3,0)*0.475*44/12</f>
        <v>12.414581204741495</v>
      </c>
      <c r="AB111" s="21">
        <f>EXP(-LN(2)/2)*AB110+(1-EXP(-LN(2)/2))/(LN(2)/2)*V111*Y111*VLOOKUP('Données projet'!$B$9,Paramètres!$A$1:$I$89,3,0)*0.475*44/12</f>
        <v>2.4766744993312152E-6</v>
      </c>
      <c r="AC111" s="22">
        <f t="shared" si="57"/>
        <v>77.594821303852271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262.21372546382133</v>
      </c>
      <c r="T112" s="59">
        <f t="shared" si="88"/>
        <v>263.5279690714105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63.902092918679671</v>
      </c>
      <c r="AA112" s="21">
        <f>EXP(-LN(2)/25)*AA111+(1-EXP(-LN(2)/25))/(LN(2)/25)*Calculateur!V112*Calculateur!X112*VLOOKUP('Données projet'!$B$9,Paramètres!$A$1:$I$89,3,0)*0.475*44/12</f>
        <v>12.075103828843387</v>
      </c>
      <c r="AB112" s="21">
        <f>EXP(-LN(2)/2)*AB111+(1-EXP(-LN(2)/2))/(LN(2)/2)*V112*Y112*VLOOKUP('Données projet'!$B$9,Paramètres!$A$1:$I$89,3,0)*0.475*44/12</f>
        <v>1.7512733332688997E-6</v>
      </c>
      <c r="AC112" s="22">
        <f t="shared" si="57"/>
        <v>75.977198498796383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262.21372546382133</v>
      </c>
      <c r="T113" s="59">
        <f t="shared" si="88"/>
        <v>263.5279690714105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62.649011852972443</v>
      </c>
      <c r="AA113" s="21">
        <f>EXP(-LN(2)/25)*AA112+(1-EXP(-LN(2)/25))/(LN(2)/25)*Calculateur!V113*Calculateur!X113*VLOOKUP('Données projet'!$B$9,Paramètres!$A$1:$I$89,3,0)*0.475*44/12</f>
        <v>11.744909479641553</v>
      </c>
      <c r="AB113" s="21">
        <f>EXP(-LN(2)/2)*AB112+(1-EXP(-LN(2)/2))/(LN(2)/2)*V113*Y113*VLOOKUP('Données projet'!$B$9,Paramètres!$A$1:$I$89,3,0)*0.475*44/12</f>
        <v>1.2383372496656076E-6</v>
      </c>
      <c r="AC113" s="22">
        <f t="shared" si="57"/>
        <v>74.393922570951247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262.21372546382133</v>
      </c>
      <c r="T114" s="59">
        <f t="shared" si="88"/>
        <v>263.5279690714105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61.420502942659752</v>
      </c>
      <c r="AA114" s="21">
        <f>EXP(-LN(2)/25)*AA113+(1-EXP(-LN(2)/25))/(LN(2)/25)*Calculateur!V114*Calculateur!X114*VLOOKUP('Données projet'!$B$9,Paramètres!$A$1:$I$89,3,0)*0.475*44/12</f>
        <v>11.423744312282809</v>
      </c>
      <c r="AB114" s="21">
        <f>EXP(-LN(2)/2)*AB113+(1-EXP(-LN(2)/2))/(LN(2)/2)*V114*Y114*VLOOKUP('Données projet'!$B$9,Paramètres!$A$1:$I$89,3,0)*0.475*44/12</f>
        <v>8.7563666663444986E-7</v>
      </c>
      <c r="AC114" s="22">
        <f t="shared" si="57"/>
        <v>72.844248130579231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262.21372546382133</v>
      </c>
      <c r="T115" s="59">
        <f t="shared" si="88"/>
        <v>263.5279690714105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60.216084342761846</v>
      </c>
      <c r="AA115" s="21">
        <f>EXP(-LN(2)/25)*AA114+(1-EXP(-LN(2)/25))/(LN(2)/25)*Calculateur!V115*Calculateur!X115*VLOOKUP('Données projet'!$B$9,Paramètres!$A$1:$I$89,3,0)*0.475*44/12</f>
        <v>11.111361423314831</v>
      </c>
      <c r="AB115" s="21">
        <f>EXP(-LN(2)/2)*AB114+(1-EXP(-LN(2)/2))/(LN(2)/2)*V115*Y115*VLOOKUP('Données projet'!$B$9,Paramètres!$A$1:$I$89,3,0)*0.475*44/12</f>
        <v>6.1916862483280379E-7</v>
      </c>
      <c r="AC115" s="22">
        <f t="shared" si="57"/>
        <v>71.32744638524531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262.21372546382133</v>
      </c>
      <c r="T116" s="59">
        <f t="shared" si="88"/>
        <v>263.5279690714105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59.035283656985129</v>
      </c>
      <c r="AA116" s="21">
        <f>EXP(-LN(2)/25)*AA115+(1-EXP(-LN(2)/25))/(LN(2)/25)*Calculateur!V116*Calculateur!X116*VLOOKUP('Données projet'!$B$9,Paramètres!$A$1:$I$89,3,0)*0.475*44/12</f>
        <v>10.807520660873184</v>
      </c>
      <c r="AB116" s="21">
        <f>EXP(-LN(2)/2)*AB115+(1-EXP(-LN(2)/2))/(LN(2)/2)*V116*Y116*VLOOKUP('Données projet'!$B$9,Paramètres!$A$1:$I$89,3,0)*0.475*44/12</f>
        <v>4.3781833331722493E-7</v>
      </c>
      <c r="AC116" s="22">
        <f t="shared" si="57"/>
        <v>69.842804755676639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262.21372546382133</v>
      </c>
      <c r="T117" s="59">
        <f t="shared" si="88"/>
        <v>263.5279690714105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57.877637752439192</v>
      </c>
      <c r="AA117" s="21">
        <f>EXP(-LN(2)/25)*AA116+(1-EXP(-LN(2)/25))/(LN(2)/25)*Calculateur!V117*Calculateur!X117*VLOOKUP('Données projet'!$B$9,Paramètres!$A$1:$I$89,3,0)*0.475*44/12</f>
        <v>10.511988440058795</v>
      </c>
      <c r="AB117" s="21">
        <f>EXP(-LN(2)/2)*AB116+(1-EXP(-LN(2)/2))/(LN(2)/2)*V117*Y117*VLOOKUP('Données projet'!$B$9,Paramètres!$A$1:$I$89,3,0)*0.475*44/12</f>
        <v>3.0958431241640189E-7</v>
      </c>
      <c r="AC117" s="22">
        <f t="shared" si="57"/>
        <v>68.389626502082294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262.21372546382133</v>
      </c>
      <c r="T118" s="59">
        <f t="shared" si="88"/>
        <v>263.5279690714105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56.742692577987121</v>
      </c>
      <c r="AA118" s="21">
        <f>EXP(-LN(2)/25)*AA117+(1-EXP(-LN(2)/25))/(LN(2)/25)*Calculateur!V118*Calculateur!X118*VLOOKUP('Données projet'!$B$9,Paramètres!$A$1:$I$89,3,0)*0.475*44/12</f>
        <v>10.22453756336394</v>
      </c>
      <c r="AB118" s="21">
        <f>EXP(-LN(2)/2)*AB117+(1-EXP(-LN(2)/2))/(LN(2)/2)*V118*Y118*VLOOKUP('Données projet'!$B$9,Paramètres!$A$1:$I$89,3,0)*0.475*44/12</f>
        <v>2.1890916665861246E-7</v>
      </c>
      <c r="AC118" s="22">
        <f t="shared" si="57"/>
        <v>66.967230360260231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262.21372546382133</v>
      </c>
      <c r="T119" s="59">
        <f t="shared" si="88"/>
        <v>263.5279690714105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55.630002986157848</v>
      </c>
      <c r="AA119" s="21">
        <f>EXP(-LN(2)/25)*AA118+(1-EXP(-LN(2)/25))/(LN(2)/25)*Calculateur!V119*Calculateur!X119*VLOOKUP('Données projet'!$B$9,Paramètres!$A$1:$I$89,3,0)*0.475*44/12</f>
        <v>9.9449470460086911</v>
      </c>
      <c r="AB119" s="21">
        <f>EXP(-LN(2)/2)*AB118+(1-EXP(-LN(2)/2))/(LN(2)/2)*V119*Y119*VLOOKUP('Données projet'!$B$9,Paramètres!$A$1:$I$89,3,0)*0.475*44/12</f>
        <v>1.5479215620820095E-7</v>
      </c>
      <c r="AC119" s="22">
        <f t="shared" si="57"/>
        <v>65.574950186958702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262.21372546382133</v>
      </c>
      <c r="T120" s="59">
        <f t="shared" si="88"/>
        <v>263.5279690714105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54.539132558550712</v>
      </c>
      <c r="AA120" s="21">
        <f>EXP(-LN(2)/25)*AA119+(1-EXP(-LN(2)/25))/(LN(2)/25)*Calculateur!V120*Calculateur!X120*VLOOKUP('Données projet'!$B$9,Paramètres!$A$1:$I$89,3,0)*0.475*44/12</f>
        <v>9.6730019460535477</v>
      </c>
      <c r="AB120" s="21">
        <f>EXP(-LN(2)/2)*AB119+(1-EXP(-LN(2)/2))/(LN(2)/2)*V120*Y120*VLOOKUP('Données projet'!$B$9,Paramètres!$A$1:$I$89,3,0)*0.475*44/12</f>
        <v>1.0945458332930623E-7</v>
      </c>
      <c r="AC120" s="22">
        <f t="shared" si="57"/>
        <v>64.212134614058854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262.21372546382133</v>
      </c>
      <c r="T121" s="59">
        <f t="shared" si="88"/>
        <v>263.5279690714105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53.469653434663691</v>
      </c>
      <c r="AA121" s="21">
        <f>EXP(-LN(2)/25)*AA120+(1-EXP(-LN(2)/25))/(LN(2)/25)*Calculateur!V121*Calculateur!X121*VLOOKUP('Données projet'!$B$9,Paramètres!$A$1:$I$89,3,0)*0.475*44/12</f>
        <v>9.4084931991576486</v>
      </c>
      <c r="AB121" s="21">
        <f>EXP(-LN(2)/2)*AB120+(1-EXP(-LN(2)/2))/(LN(2)/2)*V121*Y121*VLOOKUP('Données projet'!$B$9,Paramètres!$A$1:$I$89,3,0)*0.475*44/12</f>
        <v>7.7396078104100474E-8</v>
      </c>
      <c r="AC121" s="22">
        <f t="shared" si="57"/>
        <v>62.878146711217418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262.21372546382133</v>
      </c>
      <c r="T122" s="59">
        <f t="shared" si="88"/>
        <v>263.5279690714105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52.421146144078236</v>
      </c>
      <c r="AA122" s="21">
        <f>EXP(-LN(2)/25)*AA121+(1-EXP(-LN(2)/25))/(LN(2)/25)*Calculateur!V122*Calculateur!X122*VLOOKUP('Données projet'!$B$9,Paramètres!$A$1:$I$89,3,0)*0.475*44/12</f>
        <v>9.1512174578555285</v>
      </c>
      <c r="AB122" s="21">
        <f>EXP(-LN(2)/2)*AB121+(1-EXP(-LN(2)/2))/(LN(2)/2)*V122*Y122*VLOOKUP('Données projet'!$B$9,Paramètres!$A$1:$I$89,3,0)*0.475*44/12</f>
        <v>5.4727291664653116E-8</v>
      </c>
      <c r="AC122" s="22">
        <f t="shared" si="57"/>
        <v>61.572363656661061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262.21372546382133</v>
      </c>
      <c r="T123" s="59">
        <f t="shared" si="88"/>
        <v>263.5279690714105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51.393199441934861</v>
      </c>
      <c r="AA123" s="21">
        <f>EXP(-LN(2)/25)*AA122+(1-EXP(-LN(2)/25))/(LN(2)/25)*Calculateur!V123*Calculateur!X123*VLOOKUP('Données projet'!$B$9,Paramètres!$A$1:$I$89,3,0)*0.475*44/12</f>
        <v>8.9009769352288579</v>
      </c>
      <c r="AB123" s="21">
        <f>EXP(-LN(2)/2)*AB122+(1-EXP(-LN(2)/2))/(LN(2)/2)*V123*Y123*VLOOKUP('Données projet'!$B$9,Paramètres!$A$1:$I$89,3,0)*0.475*44/12</f>
        <v>3.8698039052050237E-8</v>
      </c>
      <c r="AC123" s="22">
        <f t="shared" si="57"/>
        <v>60.294176415861763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262.21372546382133</v>
      </c>
      <c r="T124" s="59">
        <f t="shared" si="88"/>
        <v>263.5279690714105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50.385410147634943</v>
      </c>
      <c r="AA124" s="21">
        <f>EXP(-LN(2)/25)*AA123+(1-EXP(-LN(2)/25))/(LN(2)/25)*Calculateur!V124*Calculateur!X124*VLOOKUP('Données projet'!$B$9,Paramètres!$A$1:$I$89,3,0)*0.475*44/12</f>
        <v>8.657579252852992</v>
      </c>
      <c r="AB124" s="21">
        <f>EXP(-LN(2)/2)*AB123+(1-EXP(-LN(2)/2))/(LN(2)/2)*V124*Y124*VLOOKUP('Données projet'!$B$9,Paramètres!$A$1:$I$89,3,0)*0.475*44/12</f>
        <v>2.7363645832326558E-8</v>
      </c>
      <c r="AC124" s="22">
        <f t="shared" si="57"/>
        <v>59.04298942785158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262.21372546382133</v>
      </c>
      <c r="T125" s="59">
        <f t="shared" si="88"/>
        <v>263.5279690714105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49.397382986705473</v>
      </c>
      <c r="AA125" s="21">
        <f>EXP(-LN(2)/25)*AA124+(1-EXP(-LN(2)/25))/(LN(2)/25)*Calculateur!V125*Calculateur!X125*VLOOKUP('Données projet'!$B$9,Paramètres!$A$1:$I$89,3,0)*0.475*44/12</f>
        <v>8.420837292901421</v>
      </c>
      <c r="AB125" s="21">
        <f>EXP(-LN(2)/2)*AB124+(1-EXP(-LN(2)/2))/(LN(2)/2)*V125*Y125*VLOOKUP('Données projet'!$B$9,Paramètres!$A$1:$I$89,3,0)*0.475*44/12</f>
        <v>1.9349019526025118E-8</v>
      </c>
      <c r="AC125" s="22">
        <f t="shared" si="57"/>
        <v>57.818220298955907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262.21372546382133</v>
      </c>
      <c r="T126" s="59">
        <f t="shared" si="88"/>
        <v>263.5279690714105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48.42873043576477</v>
      </c>
      <c r="AA126" s="21">
        <f>EXP(-LN(2)/25)*AA125+(1-EXP(-LN(2)/25))/(LN(2)/25)*Calculateur!V126*Calculateur!X126*VLOOKUP('Données projet'!$B$9,Paramètres!$A$1:$I$89,3,0)*0.475*44/12</f>
        <v>8.1905690542944445</v>
      </c>
      <c r="AB126" s="21">
        <f>EXP(-LN(2)/2)*AB125+(1-EXP(-LN(2)/2))/(LN(2)/2)*V126*Y126*VLOOKUP('Données projet'!$B$9,Paramètres!$A$1:$I$89,3,0)*0.475*44/12</f>
        <v>1.3681822916163279E-8</v>
      </c>
      <c r="AC126" s="22">
        <f t="shared" si="57"/>
        <v>56.619299503741033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262.21372546382133</v>
      </c>
      <c r="T127" s="59">
        <f t="shared" si="88"/>
        <v>263.5279690714105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47.479072570528295</v>
      </c>
      <c r="AA127" s="21">
        <f>EXP(-LN(2)/25)*AA126+(1-EXP(-LN(2)/25))/(LN(2)/25)*Calculateur!V127*Calculateur!X127*VLOOKUP('Données projet'!$B$9,Paramètres!$A$1:$I$89,3,0)*0.475*44/12</f>
        <v>7.9665975127814566</v>
      </c>
      <c r="AB127" s="21">
        <f>EXP(-LN(2)/2)*AB126+(1-EXP(-LN(2)/2))/(LN(2)/2)*V127*Y127*VLOOKUP('Données projet'!$B$9,Paramètres!$A$1:$I$89,3,0)*0.475*44/12</f>
        <v>9.6745097630125592E-9</v>
      </c>
      <c r="AC127" s="22">
        <f t="shared" si="57"/>
        <v>55.445670092984258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262.21372546382133</v>
      </c>
      <c r="T128" s="59">
        <f t="shared" si="88"/>
        <v>263.5279690714105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46.548036916795006</v>
      </c>
      <c r="AA128" s="21">
        <f>EXP(-LN(2)/25)*AA127+(1-EXP(-LN(2)/25))/(LN(2)/25)*Calculateur!V128*Calculateur!X128*VLOOKUP('Données projet'!$B$9,Paramètres!$A$1:$I$89,3,0)*0.475*44/12</f>
        <v>7.7487504848492925</v>
      </c>
      <c r="AB128" s="21">
        <f>EXP(-LN(2)/2)*AB127+(1-EXP(-LN(2)/2))/(LN(2)/2)*V128*Y128*VLOOKUP('Données projet'!$B$9,Paramètres!$A$1:$I$89,3,0)*0.475*44/12</f>
        <v>6.8409114580816395E-9</v>
      </c>
      <c r="AC128" s="22">
        <f t="shared" si="57"/>
        <v>54.296787408485208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262.21372546382133</v>
      </c>
      <c r="T129" s="59">
        <f t="shared" si="88"/>
        <v>263.5279690714105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45.635258304355744</v>
      </c>
      <c r="AA129" s="21">
        <f>EXP(-LN(2)/25)*AA128+(1-EXP(-LN(2)/25))/(LN(2)/25)*Calculateur!V129*Calculateur!X129*VLOOKUP('Données projet'!$B$9,Paramètres!$A$1:$I$89,3,0)*0.475*44/12</f>
        <v>7.5368604953520109</v>
      </c>
      <c r="AB129" s="21">
        <f>EXP(-LN(2)/2)*AB128+(1-EXP(-LN(2)/2))/(LN(2)/2)*V129*Y129*VLOOKUP('Données projet'!$B$9,Paramètres!$A$1:$I$89,3,0)*0.475*44/12</f>
        <v>4.8372548815062796E-9</v>
      </c>
      <c r="AC129" s="22">
        <f t="shared" si="57"/>
        <v>53.172118804545008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262.21372546382133</v>
      </c>
      <c r="T130" s="59">
        <f t="shared" si="88"/>
        <v>263.5279690714105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44.74037872376644</v>
      </c>
      <c r="AA130" s="21">
        <f>EXP(-LN(2)/25)*AA129+(1-EXP(-LN(2)/25))/(LN(2)/25)*Calculateur!V130*Calculateur!X130*VLOOKUP('Données projet'!$B$9,Paramètres!$A$1:$I$89,3,0)*0.475*44/12</f>
        <v>7.3307646487603426</v>
      </c>
      <c r="AB130" s="21">
        <f>EXP(-LN(2)/2)*AB129+(1-EXP(-LN(2)/2))/(LN(2)/2)*V130*Y130*VLOOKUP('Données projet'!$B$9,Paramètres!$A$1:$I$89,3,0)*0.475*44/12</f>
        <v>3.4204557290408198E-9</v>
      </c>
      <c r="AC130" s="22">
        <f t="shared" si="57"/>
        <v>52.071143375947237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262.21372546382133</v>
      </c>
      <c r="T131" s="59">
        <f t="shared" si="88"/>
        <v>263.5279690714105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43.863047185929844</v>
      </c>
      <c r="AA131" s="21">
        <f>EXP(-LN(2)/25)*AA130+(1-EXP(-LN(2)/25))/(LN(2)/25)*Calculateur!V131*Calculateur!X131*VLOOKUP('Données projet'!$B$9,Paramètres!$A$1:$I$89,3,0)*0.475*44/12</f>
        <v>7.1303045039318329</v>
      </c>
      <c r="AB131" s="21">
        <f>EXP(-LN(2)/2)*AB130+(1-EXP(-LN(2)/2))/(LN(2)/2)*V131*Y131*VLOOKUP('Données projet'!$B$9,Paramètres!$A$1:$I$89,3,0)*0.475*44/12</f>
        <v>2.4186274407531398E-9</v>
      </c>
      <c r="AC131" s="22">
        <f t="shared" si="57"/>
        <v>50.993351692280307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262.21372546382133</v>
      </c>
      <c r="T132" s="59">
        <f t="shared" si="88"/>
        <v>263.5279690714105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43.002919584430821</v>
      </c>
      <c r="AA132" s="21">
        <f>EXP(-LN(2)/25)*AA131+(1-EXP(-LN(2)/25))/(LN(2)/25)*Calculateur!V132*Calculateur!X132*VLOOKUP('Données projet'!$B$9,Paramètres!$A$1:$I$89,3,0)*0.475*44/12</f>
        <v>6.9353259523053996</v>
      </c>
      <c r="AB132" s="21">
        <f>EXP(-LN(2)/2)*AB131+(1-EXP(-LN(2)/2))/(LN(2)/2)*V132*Y132*VLOOKUP('Données projet'!$B$9,Paramètres!$A$1:$I$89,3,0)*0.475*44/12</f>
        <v>1.7102278645204099E-9</v>
      </c>
      <c r="AC132" s="22">
        <f t="shared" ref="AC132:AC153" si="111">SUM(Z132:AB132)</f>
        <v>49.938245538446445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262.21372546382133</v>
      </c>
      <c r="T133" s="59">
        <f t="shared" ref="T133:T196" si="142">$T$3</f>
        <v>263.5279690714105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42.15965856057116</v>
      </c>
      <c r="AA133" s="21">
        <f>EXP(-LN(2)/25)*AA132+(1-EXP(-LN(2)/25))/(LN(2)/25)*Calculateur!V133*Calculateur!X133*VLOOKUP('Données projet'!$B$9,Paramètres!$A$1:$I$89,3,0)*0.475*44/12</f>
        <v>6.7456790994266678</v>
      </c>
      <c r="AB133" s="21">
        <f>EXP(-LN(2)/2)*AB132+(1-EXP(-LN(2)/2))/(LN(2)/2)*V133*Y133*VLOOKUP('Données projet'!$B$9,Paramètres!$A$1:$I$89,3,0)*0.475*44/12</f>
        <v>1.2093137203765699E-9</v>
      </c>
      <c r="AC133" s="22">
        <f t="shared" si="111"/>
        <v>48.905337661207142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262.21372546382133</v>
      </c>
      <c r="T134" s="59">
        <f t="shared" si="142"/>
        <v>263.5279690714105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41.332933371050949</v>
      </c>
      <c r="AA134" s="21">
        <f>EXP(-LN(2)/25)*AA133+(1-EXP(-LN(2)/25))/(LN(2)/25)*Calculateur!V134*Calculateur!X134*VLOOKUP('Données projet'!$B$9,Paramètres!$A$1:$I$89,3,0)*0.475*44/12</f>
        <v>6.5612181497129995</v>
      </c>
      <c r="AB134" s="21">
        <f>EXP(-LN(2)/2)*AB133+(1-EXP(-LN(2)/2))/(LN(2)/2)*V134*Y134*VLOOKUP('Données projet'!$B$9,Paramètres!$A$1:$I$89,3,0)*0.475*44/12</f>
        <v>8.5511393226020494E-10</v>
      </c>
      <c r="AC134" s="22">
        <f t="shared" si="111"/>
        <v>47.894151521619065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262.21372546382133</v>
      </c>
      <c r="T135" s="59">
        <f t="shared" si="142"/>
        <v>263.5279690714105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40.522419758244659</v>
      </c>
      <c r="AA135" s="21">
        <f>EXP(-LN(2)/25)*AA134+(1-EXP(-LN(2)/25))/(LN(2)/25)*Calculateur!V135*Calculateur!X135*VLOOKUP('Données projet'!$B$9,Paramètres!$A$1:$I$89,3,0)*0.475*44/12</f>
        <v>6.3818012943696312</v>
      </c>
      <c r="AB135" s="21">
        <f>EXP(-LN(2)/2)*AB134+(1-EXP(-LN(2)/2))/(LN(2)/2)*V135*Y135*VLOOKUP('Données projet'!$B$9,Paramètres!$A$1:$I$89,3,0)*0.475*44/12</f>
        <v>6.0465686018828495E-10</v>
      </c>
      <c r="AC135" s="22">
        <f t="shared" si="111"/>
        <v>46.904221053218947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262.21372546382133</v>
      </c>
      <c r="T136" s="59">
        <f t="shared" si="142"/>
        <v>263.5279690714105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39.727799823021009</v>
      </c>
      <c r="AA136" s="21">
        <f>EXP(-LN(2)/25)*AA135+(1-EXP(-LN(2)/25))/(LN(2)/25)*Calculateur!V136*Calculateur!X136*VLOOKUP('Données projet'!$B$9,Paramètres!$A$1:$I$89,3,0)*0.475*44/12</f>
        <v>6.2072906023707493</v>
      </c>
      <c r="AB136" s="21">
        <f>EXP(-LN(2)/2)*AB135+(1-EXP(-LN(2)/2))/(LN(2)/2)*V136*Y136*VLOOKUP('Données projet'!$B$9,Paramètres!$A$1:$I$89,3,0)*0.475*44/12</f>
        <v>4.2755696613010247E-10</v>
      </c>
      <c r="AC136" s="22">
        <f t="shared" si="111"/>
        <v>45.935090425819311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262.21372546382133</v>
      </c>
      <c r="T137" s="59">
        <f t="shared" si="142"/>
        <v>263.5279690714105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38.948761900056788</v>
      </c>
      <c r="AA137" s="21">
        <f>EXP(-LN(2)/25)*AA136+(1-EXP(-LN(2)/25))/(LN(2)/25)*Calculateur!V137*Calculateur!X137*VLOOKUP('Données projet'!$B$9,Paramètres!$A$1:$I$89,3,0)*0.475*44/12</f>
        <v>6.0375519144216954</v>
      </c>
      <c r="AB137" s="21">
        <f>EXP(-LN(2)/2)*AB136+(1-EXP(-LN(2)/2))/(LN(2)/2)*V137*Y137*VLOOKUP('Données projet'!$B$9,Paramètres!$A$1:$I$89,3,0)*0.475*44/12</f>
        <v>3.0232843009414248E-10</v>
      </c>
      <c r="AC137" s="22">
        <f t="shared" si="111"/>
        <v>44.986313814780814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262.21372546382133</v>
      </c>
      <c r="T138" s="59">
        <f t="shared" si="142"/>
        <v>263.5279690714105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38.185000435595683</v>
      </c>
      <c r="AA138" s="21">
        <f>EXP(-LN(2)/25)*AA137+(1-EXP(-LN(2)/25))/(LN(2)/25)*Calculateur!V138*Calculateur!X138*VLOOKUP('Données projet'!$B$9,Paramètres!$A$1:$I$89,3,0)*0.475*44/12</f>
        <v>5.8724547398207783</v>
      </c>
      <c r="AB138" s="21">
        <f>EXP(-LN(2)/2)*AB137+(1-EXP(-LN(2)/2))/(LN(2)/2)*V138*Y138*VLOOKUP('Données projet'!$B$9,Paramètres!$A$1:$I$89,3,0)*0.475*44/12</f>
        <v>2.1377848306505124E-10</v>
      </c>
      <c r="AC138" s="22">
        <f t="shared" si="111"/>
        <v>44.057455175630245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262.21372546382133</v>
      </c>
      <c r="T139" s="59">
        <f t="shared" si="142"/>
        <v>263.5279690714105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37.436215867604169</v>
      </c>
      <c r="AA139" s="21">
        <f>EXP(-LN(2)/25)*AA138+(1-EXP(-LN(2)/25))/(LN(2)/25)*Calculateur!V139*Calculateur!X139*VLOOKUP('Données projet'!$B$9,Paramètres!$A$1:$I$89,3,0)*0.475*44/12</f>
        <v>5.7118721561414061</v>
      </c>
      <c r="AB139" s="21">
        <f>EXP(-LN(2)/2)*AB138+(1-EXP(-LN(2)/2))/(LN(2)/2)*V139*Y139*VLOOKUP('Données projet'!$B$9,Paramètres!$A$1:$I$89,3,0)*0.475*44/12</f>
        <v>1.5116421504707124E-10</v>
      </c>
      <c r="AC139" s="22">
        <f t="shared" si="111"/>
        <v>43.148088023896733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262.21372546382133</v>
      </c>
      <c r="T140" s="59">
        <f t="shared" si="142"/>
        <v>263.5279690714105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36.702114508277475</v>
      </c>
      <c r="AA140" s="21">
        <f>EXP(-LN(2)/25)*AA139+(1-EXP(-LN(2)/25))/(LN(2)/25)*Calculateur!V140*Calculateur!X140*VLOOKUP('Données projet'!$B$9,Paramètres!$A$1:$I$89,3,0)*0.475*44/12</f>
        <v>5.5556807116574172</v>
      </c>
      <c r="AB140" s="21">
        <f>EXP(-LN(2)/2)*AB139+(1-EXP(-LN(2)/2))/(LN(2)/2)*V140*Y140*VLOOKUP('Données projet'!$B$9,Paramètres!$A$1:$I$89,3,0)*0.475*44/12</f>
        <v>1.0688924153252562E-10</v>
      </c>
      <c r="AC140" s="22">
        <f t="shared" si="111"/>
        <v>42.257795220041778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262.21372546382133</v>
      </c>
      <c r="T141" s="59">
        <f t="shared" si="142"/>
        <v>263.5279690714105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35.98240842884956</v>
      </c>
      <c r="AA141" s="21">
        <f>EXP(-LN(2)/25)*AA140+(1-EXP(-LN(2)/25))/(LN(2)/25)*Calculateur!V141*Calculateur!X141*VLOOKUP('Données projet'!$B$9,Paramètres!$A$1:$I$89,3,0)*0.475*44/12</f>
        <v>5.4037603304365938</v>
      </c>
      <c r="AB141" s="21">
        <f>EXP(-LN(2)/2)*AB140+(1-EXP(-LN(2)/2))/(LN(2)/2)*V141*Y141*VLOOKUP('Données projet'!$B$9,Paramètres!$A$1:$I$89,3,0)*0.475*44/12</f>
        <v>7.5582107523535619E-11</v>
      </c>
      <c r="AC141" s="22">
        <f t="shared" si="111"/>
        <v>41.38616875936173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262.21372546382133</v>
      </c>
      <c r="T142" s="59">
        <f t="shared" si="142"/>
        <v>263.5279690714105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35.276815346661863</v>
      </c>
      <c r="AA142" s="21">
        <f>EXP(-LN(2)/25)*AA141+(1-EXP(-LN(2)/25))/(LN(2)/25)*Calculateur!V142*Calculateur!X142*VLOOKUP('Données projet'!$B$9,Paramètres!$A$1:$I$89,3,0)*0.475*44/12</f>
        <v>5.2559942200293994</v>
      </c>
      <c r="AB142" s="21">
        <f>EXP(-LN(2)/2)*AB141+(1-EXP(-LN(2)/2))/(LN(2)/2)*V142*Y142*VLOOKUP('Données projet'!$B$9,Paramètres!$A$1:$I$89,3,0)*0.475*44/12</f>
        <v>5.3444620766262809E-11</v>
      </c>
      <c r="AC142" s="22">
        <f t="shared" si="111"/>
        <v>40.53280956674471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262.21372546382133</v>
      </c>
      <c r="T143" s="59">
        <f t="shared" si="142"/>
        <v>263.5279690714105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34.585058514446587</v>
      </c>
      <c r="AA143" s="21">
        <f>EXP(-LN(2)/25)*AA142+(1-EXP(-LN(2)/25))/(LN(2)/25)*Calculateur!V143*Calculateur!X143*VLOOKUP('Données projet'!$B$9,Paramètres!$A$1:$I$89,3,0)*0.475*44/12</f>
        <v>5.1122687816819719</v>
      </c>
      <c r="AB143" s="21">
        <f>EXP(-LN(2)/2)*AB142+(1-EXP(-LN(2)/2))/(LN(2)/2)*V143*Y143*VLOOKUP('Données projet'!$B$9,Paramètres!$A$1:$I$89,3,0)*0.475*44/12</f>
        <v>3.7791053761767809E-11</v>
      </c>
      <c r="AC143" s="22">
        <f t="shared" si="111"/>
        <v>39.69732729616635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262.21372546382133</v>
      </c>
      <c r="T144" s="59">
        <f t="shared" si="142"/>
        <v>263.5279690714105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33.906866611781041</v>
      </c>
      <c r="AA144" s="21">
        <f>EXP(-LN(2)/25)*AA143+(1-EXP(-LN(2)/25))/(LN(2)/25)*Calculateur!V144*Calculateur!X144*VLOOKUP('Données projet'!$B$9,Paramètres!$A$1:$I$89,3,0)*0.475*44/12</f>
        <v>4.9724735230043473</v>
      </c>
      <c r="AB144" s="21">
        <f>EXP(-LN(2)/2)*AB143+(1-EXP(-LN(2)/2))/(LN(2)/2)*V144*Y144*VLOOKUP('Données projet'!$B$9,Paramètres!$A$1:$I$89,3,0)*0.475*44/12</f>
        <v>2.6722310383131404E-11</v>
      </c>
      <c r="AC144" s="22">
        <f t="shared" si="111"/>
        <v>38.879340134812111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262.21372546382133</v>
      </c>
      <c r="T145" s="59">
        <f t="shared" si="142"/>
        <v>263.5279690714105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33.241973638670551</v>
      </c>
      <c r="AA145" s="21">
        <f>EXP(-LN(2)/25)*AA144+(1-EXP(-LN(2)/25))/(LN(2)/25)*Calculateur!V145*Calculateur!X145*VLOOKUP('Données projet'!$B$9,Paramètres!$A$1:$I$89,3,0)*0.475*44/12</f>
        <v>4.8365009730267756</v>
      </c>
      <c r="AB145" s="21">
        <f>EXP(-LN(2)/2)*AB144+(1-EXP(-LN(2)/2))/(LN(2)/2)*V145*Y145*VLOOKUP('Données projet'!$B$9,Paramètres!$A$1:$I$89,3,0)*0.475*44/12</f>
        <v>1.8895526880883905E-11</v>
      </c>
      <c r="AC145" s="22">
        <f t="shared" si="111"/>
        <v>38.078474611716217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262.21372546382133</v>
      </c>
      <c r="T146" s="59">
        <f t="shared" si="142"/>
        <v>263.5279690714105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32.59011881121809</v>
      </c>
      <c r="AA146" s="21">
        <f>EXP(-LN(2)/25)*AA145+(1-EXP(-LN(2)/25))/(LN(2)/25)*Calculateur!V146*Calculateur!X146*VLOOKUP('Données projet'!$B$9,Paramètres!$A$1:$I$89,3,0)*0.475*44/12</f>
        <v>4.7042465995788261</v>
      </c>
      <c r="AB146" s="21">
        <f>EXP(-LN(2)/2)*AB145+(1-EXP(-LN(2)/2))/(LN(2)/2)*V146*Y146*VLOOKUP('Données projet'!$B$9,Paramètres!$A$1:$I$89,3,0)*0.475*44/12</f>
        <v>1.3361155191565702E-11</v>
      </c>
      <c r="AC146" s="22">
        <f t="shared" si="111"/>
        <v>37.294365410810272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262.21372546382133</v>
      </c>
      <c r="T147" s="59">
        <f t="shared" si="142"/>
        <v>263.5279690714105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31.951046459339789</v>
      </c>
      <c r="AA147" s="21">
        <f>EXP(-LN(2)/25)*AA146+(1-EXP(-LN(2)/25))/(LN(2)/25)*Calculateur!V147*Calculateur!X147*VLOOKUP('Données projet'!$B$9,Paramètres!$A$1:$I$89,3,0)*0.475*44/12</f>
        <v>4.575608728927766</v>
      </c>
      <c r="AB147" s="21">
        <f>EXP(-LN(2)/2)*AB146+(1-EXP(-LN(2)/2))/(LN(2)/2)*V147*Y147*VLOOKUP('Données projet'!$B$9,Paramètres!$A$1:$I$89,3,0)*0.475*44/12</f>
        <v>9.4477634404419524E-12</v>
      </c>
      <c r="AC147" s="22">
        <f t="shared" si="111"/>
        <v>36.526655188277005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262.21372546382133</v>
      </c>
      <c r="T148" s="59">
        <f t="shared" si="142"/>
        <v>263.5279690714105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31.324505926486175</v>
      </c>
      <c r="AA148" s="21">
        <f>EXP(-LN(2)/25)*AA147+(1-EXP(-LN(2)/25))/(LN(2)/25)*Calculateur!V148*Calculateur!X148*VLOOKUP('Données projet'!$B$9,Paramètres!$A$1:$I$89,3,0)*0.475*44/12</f>
        <v>4.4504884676144307</v>
      </c>
      <c r="AB148" s="21">
        <f>EXP(-LN(2)/2)*AB147+(1-EXP(-LN(2)/2))/(LN(2)/2)*V148*Y148*VLOOKUP('Données projet'!$B$9,Paramètres!$A$1:$I$89,3,0)*0.475*44/12</f>
        <v>6.6805775957828511E-12</v>
      </c>
      <c r="AC148" s="22">
        <f t="shared" si="111"/>
        <v>35.774994394107281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262.21372546382133</v>
      </c>
      <c r="T149" s="59">
        <f t="shared" si="142"/>
        <v>263.5279690714105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30.71025147132983</v>
      </c>
      <c r="AA149" s="21">
        <f>EXP(-LN(2)/25)*AA148+(1-EXP(-LN(2)/25))/(LN(2)/25)*Calculateur!V149*Calculateur!X149*VLOOKUP('Données projet'!$B$9,Paramètres!$A$1:$I$89,3,0)*0.475*44/12</f>
        <v>4.3287896264264978</v>
      </c>
      <c r="AB149" s="21">
        <f>EXP(-LN(2)/2)*AB148+(1-EXP(-LN(2)/2))/(LN(2)/2)*V149*Y149*VLOOKUP('Données projet'!$B$9,Paramètres!$A$1:$I$89,3,0)*0.475*44/12</f>
        <v>4.7238817202209762E-12</v>
      </c>
      <c r="AC149" s="22">
        <f t="shared" si="111"/>
        <v>35.03904109776105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262.21372546382133</v>
      </c>
      <c r="T150" s="59">
        <f t="shared" si="142"/>
        <v>263.5279690714105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30.108042171380877</v>
      </c>
      <c r="AA150" s="21">
        <f>EXP(-LN(2)/25)*AA149+(1-EXP(-LN(2)/25))/(LN(2)/25)*Calculateur!V150*Calculateur!X150*VLOOKUP('Données projet'!$B$9,Paramètres!$A$1:$I$89,3,0)*0.475*44/12</f>
        <v>4.2104186464507123</v>
      </c>
      <c r="AB150" s="21">
        <f>EXP(-LN(2)/2)*AB149+(1-EXP(-LN(2)/2))/(LN(2)/2)*V150*Y150*VLOOKUP('Données projet'!$B$9,Paramètres!$A$1:$I$89,3,0)*0.475*44/12</f>
        <v>3.3402887978914256E-12</v>
      </c>
      <c r="AC150" s="22">
        <f t="shared" si="111"/>
        <v>34.318460817834932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262.21372546382133</v>
      </c>
      <c r="T151" s="59">
        <f t="shared" si="142"/>
        <v>263.5279690714105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29.517641828492518</v>
      </c>
      <c r="AA151" s="21">
        <f>EXP(-LN(2)/25)*AA150+(1-EXP(-LN(2)/25))/(LN(2)/25)*Calculateur!V151*Calculateur!X151*VLOOKUP('Données projet'!$B$9,Paramètres!$A$1:$I$89,3,0)*0.475*44/12</f>
        <v>4.095284527147224</v>
      </c>
      <c r="AB151" s="21">
        <f>EXP(-LN(2)/2)*AB150+(1-EXP(-LN(2)/2))/(LN(2)/2)*V151*Y151*VLOOKUP('Données projet'!$B$9,Paramètres!$A$1:$I$89,3,0)*0.475*44/12</f>
        <v>2.3619408601104881E-12</v>
      </c>
      <c r="AC151" s="22">
        <f t="shared" si="111"/>
        <v>33.612926355642102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262.21372546382133</v>
      </c>
      <c r="T152" s="59">
        <f t="shared" si="142"/>
        <v>263.5279690714105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28.93881887621955</v>
      </c>
      <c r="AA152" s="21">
        <f>EXP(-LN(2)/25)*AA151+(1-EXP(-LN(2)/25))/(LN(2)/25)*Calculateur!V152*Calculateur!X152*VLOOKUP('Données projet'!$B$9,Paramètres!$A$1:$I$89,3,0)*0.475*44/12</f>
        <v>3.9832987563907296</v>
      </c>
      <c r="AB152" s="21">
        <f>EXP(-LN(2)/2)*AB151+(1-EXP(-LN(2)/2))/(LN(2)/2)*V152*Y152*VLOOKUP('Données projet'!$B$9,Paramètres!$A$1:$I$89,3,0)*0.475*44/12</f>
        <v>1.6701443989457128E-12</v>
      </c>
      <c r="AC152" s="22">
        <f t="shared" si="111"/>
        <v>32.92211763261195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262.21372546382133</v>
      </c>
      <c r="T153" s="59">
        <f t="shared" si="142"/>
        <v>263.5279690714105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28.371346288993514</v>
      </c>
      <c r="AA153" s="21">
        <f>EXP(-LN(2)/25)*AA152+(1-EXP(-LN(2)/25))/(LN(2)/25)*Calculateur!V153*Calculateur!X153*VLOOKUP('Données projet'!$B$9,Paramètres!$A$1:$I$89,3,0)*0.475*44/12</f>
        <v>3.8743752424246476</v>
      </c>
      <c r="AB153" s="21">
        <f>EXP(-LN(2)/2)*AB152+(1-EXP(-LN(2)/2))/(LN(2)/2)*V153*Y153*VLOOKUP('Données projet'!$B$9,Paramètres!$A$1:$I$89,3,0)*0.475*44/12</f>
        <v>1.180970430055244E-12</v>
      </c>
      <c r="AC153" s="22">
        <f t="shared" si="111"/>
        <v>32.245721531419342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262.21372546382133</v>
      </c>
      <c r="T154" s="59">
        <f t="shared" si="142"/>
        <v>263.5279690714105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27.815001493078878</v>
      </c>
      <c r="AA154" s="21">
        <f>EXP(-LN(2)/25)*AA153+(1-EXP(-LN(2)/25))/(LN(2)/25)*Calculateur!V154*Calculateur!X154*VLOOKUP('Données projet'!$B$9,Paramètres!$A$1:$I$89,3,0)*0.475*44/12</f>
        <v>3.7684302476760068</v>
      </c>
      <c r="AB154" s="21">
        <f>EXP(-LN(2)/2)*AB153+(1-EXP(-LN(2)/2))/(LN(2)/2)*V154*Y154*VLOOKUP('Données projet'!$B$9,Paramètres!$A$1:$I$89,3,0)*0.475*44/12</f>
        <v>8.3507219947285639E-13</v>
      </c>
      <c r="AC154" s="22">
        <f t="shared" ref="AC154:AC203" si="163">SUM(Z154:AB154)</f>
        <v>31.583431740755721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262.21372546382133</v>
      </c>
      <c r="T155" s="59">
        <f t="shared" si="142"/>
        <v>263.5279690714105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27.26956627927531</v>
      </c>
      <c r="AA155" s="21">
        <f>EXP(-LN(2)/25)*AA154+(1-EXP(-LN(2)/25))/(LN(2)/25)*Calculateur!V155*Calculateur!X155*VLOOKUP('Données projet'!$B$9,Paramètres!$A$1:$I$89,3,0)*0.475*44/12</f>
        <v>3.6653823243801726</v>
      </c>
      <c r="AB155" s="21">
        <f>EXP(-LN(2)/2)*AB154+(1-EXP(-LN(2)/2))/(LN(2)/2)*V155*Y155*VLOOKUP('Données projet'!$B$9,Paramètres!$A$1:$I$89,3,0)*0.475*44/12</f>
        <v>5.9048521502762202E-13</v>
      </c>
      <c r="AC155" s="22">
        <f t="shared" si="163"/>
        <v>30.934948603656071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262.21372546382133</v>
      </c>
      <c r="T156" s="59">
        <f t="shared" si="142"/>
        <v>263.5279690714105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26.734826717331799</v>
      </c>
      <c r="AA156" s="21">
        <f>EXP(-LN(2)/25)*AA155+(1-EXP(-LN(2)/25))/(LN(2)/25)*Calculateur!V156*Calculateur!X156*VLOOKUP('Données projet'!$B$9,Paramètres!$A$1:$I$89,3,0)*0.475*44/12</f>
        <v>3.5651522519659178</v>
      </c>
      <c r="AB156" s="21">
        <f>EXP(-LN(2)/2)*AB155+(1-EXP(-LN(2)/2))/(LN(2)/2)*V156*Y156*VLOOKUP('Données projet'!$B$9,Paramètres!$A$1:$I$89,3,0)*0.475*44/12</f>
        <v>4.1753609973642819E-13</v>
      </c>
      <c r="AC156" s="22">
        <f t="shared" si="163"/>
        <v>30.299978969298138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262.21372546382133</v>
      </c>
      <c r="T157" s="59">
        <f t="shared" si="142"/>
        <v>263.5279690714105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26.210573072039075</v>
      </c>
      <c r="AA157" s="21">
        <f>EXP(-LN(2)/25)*AA156+(1-EXP(-LN(2)/25))/(LN(2)/25)*Calculateur!V157*Calculateur!X157*VLOOKUP('Données projet'!$B$9,Paramètres!$A$1:$I$89,3,0)*0.475*44/12</f>
        <v>3.4676629761527011</v>
      </c>
      <c r="AB157" s="21">
        <f>EXP(-LN(2)/2)*AB156+(1-EXP(-LN(2)/2))/(LN(2)/2)*V157*Y157*VLOOKUP('Données projet'!$B$9,Paramètres!$A$1:$I$89,3,0)*0.475*44/12</f>
        <v>2.9524260751381101E-13</v>
      </c>
      <c r="AC157" s="22">
        <f t="shared" si="163"/>
        <v>29.678236048192073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262.21372546382133</v>
      </c>
      <c r="T158" s="59">
        <f t="shared" si="142"/>
        <v>263.5279690714105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25.696599720967392</v>
      </c>
      <c r="AA158" s="21">
        <f>EXP(-LN(2)/25)*AA157+(1-EXP(-LN(2)/25))/(LN(2)/25)*Calculateur!V158*Calculateur!X158*VLOOKUP('Données projet'!$B$9,Paramètres!$A$1:$I$89,3,0)*0.475*44/12</f>
        <v>3.3728395497133352</v>
      </c>
      <c r="AB158" s="21">
        <f>EXP(-LN(2)/2)*AB157+(1-EXP(-LN(2)/2))/(LN(2)/2)*V158*Y158*VLOOKUP('Données projet'!$B$9,Paramètres!$A$1:$I$89,3,0)*0.475*44/12</f>
        <v>2.087680498682141E-13</v>
      </c>
      <c r="AC158" s="22">
        <f t="shared" si="163"/>
        <v>29.069439270680935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262.21372546382133</v>
      </c>
      <c r="T159" s="59">
        <f t="shared" si="142"/>
        <v>263.5279690714105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25.192705073817432</v>
      </c>
      <c r="AA159" s="21">
        <f>EXP(-LN(2)/25)*AA158+(1-EXP(-LN(2)/25))/(LN(2)/25)*Calculateur!V159*Calculateur!X159*VLOOKUP('Données projet'!$B$9,Paramètres!$A$1:$I$89,3,0)*0.475*44/12</f>
        <v>3.2806090748565007</v>
      </c>
      <c r="AB159" s="21">
        <f>EXP(-LN(2)/2)*AB158+(1-EXP(-LN(2)/2))/(LN(2)/2)*V159*Y159*VLOOKUP('Données projet'!$B$9,Paramètres!$A$1:$I$89,3,0)*0.475*44/12</f>
        <v>1.4762130375690551E-13</v>
      </c>
      <c r="AC159" s="22">
        <f t="shared" si="163"/>
        <v>28.473314148674081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262.21372546382133</v>
      </c>
      <c r="T160" s="59">
        <f t="shared" si="142"/>
        <v>263.5279690714105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24.698691493352698</v>
      </c>
      <c r="AA160" s="21">
        <f>EXP(-LN(2)/25)*AA159+(1-EXP(-LN(2)/25))/(LN(2)/25)*Calculateur!V160*Calculateur!X160*VLOOKUP('Données projet'!$B$9,Paramètres!$A$1:$I$89,3,0)*0.475*44/12</f>
        <v>3.1909006471848165</v>
      </c>
      <c r="AB160" s="21">
        <f>EXP(-LN(2)/2)*AB159+(1-EXP(-LN(2)/2))/(LN(2)/2)*V160*Y160*VLOOKUP('Données projet'!$B$9,Paramètres!$A$1:$I$89,3,0)*0.475*44/12</f>
        <v>1.0438402493410705E-13</v>
      </c>
      <c r="AC160" s="22">
        <f t="shared" si="163"/>
        <v>27.889592140537616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262.21372546382133</v>
      </c>
      <c r="T161" s="59">
        <f t="shared" si="142"/>
        <v>263.5279690714105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24.214365217882346</v>
      </c>
      <c r="AA161" s="21">
        <f>EXP(-LN(2)/25)*AA160+(1-EXP(-LN(2)/25))/(LN(2)/25)*Calculateur!V161*Calculateur!X161*VLOOKUP('Données projet'!$B$9,Paramètres!$A$1:$I$89,3,0)*0.475*44/12</f>
        <v>3.1036453011853755</v>
      </c>
      <c r="AB161" s="21">
        <f>EXP(-LN(2)/2)*AB160+(1-EXP(-LN(2)/2))/(LN(2)/2)*V161*Y161*VLOOKUP('Données projet'!$B$9,Paramètres!$A$1:$I$89,3,0)*0.475*44/12</f>
        <v>7.3810651878452753E-14</v>
      </c>
      <c r="AC161" s="22">
        <f t="shared" si="163"/>
        <v>27.318010519067794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262.21372546382133</v>
      </c>
      <c r="T162" s="59">
        <f t="shared" si="142"/>
        <v>263.5279690714105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23.739536285264109</v>
      </c>
      <c r="AA162" s="21">
        <f>EXP(-LN(2)/25)*AA161+(1-EXP(-LN(2)/25))/(LN(2)/25)*Calculateur!V162*Calculateur!X162*VLOOKUP('Données projet'!$B$9,Paramètres!$A$1:$I$89,3,0)*0.475*44/12</f>
        <v>3.0187759572108486</v>
      </c>
      <c r="AB162" s="21">
        <f>EXP(-LN(2)/2)*AB161+(1-EXP(-LN(2)/2))/(LN(2)/2)*V162*Y162*VLOOKUP('Données projet'!$B$9,Paramètres!$A$1:$I$89,3,0)*0.475*44/12</f>
        <v>5.2192012467053524E-14</v>
      </c>
      <c r="AC162" s="22">
        <f t="shared" si="163"/>
        <v>26.758312242475011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262.21372546382133</v>
      </c>
      <c r="T163" s="59">
        <f t="shared" si="142"/>
        <v>263.5279690714105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23.274018458397464</v>
      </c>
      <c r="AA163" s="21">
        <f>EXP(-LN(2)/25)*AA162+(1-EXP(-LN(2)/25))/(LN(2)/25)*Calculateur!V163*Calculateur!X163*VLOOKUP('Données projet'!$B$9,Paramètres!$A$1:$I$89,3,0)*0.475*44/12</f>
        <v>2.93622736991039</v>
      </c>
      <c r="AB163" s="21">
        <f>EXP(-LN(2)/2)*AB162+(1-EXP(-LN(2)/2))/(LN(2)/2)*V163*Y163*VLOOKUP('Données projet'!$B$9,Paramètres!$A$1:$I$89,3,0)*0.475*44/12</f>
        <v>3.6905325939226376E-14</v>
      </c>
      <c r="AC163" s="22">
        <f t="shared" si="163"/>
        <v>26.21024582830789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262.21372546382133</v>
      </c>
      <c r="T164" s="59">
        <f t="shared" si="142"/>
        <v>263.5279690714105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22.817629152177837</v>
      </c>
      <c r="AA164" s="21">
        <f>EXP(-LN(2)/25)*AA163+(1-EXP(-LN(2)/25))/(LN(2)/25)*Calculateur!V164*Calculateur!X164*VLOOKUP('Données projet'!$B$9,Paramètres!$A$1:$I$89,3,0)*0.475*44/12</f>
        <v>2.8559360780707039</v>
      </c>
      <c r="AB164" s="21">
        <f>EXP(-LN(2)/2)*AB163+(1-EXP(-LN(2)/2))/(LN(2)/2)*V164*Y164*VLOOKUP('Données projet'!$B$9,Paramètres!$A$1:$I$89,3,0)*0.475*44/12</f>
        <v>2.6096006233526762E-14</v>
      </c>
      <c r="AC164" s="22">
        <f t="shared" si="163"/>
        <v>25.673565230248567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262.21372546382133</v>
      </c>
      <c r="T165" s="59">
        <f t="shared" si="142"/>
        <v>263.5279690714105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22.370189361883185</v>
      </c>
      <c r="AA165" s="21">
        <f>EXP(-LN(2)/25)*AA164+(1-EXP(-LN(2)/25))/(LN(2)/25)*Calculateur!V165*Calculateur!X165*VLOOKUP('Données projet'!$B$9,Paramètres!$A$1:$I$89,3,0)*0.475*44/12</f>
        <v>2.7778403558287095</v>
      </c>
      <c r="AB165" s="21">
        <f>EXP(-LN(2)/2)*AB164+(1-EXP(-LN(2)/2))/(LN(2)/2)*V165*Y165*VLOOKUP('Données projet'!$B$9,Paramètres!$A$1:$I$89,3,0)*0.475*44/12</f>
        <v>1.8452662969613188E-14</v>
      </c>
      <c r="AC165" s="22">
        <f t="shared" si="163"/>
        <v>25.148029717711911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262.21372546382133</v>
      </c>
      <c r="T166" s="59">
        <f t="shared" si="142"/>
        <v>263.5279690714105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21.931523592964886</v>
      </c>
      <c r="AA166" s="21">
        <f>EXP(-LN(2)/25)*AA165+(1-EXP(-LN(2)/25))/(LN(2)/25)*Calculateur!V166*Calculateur!X166*VLOOKUP('Données projet'!$B$9,Paramètres!$A$1:$I$89,3,0)*0.475*44/12</f>
        <v>2.7018801652182978</v>
      </c>
      <c r="AB166" s="21">
        <f>EXP(-LN(2)/2)*AB165+(1-EXP(-LN(2)/2))/(LN(2)/2)*V166*Y166*VLOOKUP('Données projet'!$B$9,Paramètres!$A$1:$I$89,3,0)*0.475*44/12</f>
        <v>1.3048003116763381E-14</v>
      </c>
      <c r="AC166" s="22">
        <f t="shared" si="163"/>
        <v>24.633403758183199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262.21372546382133</v>
      </c>
      <c r="T167" s="59">
        <f t="shared" si="142"/>
        <v>263.5279690714105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21.501459792215378</v>
      </c>
      <c r="AA167" s="21">
        <f>EXP(-LN(2)/25)*AA166+(1-EXP(-LN(2)/25))/(LN(2)/25)*Calculateur!V167*Calculateur!X167*VLOOKUP('Données projet'!$B$9,Paramètres!$A$1:$I$89,3,0)*0.475*44/12</f>
        <v>2.6279971100147006</v>
      </c>
      <c r="AB167" s="21">
        <f>EXP(-LN(2)/2)*AB166+(1-EXP(-LN(2)/2))/(LN(2)/2)*V167*Y167*VLOOKUP('Données projet'!$B$9,Paramètres!$A$1:$I$89,3,0)*0.475*44/12</f>
        <v>9.2263314848065941E-15</v>
      </c>
      <c r="AC167" s="22">
        <f t="shared" si="163"/>
        <v>24.129456902230089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262.21372546382133</v>
      </c>
      <c r="T168" s="59">
        <f t="shared" si="142"/>
        <v>263.5279690714105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21.079829280285548</v>
      </c>
      <c r="AA168" s="21">
        <f>EXP(-LN(2)/25)*AA167+(1-EXP(-LN(2)/25))/(LN(2)/25)*Calculateur!V168*Calculateur!X168*VLOOKUP('Données projet'!$B$9,Paramètres!$A$1:$I$89,3,0)*0.475*44/12</f>
        <v>2.5561343908409868</v>
      </c>
      <c r="AB168" s="21">
        <f>EXP(-LN(2)/2)*AB167+(1-EXP(-LN(2)/2))/(LN(2)/2)*V168*Y168*VLOOKUP('Données projet'!$B$9,Paramètres!$A$1:$I$89,3,0)*0.475*44/12</f>
        <v>6.5240015583816905E-15</v>
      </c>
      <c r="AC168" s="22">
        <f t="shared" si="163"/>
        <v>23.635963671126543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262.21372546382133</v>
      </c>
      <c r="T169" s="59">
        <f t="shared" si="142"/>
        <v>263.5279690714105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20.666466685525442</v>
      </c>
      <c r="AA169" s="21">
        <f>EXP(-LN(2)/25)*AA168+(1-EXP(-LN(2)/25))/(LN(2)/25)*Calculateur!V169*Calculateur!X169*VLOOKUP('Données projet'!$B$9,Paramètres!$A$1:$I$89,3,0)*0.475*44/12</f>
        <v>2.4862367615021745</v>
      </c>
      <c r="AB169" s="21">
        <f>EXP(-LN(2)/2)*AB168+(1-EXP(-LN(2)/2))/(LN(2)/2)*V169*Y169*VLOOKUP('Données projet'!$B$9,Paramètres!$A$1:$I$89,3,0)*0.475*44/12</f>
        <v>4.613165742403297E-15</v>
      </c>
      <c r="AC169" s="22">
        <f t="shared" si="163"/>
        <v>23.152703447027619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262.21372546382133</v>
      </c>
      <c r="T170" s="59">
        <f t="shared" si="142"/>
        <v>263.5279690714105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20.261209879122298</v>
      </c>
      <c r="AA170" s="21">
        <f>EXP(-LN(2)/25)*AA169+(1-EXP(-LN(2)/25))/(LN(2)/25)*Calculateur!V170*Calculateur!X170*VLOOKUP('Données projet'!$B$9,Paramètres!$A$1:$I$89,3,0)*0.475*44/12</f>
        <v>2.4182504865133887</v>
      </c>
      <c r="AB170" s="21">
        <f>EXP(-LN(2)/2)*AB169+(1-EXP(-LN(2)/2))/(LN(2)/2)*V170*Y170*VLOOKUP('Données projet'!$B$9,Paramètres!$A$1:$I$89,3,0)*0.475*44/12</f>
        <v>3.2620007791908453E-15</v>
      </c>
      <c r="AC170" s="22">
        <f t="shared" si="163"/>
        <v>22.679460365635691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262.21372546382133</v>
      </c>
      <c r="T171" s="59">
        <f t="shared" si="142"/>
        <v>263.5279690714105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19.863899911510472</v>
      </c>
      <c r="AA171" s="21">
        <f>EXP(-LN(2)/25)*AA170+(1-EXP(-LN(2)/25))/(LN(2)/25)*Calculateur!V171*Calculateur!X171*VLOOKUP('Données projet'!$B$9,Paramètres!$A$1:$I$89,3,0)*0.475*44/12</f>
        <v>2.3521232997894139</v>
      </c>
      <c r="AB171" s="21">
        <f>EXP(-LN(2)/2)*AB170+(1-EXP(-LN(2)/2))/(LN(2)/2)*V171*Y171*VLOOKUP('Données projet'!$B$9,Paramètres!$A$1:$I$89,3,0)*0.475*44/12</f>
        <v>2.3065828712016485E-15</v>
      </c>
      <c r="AC171" s="22">
        <f t="shared" si="163"/>
        <v>22.216023211299891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262.21372546382133</v>
      </c>
      <c r="T172" s="59">
        <f t="shared" si="142"/>
        <v>263.5279690714105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19.474380950028365</v>
      </c>
      <c r="AA172" s="21">
        <f>EXP(-LN(2)/25)*AA171+(1-EXP(-LN(2)/25))/(LN(2)/25)*Calculateur!V172*Calculateur!X172*VLOOKUP('Données projet'!$B$9,Paramètres!$A$1:$I$89,3,0)*0.475*44/12</f>
        <v>2.2878043644638839</v>
      </c>
      <c r="AB172" s="21">
        <f>EXP(-LN(2)/2)*AB171+(1-EXP(-LN(2)/2))/(LN(2)/2)*V172*Y172*VLOOKUP('Données projet'!$B$9,Paramètres!$A$1:$I$89,3,0)*0.475*44/12</f>
        <v>1.6310003895954226E-15</v>
      </c>
      <c r="AC172" s="22">
        <f t="shared" si="163"/>
        <v>21.76218531449225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262.21372546382133</v>
      </c>
      <c r="T173" s="59">
        <f t="shared" si="142"/>
        <v>263.5279690714105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19.092500217797813</v>
      </c>
      <c r="AA173" s="21">
        <f>EXP(-LN(2)/25)*AA172+(1-EXP(-LN(2)/25))/(LN(2)/25)*Calculateur!V173*Calculateur!X173*VLOOKUP('Données projet'!$B$9,Paramètres!$A$1:$I$89,3,0)*0.475*44/12</f>
        <v>2.2252442338072163</v>
      </c>
      <c r="AB173" s="21">
        <f>EXP(-LN(2)/2)*AB172+(1-EXP(-LN(2)/2))/(LN(2)/2)*V173*Y173*VLOOKUP('Données projet'!$B$9,Paramètres!$A$1:$I$89,3,0)*0.475*44/12</f>
        <v>1.1532914356008243E-15</v>
      </c>
      <c r="AC173" s="22">
        <f t="shared" si="163"/>
        <v>21.31774445160503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262.21372546382133</v>
      </c>
      <c r="T174" s="59">
        <f t="shared" si="142"/>
        <v>263.5279690714105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18.718107933802056</v>
      </c>
      <c r="AA174" s="21">
        <f>EXP(-LN(2)/25)*AA173+(1-EXP(-LN(2)/25))/(LN(2)/25)*Calculateur!V174*Calculateur!X174*VLOOKUP('Données projet'!$B$9,Paramètres!$A$1:$I$89,3,0)*0.475*44/12</f>
        <v>2.1643948132132493</v>
      </c>
      <c r="AB174" s="21">
        <f>EXP(-LN(2)/2)*AB173+(1-EXP(-LN(2)/2))/(LN(2)/2)*V174*Y174*VLOOKUP('Données projet'!$B$9,Paramètres!$A$1:$I$89,3,0)*0.475*44/12</f>
        <v>8.1550019479771132E-16</v>
      </c>
      <c r="AC174" s="22">
        <f t="shared" si="163"/>
        <v>20.882502747015305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262.21372546382133</v>
      </c>
      <c r="T175" s="59">
        <f t="shared" si="142"/>
        <v>263.5279690714105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18.351057254138709</v>
      </c>
      <c r="AA175" s="21">
        <f>EXP(-LN(2)/25)*AA174+(1-EXP(-LN(2)/25))/(LN(2)/25)*Calculateur!V175*Calculateur!X175*VLOOKUP('Données projet'!$B$9,Paramètres!$A$1:$I$89,3,0)*0.475*44/12</f>
        <v>2.1052093232253566</v>
      </c>
      <c r="AB175" s="21">
        <f>EXP(-LN(2)/2)*AB174+(1-EXP(-LN(2)/2))/(LN(2)/2)*V175*Y175*VLOOKUP('Données projet'!$B$9,Paramètres!$A$1:$I$89,3,0)*0.475*44/12</f>
        <v>5.7664571780041213E-16</v>
      </c>
      <c r="AC175" s="22">
        <f t="shared" si="163"/>
        <v>20.456266577364065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262.21372546382133</v>
      </c>
      <c r="T176" s="59">
        <f t="shared" si="142"/>
        <v>263.5279690714105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17.991204214424751</v>
      </c>
      <c r="AA176" s="21">
        <f>EXP(-LN(2)/25)*AA175+(1-EXP(-LN(2)/25))/(LN(2)/25)*Calculateur!V176*Calculateur!X176*VLOOKUP('Données projet'!$B$9,Paramètres!$A$1:$I$89,3,0)*0.475*44/12</f>
        <v>2.0476422635736125</v>
      </c>
      <c r="AB176" s="21">
        <f>EXP(-LN(2)/2)*AB175+(1-EXP(-LN(2)/2))/(LN(2)/2)*V176*Y176*VLOOKUP('Données projet'!$B$9,Paramètres!$A$1:$I$89,3,0)*0.475*44/12</f>
        <v>4.0775009739885566E-16</v>
      </c>
      <c r="AC176" s="22">
        <f t="shared" si="163"/>
        <v>20.038846477998362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262.21372546382133</v>
      </c>
      <c r="T177" s="59">
        <f t="shared" si="142"/>
        <v>263.5279690714105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17.638407673330903</v>
      </c>
      <c r="AA177" s="21">
        <f>EXP(-LN(2)/25)*AA176+(1-EXP(-LN(2)/25))/(LN(2)/25)*Calculateur!V177*Calculateur!X177*VLOOKUP('Données projet'!$B$9,Paramètres!$A$1:$I$89,3,0)*0.475*44/12</f>
        <v>1.9916493781953652</v>
      </c>
      <c r="AB177" s="21">
        <f>EXP(-LN(2)/2)*AB176+(1-EXP(-LN(2)/2))/(LN(2)/2)*V177*Y177*VLOOKUP('Données projet'!$B$9,Paramètres!$A$1:$I$89,3,0)*0.475*44/12</f>
        <v>2.8832285890020607E-16</v>
      </c>
      <c r="AC177" s="22">
        <f t="shared" si="163"/>
        <v>19.630057051526268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262.21372546382133</v>
      </c>
      <c r="T178" s="59">
        <f t="shared" si="142"/>
        <v>263.5279690714105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17.292529257223265</v>
      </c>
      <c r="AA178" s="21">
        <f>EXP(-LN(2)/25)*AA177+(1-EXP(-LN(2)/25))/(LN(2)/25)*Calculateur!V178*Calculateur!X178*VLOOKUP('Données projet'!$B$9,Paramètres!$A$1:$I$89,3,0)*0.475*44/12</f>
        <v>1.9371876212123242</v>
      </c>
      <c r="AB178" s="21">
        <f>EXP(-LN(2)/2)*AB177+(1-EXP(-LN(2)/2))/(LN(2)/2)*V178*Y178*VLOOKUP('Données projet'!$B$9,Paramètres!$A$1:$I$89,3,0)*0.475*44/12</f>
        <v>2.0387504869942783E-16</v>
      </c>
      <c r="AC178" s="22">
        <f t="shared" si="163"/>
        <v>19.229716878435589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262.21372546382133</v>
      </c>
      <c r="T179" s="59">
        <f t="shared" si="142"/>
        <v>263.5279690714105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16.953433305890496</v>
      </c>
      <c r="AA179" s="21">
        <f>EXP(-LN(2)/25)*AA178+(1-EXP(-LN(2)/25))/(LN(2)/25)*Calculateur!V179*Calculateur!X179*VLOOKUP('Données projet'!$B$9,Paramètres!$A$1:$I$89,3,0)*0.475*44/12</f>
        <v>1.8842151238380038</v>
      </c>
      <c r="AB179" s="21">
        <f>EXP(-LN(2)/2)*AB178+(1-EXP(-LN(2)/2))/(LN(2)/2)*V179*Y179*VLOOKUP('Données projet'!$B$9,Paramètres!$A$1:$I$89,3,0)*0.475*44/12</f>
        <v>1.4416142945010303E-16</v>
      </c>
      <c r="AC179" s="22">
        <f t="shared" si="163"/>
        <v>18.8376484297285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262.21372546382133</v>
      </c>
      <c r="T180" s="59">
        <f t="shared" si="142"/>
        <v>263.5279690714105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16.620986819335254</v>
      </c>
      <c r="AA180" s="21">
        <f>EXP(-LN(2)/25)*AA179+(1-EXP(-LN(2)/25))/(LN(2)/25)*Calculateur!V180*Calculateur!X180*VLOOKUP('Données projet'!$B$9,Paramètres!$A$1:$I$89,3,0)*0.475*44/12</f>
        <v>1.8326911621900868</v>
      </c>
      <c r="AB180" s="21">
        <f>EXP(-LN(2)/2)*AB179+(1-EXP(-LN(2)/2))/(LN(2)/2)*V180*Y180*VLOOKUP('Données projet'!$B$9,Paramètres!$A$1:$I$89,3,0)*0.475*44/12</f>
        <v>1.0193752434971391E-16</v>
      </c>
      <c r="AC180" s="22">
        <f t="shared" si="163"/>
        <v>18.453677981525342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262.21372546382133</v>
      </c>
      <c r="T181" s="59">
        <f t="shared" si="142"/>
        <v>263.5279690714105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16.295059405609024</v>
      </c>
      <c r="AA181" s="21">
        <f>EXP(-LN(2)/25)*AA180+(1-EXP(-LN(2)/25))/(LN(2)/25)*Calculateur!V181*Calculateur!X181*VLOOKUP('Données projet'!$B$9,Paramètres!$A$1:$I$89,3,0)*0.475*44/12</f>
        <v>1.7825761259829593</v>
      </c>
      <c r="AB181" s="21">
        <f>EXP(-LN(2)/2)*AB180+(1-EXP(-LN(2)/2))/(LN(2)/2)*V181*Y181*VLOOKUP('Données projet'!$B$9,Paramètres!$A$1:$I$89,3,0)*0.475*44/12</f>
        <v>7.2080714725051516E-17</v>
      </c>
      <c r="AC181" s="22">
        <f t="shared" si="163"/>
        <v>18.077635531591984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262.21372546382133</v>
      </c>
      <c r="T182" s="59">
        <f t="shared" si="142"/>
        <v>263.5279690714105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15.975523229669873</v>
      </c>
      <c r="AA182" s="21">
        <f>EXP(-LN(2)/25)*AA181+(1-EXP(-LN(2)/25))/(LN(2)/25)*Calculateur!V182*Calculateur!X182*VLOOKUP('Données projet'!$B$9,Paramètres!$A$1:$I$89,3,0)*0.475*44/12</f>
        <v>1.733831488076351</v>
      </c>
      <c r="AB182" s="21">
        <f>EXP(-LN(2)/2)*AB181+(1-EXP(-LN(2)/2))/(LN(2)/2)*V182*Y182*VLOOKUP('Données projet'!$B$9,Paramètres!$A$1:$I$89,3,0)*0.475*44/12</f>
        <v>5.0968762174856957E-17</v>
      </c>
      <c r="AC182" s="22">
        <f t="shared" si="163"/>
        <v>17.709354717746223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262.21372546382133</v>
      </c>
      <c r="T183" s="59">
        <f t="shared" si="142"/>
        <v>263.5279690714105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15.662252963243066</v>
      </c>
      <c r="AA183" s="21">
        <f>EXP(-LN(2)/25)*AA182+(1-EXP(-LN(2)/25))/(LN(2)/25)*Calculateur!V183*Calculateur!X183*VLOOKUP('Données projet'!$B$9,Paramètres!$A$1:$I$89,3,0)*0.475*44/12</f>
        <v>1.6864197748566681</v>
      </c>
      <c r="AB183" s="21">
        <f>EXP(-LN(2)/2)*AB182+(1-EXP(-LN(2)/2))/(LN(2)/2)*V183*Y183*VLOOKUP('Données projet'!$B$9,Paramètres!$A$1:$I$89,3,0)*0.475*44/12</f>
        <v>3.6040357362525758E-17</v>
      </c>
      <c r="AC183" s="22">
        <f t="shared" si="163"/>
        <v>17.348672738099733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262.21372546382133</v>
      </c>
      <c r="T184" s="59">
        <f t="shared" si="142"/>
        <v>263.5279690714105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15.355125735664894</v>
      </c>
      <c r="AA184" s="21">
        <f>EXP(-LN(2)/25)*AA183+(1-EXP(-LN(2)/25))/(LN(2)/25)*Calculateur!V184*Calculateur!X184*VLOOKUP('Données projet'!$B$9,Paramètres!$A$1:$I$89,3,0)*0.475*44/12</f>
        <v>1.6403045374282508</v>
      </c>
      <c r="AB184" s="21">
        <f>EXP(-LN(2)/2)*AB183+(1-EXP(-LN(2)/2))/(LN(2)/2)*V184*Y184*VLOOKUP('Données projet'!$B$9,Paramètres!$A$1:$I$89,3,0)*0.475*44/12</f>
        <v>2.5484381087428479E-17</v>
      </c>
      <c r="AC184" s="22">
        <f t="shared" si="163"/>
        <v>16.995430273093145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262.21372546382133</v>
      </c>
      <c r="T185" s="59">
        <f t="shared" si="142"/>
        <v>263.5279690714105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15.054021085690417</v>
      </c>
      <c r="AA185" s="21">
        <f>EXP(-LN(2)/25)*AA184+(1-EXP(-LN(2)/25))/(LN(2)/25)*Calculateur!V185*Calculateur!X185*VLOOKUP('Données projet'!$B$9,Paramètres!$A$1:$I$89,3,0)*0.475*44/12</f>
        <v>1.5954503235924087</v>
      </c>
      <c r="AB185" s="21">
        <f>EXP(-LN(2)/2)*AB184+(1-EXP(-LN(2)/2))/(LN(2)/2)*V185*Y185*VLOOKUP('Données projet'!$B$9,Paramètres!$A$1:$I$89,3,0)*0.475*44/12</f>
        <v>1.8020178681262879E-17</v>
      </c>
      <c r="AC185" s="22">
        <f t="shared" si="163"/>
        <v>16.649471409282825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262.21372546382133</v>
      </c>
      <c r="T186" s="59">
        <f t="shared" si="142"/>
        <v>263.5279690714105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14.758820914246238</v>
      </c>
      <c r="AA186" s="21">
        <f>EXP(-LN(2)/25)*AA185+(1-EXP(-LN(2)/25))/(LN(2)/25)*Calculateur!V186*Calculateur!X186*VLOOKUP('Données projet'!$B$9,Paramètres!$A$1:$I$89,3,0)*0.475*44/12</f>
        <v>1.5518226505926882</v>
      </c>
      <c r="AB186" s="21">
        <f>EXP(-LN(2)/2)*AB185+(1-EXP(-LN(2)/2))/(LN(2)/2)*V186*Y186*VLOOKUP('Données projet'!$B$9,Paramètres!$A$1:$I$89,3,0)*0.475*44/12</f>
        <v>1.2742190543714239E-17</v>
      </c>
      <c r="AC186" s="22">
        <f t="shared" si="163"/>
        <v>16.310643564838927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262.21372546382133</v>
      </c>
      <c r="T187" s="59">
        <f t="shared" si="142"/>
        <v>263.5279690714105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14.469409438109754</v>
      </c>
      <c r="AA187" s="21">
        <f>EXP(-LN(2)/25)*AA186+(1-EXP(-LN(2)/25))/(LN(2)/25)*Calculateur!V187*Calculateur!X187*VLOOKUP('Données projet'!$B$9,Paramètres!$A$1:$I$89,3,0)*0.475*44/12</f>
        <v>1.5093879786054247</v>
      </c>
      <c r="AB187" s="21">
        <f>EXP(-LN(2)/2)*AB186+(1-EXP(-LN(2)/2))/(LN(2)/2)*V187*Y187*VLOOKUP('Données projet'!$B$9,Paramètres!$A$1:$I$89,3,0)*0.475*44/12</f>
        <v>9.0100893406314395E-18</v>
      </c>
      <c r="AC187" s="22">
        <f t="shared" si="163"/>
        <v>15.978797416715178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262.21372546382133</v>
      </c>
      <c r="T188" s="59">
        <f t="shared" si="142"/>
        <v>263.5279690714105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14.185673144496736</v>
      </c>
      <c r="AA188" s="21">
        <f>EXP(-LN(2)/25)*AA187+(1-EXP(-LN(2)/25))/(LN(2)/25)*Calculateur!V188*Calculateur!X188*VLOOKUP('Données projet'!$B$9,Paramètres!$A$1:$I$89,3,0)*0.475*44/12</f>
        <v>1.4681136849551955</v>
      </c>
      <c r="AB188" s="21">
        <f>EXP(-LN(2)/2)*AB187+(1-EXP(-LN(2)/2))/(LN(2)/2)*V188*Y188*VLOOKUP('Données projet'!$B$9,Paramètres!$A$1:$I$89,3,0)*0.475*44/12</f>
        <v>6.3710952718571197E-18</v>
      </c>
      <c r="AC188" s="22">
        <f t="shared" si="163"/>
        <v>15.653786829451931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262.21372546382133</v>
      </c>
      <c r="T189" s="59">
        <f t="shared" si="142"/>
        <v>263.5279690714105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13.907500746539419</v>
      </c>
      <c r="AA189" s="21">
        <f>EXP(-LN(2)/25)*AA188+(1-EXP(-LN(2)/25))/(LN(2)/25)*Calculateur!V189*Calculateur!X189*VLOOKUP('Données projet'!$B$9,Paramètres!$A$1:$I$89,3,0)*0.475*44/12</f>
        <v>1.4279680390353524</v>
      </c>
      <c r="AB189" s="21">
        <f>EXP(-LN(2)/2)*AB188+(1-EXP(-LN(2)/2))/(LN(2)/2)*V189*Y189*VLOOKUP('Données projet'!$B$9,Paramètres!$A$1:$I$89,3,0)*0.475*44/12</f>
        <v>4.5050446703157198E-18</v>
      </c>
      <c r="AC189" s="22">
        <f t="shared" si="163"/>
        <v>15.335468785574772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262.21372546382133</v>
      </c>
      <c r="T190" s="59">
        <f t="shared" si="142"/>
        <v>263.5279690714105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13.634783139637635</v>
      </c>
      <c r="AA190" s="21">
        <f>EXP(-LN(2)/25)*AA189+(1-EXP(-LN(2)/25))/(LN(2)/25)*Calculateur!V190*Calculateur!X190*VLOOKUP('Données projet'!$B$9,Paramètres!$A$1:$I$89,3,0)*0.475*44/12</f>
        <v>1.3889201779143552</v>
      </c>
      <c r="AB190" s="21">
        <f>EXP(-LN(2)/2)*AB189+(1-EXP(-LN(2)/2))/(LN(2)/2)*V190*Y190*VLOOKUP('Données projet'!$B$9,Paramètres!$A$1:$I$89,3,0)*0.475*44/12</f>
        <v>3.1855476359285598E-18</v>
      </c>
      <c r="AC190" s="22">
        <f t="shared" si="163"/>
        <v>15.023703317551991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262.21372546382133</v>
      </c>
      <c r="T191" s="59">
        <f t="shared" si="142"/>
        <v>263.5279690714105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13.36741335866588</v>
      </c>
      <c r="AA191" s="21">
        <f>EXP(-LN(2)/25)*AA190+(1-EXP(-LN(2)/25))/(LN(2)/25)*Calculateur!V191*Calculateur!X191*VLOOKUP('Données projet'!$B$9,Paramètres!$A$1:$I$89,3,0)*0.475*44/12</f>
        <v>1.3509400826091493</v>
      </c>
      <c r="AB191" s="21">
        <f>EXP(-LN(2)/2)*AB190+(1-EXP(-LN(2)/2))/(LN(2)/2)*V191*Y191*VLOOKUP('Données projet'!$B$9,Paramètres!$A$1:$I$89,3,0)*0.475*44/12</f>
        <v>2.2525223351578599E-18</v>
      </c>
      <c r="AC191" s="22">
        <f t="shared" si="163"/>
        <v>14.718353441275029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262.21372546382133</v>
      </c>
      <c r="T192" s="59">
        <f t="shared" si="142"/>
        <v>263.5279690714105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13.105286536019518</v>
      </c>
      <c r="AA192" s="21">
        <f>EXP(-LN(2)/25)*AA191+(1-EXP(-LN(2)/25))/(LN(2)/25)*Calculateur!V192*Calculateur!X192*VLOOKUP('Données projet'!$B$9,Paramètres!$A$1:$I$89,3,0)*0.475*44/12</f>
        <v>1.3139985550073507</v>
      </c>
      <c r="AB192" s="21">
        <f>EXP(-LN(2)/2)*AB191+(1-EXP(-LN(2)/2))/(LN(2)/2)*V192*Y192*VLOOKUP('Données projet'!$B$9,Paramètres!$A$1:$I$89,3,0)*0.475*44/12</f>
        <v>1.5927738179642799E-18</v>
      </c>
      <c r="AC192" s="22">
        <f t="shared" si="163"/>
        <v>14.419285091026868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262.21372546382133</v>
      </c>
      <c r="T193" s="59">
        <f t="shared" si="142"/>
        <v>263.5279690714105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12.848299860483676</v>
      </c>
      <c r="AA193" s="21">
        <f>EXP(-LN(2)/25)*AA192+(1-EXP(-LN(2)/25))/(LN(2)/25)*Calculateur!V193*Calculateur!X193*VLOOKUP('Données projet'!$B$9,Paramètres!$A$1:$I$89,3,0)*0.475*44/12</f>
        <v>1.2780671954204939</v>
      </c>
      <c r="AB193" s="21">
        <f>EXP(-LN(2)/2)*AB192+(1-EXP(-LN(2)/2))/(LN(2)/2)*V193*Y193*VLOOKUP('Données projet'!$B$9,Paramètres!$A$1:$I$89,3,0)*0.475*44/12</f>
        <v>1.1262611675789299E-18</v>
      </c>
      <c r="AC193" s="22">
        <f t="shared" si="163"/>
        <v>14.12636705590417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262.21372546382133</v>
      </c>
      <c r="T194" s="59">
        <f t="shared" si="142"/>
        <v>263.5279690714105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12.596352536908697</v>
      </c>
      <c r="AA194" s="21">
        <f>EXP(-LN(2)/25)*AA193+(1-EXP(-LN(2)/25))/(LN(2)/25)*Calculateur!V194*Calculateur!X194*VLOOKUP('Données projet'!$B$9,Paramètres!$A$1:$I$89,3,0)*0.475*44/12</f>
        <v>1.2431183807510877</v>
      </c>
      <c r="AB194" s="21">
        <f>EXP(-LN(2)/2)*AB193+(1-EXP(-LN(2)/2))/(LN(2)/2)*V194*Y194*VLOOKUP('Données projet'!$B$9,Paramètres!$A$1:$I$89,3,0)*0.475*44/12</f>
        <v>7.9638690898213996E-19</v>
      </c>
      <c r="AC194" s="22">
        <f t="shared" si="163"/>
        <v>13.839470917659785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262.21372546382133</v>
      </c>
      <c r="T195" s="59">
        <f t="shared" si="142"/>
        <v>263.5279690714105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12.349345746676329</v>
      </c>
      <c r="AA195" s="21">
        <f>EXP(-LN(2)/25)*AA194+(1-EXP(-LN(2)/25))/(LN(2)/25)*Calculateur!V195*Calculateur!X195*VLOOKUP('Données projet'!$B$9,Paramètres!$A$1:$I$89,3,0)*0.475*44/12</f>
        <v>1.2091252432566948</v>
      </c>
      <c r="AB195" s="21">
        <f>EXP(-LN(2)/2)*AB194+(1-EXP(-LN(2)/2))/(LN(2)/2)*V195*Y195*VLOOKUP('Données projet'!$B$9,Paramètres!$A$1:$I$89,3,0)*0.475*44/12</f>
        <v>5.6313058378946497E-19</v>
      </c>
      <c r="AC195" s="22">
        <f t="shared" si="163"/>
        <v>13.558470989933024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262.21372546382133</v>
      </c>
      <c r="T196" s="59">
        <f t="shared" si="142"/>
        <v>263.5279690714105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12.107182608941153</v>
      </c>
      <c r="AA196" s="21">
        <f>EXP(-LN(2)/25)*AA195+(1-EXP(-LN(2)/25))/(LN(2)/25)*Calculateur!V196*Calculateur!X196*VLOOKUP('Données projet'!$B$9,Paramètres!$A$1:$I$89,3,0)*0.475*44/12</f>
        <v>1.1760616498947074</v>
      </c>
      <c r="AB196" s="21">
        <f>EXP(-LN(2)/2)*AB195+(1-EXP(-LN(2)/2))/(LN(2)/2)*V196*Y196*VLOOKUP('Données projet'!$B$9,Paramètres!$A$1:$I$89,3,0)*0.475*44/12</f>
        <v>3.9819345449106998E-19</v>
      </c>
      <c r="AC196" s="22">
        <f t="shared" si="163"/>
        <v>13.283244258835861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262.21372546382133</v>
      </c>
      <c r="T197" s="59">
        <f t="shared" ref="T197:T203" si="204">$T$3</f>
        <v>263.5279690714105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11.869768142632035</v>
      </c>
      <c r="AA197" s="21">
        <f>EXP(-LN(2)/25)*AA196+(1-EXP(-LN(2)/25))/(LN(2)/25)*Calculateur!V197*Calculateur!X197*VLOOKUP('Données projet'!$B$9,Paramètres!$A$1:$I$89,3,0)*0.475*44/12</f>
        <v>1.1439021822319424</v>
      </c>
      <c r="AB197" s="21">
        <f>EXP(-LN(2)/2)*AB196+(1-EXP(-LN(2)/2))/(LN(2)/2)*V197*Y197*VLOOKUP('Données projet'!$B$9,Paramètres!$A$1:$I$89,3,0)*0.475*44/12</f>
        <v>2.8156529189473249E-19</v>
      </c>
      <c r="AC197" s="22">
        <f t="shared" si="163"/>
        <v>13.013670324863977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262.21372546382133</v>
      </c>
      <c r="T198" s="59">
        <f t="shared" si="204"/>
        <v>263.5279690714105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11.637009229198712</v>
      </c>
      <c r="AA198" s="21">
        <f>EXP(-LN(2)/25)*AA197+(1-EXP(-LN(2)/25))/(LN(2)/25)*Calculateur!V198*Calculateur!X198*VLOOKUP('Données projet'!$B$9,Paramètres!$A$1:$I$89,3,0)*0.475*44/12</f>
        <v>1.1126221169036086</v>
      </c>
      <c r="AB198" s="21">
        <f>EXP(-LN(2)/2)*AB197+(1-EXP(-LN(2)/2))/(LN(2)/2)*V198*Y198*VLOOKUP('Données projet'!$B$9,Paramètres!$A$1:$I$89,3,0)*0.475*44/12</f>
        <v>1.9909672724553499E-19</v>
      </c>
      <c r="AC198" s="22">
        <f t="shared" si="163"/>
        <v>12.749631346102321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262.21372546382133</v>
      </c>
      <c r="T199" s="59">
        <f t="shared" si="204"/>
        <v>263.5279690714105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11.408814576088899</v>
      </c>
      <c r="AA199" s="21">
        <f>EXP(-LN(2)/25)*AA198+(1-EXP(-LN(2)/25))/(LN(2)/25)*Calculateur!V199*Calculateur!X199*VLOOKUP('Données projet'!$B$9,Paramètres!$A$1:$I$89,3,0)*0.475*44/12</f>
        <v>1.0821974066066251</v>
      </c>
      <c r="AB199" s="21">
        <f>EXP(-LN(2)/2)*AB198+(1-EXP(-LN(2)/2))/(LN(2)/2)*V199*Y199*VLOOKUP('Données projet'!$B$9,Paramètres!$A$1:$I$89,3,0)*0.475*44/12</f>
        <v>1.4078264594736624E-19</v>
      </c>
      <c r="AC199" s="22">
        <f t="shared" si="163"/>
        <v>12.491011982695523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262.21372546382133</v>
      </c>
      <c r="T200" s="59">
        <f t="shared" si="204"/>
        <v>263.5279690714105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11.185094680941573</v>
      </c>
      <c r="AA200" s="21">
        <f>EXP(-LN(2)/25)*AA199+(1-EXP(-LN(2)/25))/(LN(2)/25)*Calculateur!V200*Calculateur!X200*VLOOKUP('Données projet'!$B$9,Paramètres!$A$1:$I$89,3,0)*0.475*44/12</f>
        <v>1.0526046616126787</v>
      </c>
      <c r="AB200" s="21">
        <f>EXP(-LN(2)/2)*AB199+(1-EXP(-LN(2)/2))/(LN(2)/2)*V200*Y200*VLOOKUP('Données projet'!$B$9,Paramètres!$A$1:$I$89,3,0)*0.475*44/12</f>
        <v>9.9548363622767495E-20</v>
      </c>
      <c r="AC200" s="22">
        <f t="shared" si="163"/>
        <v>12.237699342554251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262.21372546382133</v>
      </c>
      <c r="T201" s="59">
        <f t="shared" si="204"/>
        <v>263.5279690714105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10.965761796482424</v>
      </c>
      <c r="AA201" s="21">
        <f>EXP(-LN(2)/25)*AA200+(1-EXP(-LN(2)/25))/(LN(2)/25)*Calculateur!V201*Calculateur!X201*VLOOKUP('Données projet'!$B$9,Paramètres!$A$1:$I$89,3,0)*0.475*44/12</f>
        <v>1.0238211317868067</v>
      </c>
      <c r="AB201" s="21">
        <f>EXP(-LN(2)/2)*AB200+(1-EXP(-LN(2)/2))/(LN(2)/2)*V201*Y201*VLOOKUP('Données projet'!$B$9,Paramètres!$A$1:$I$89,3,0)*0.475*44/12</f>
        <v>7.0391322973683121E-20</v>
      </c>
      <c r="AC201" s="22">
        <f t="shared" si="163"/>
        <v>11.989582928269231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262.21372546382133</v>
      </c>
      <c r="T202" s="59">
        <f t="shared" si="204"/>
        <v>263.5279690714105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10.75072989610767</v>
      </c>
      <c r="AA202" s="21">
        <f>EXP(-LN(2)/25)*AA201+(1-EXP(-LN(2)/25))/(LN(2)/25)*Calculateur!V202*Calculateur!X202*VLOOKUP('Données projet'!$B$9,Paramètres!$A$1:$I$89,3,0)*0.475*44/12</f>
        <v>0.99582468909768307</v>
      </c>
      <c r="AB202" s="21">
        <f>EXP(-LN(2)/2)*AB201+(1-EXP(-LN(2)/2))/(LN(2)/2)*V202*Y202*VLOOKUP('Données projet'!$B$9,Paramètres!$A$1:$I$89,3,0)*0.475*44/12</f>
        <v>4.9774181811383747E-20</v>
      </c>
      <c r="AC202" s="22">
        <f t="shared" si="163"/>
        <v>11.746554585205352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262.21372546382133</v>
      </c>
      <c r="T203" s="59">
        <f t="shared" si="204"/>
        <v>263.5279690714105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10.539914640142756</v>
      </c>
      <c r="AA203" s="21">
        <f>EXP(-LN(2)/25)*AA202+(1-EXP(-LN(2)/25))/(LN(2)/25)*Calculateur!V203*Calculateur!X203*VLOOKUP('Données projet'!$B$9,Paramètres!$A$1:$I$89,3,0)*0.475*44/12</f>
        <v>0.96859381060616256</v>
      </c>
      <c r="AB203" s="21">
        <f>EXP(-LN(2)/2)*AB202+(1-EXP(-LN(2)/2))/(LN(2)/2)*V203*Y203*VLOOKUP('Données projet'!$B$9,Paramètres!$A$1:$I$89,3,0)*0.475*44/12</f>
        <v>3.5195661486841561E-20</v>
      </c>
      <c r="AC203" s="22">
        <f t="shared" si="163"/>
        <v>11.508508450748918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1.3499594857336181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3.7</v>
      </c>
      <c r="C6" s="147">
        <f ca="1">IF(OR('Données projet'!B9="",'Données projet'!C9="",'Données projet'!C9=0%),0,Calculateur!S3)</f>
        <v>262.21372546382133</v>
      </c>
      <c r="D6" s="147">
        <f>IF(OR('Données projet'!B9="",'Données projet'!C9="",'Données projet'!C9=0%),0,Calculateur!T3)</f>
        <v>263.5279690714105</v>
      </c>
      <c r="E6" s="147">
        <f ca="1">MIN(C6,D6)</f>
        <v>262.21372546382133</v>
      </c>
      <c r="F6" s="147">
        <f ca="1">E6*B6</f>
        <v>970.19078421613904</v>
      </c>
      <c r="G6" s="147">
        <f ca="1">F6*(100%-'Données projet'!$C$24)*(100%-'Données projet'!$C$25)*(100%-'Données projet'!$C$26)*(100%-'Données projet'!$C$27)</f>
        <v>742.19594992534633</v>
      </c>
      <c r="H6" s="148">
        <f>IF(OR('Données projet'!B9="",'Données projet'!C9="",'Données projet'!C9=0%),0,AVERAGE(Calculateur!$AC$3:$AC$33)*B6)</f>
        <v>47.70992499187885</v>
      </c>
      <c r="I6" s="149">
        <f>H6*(100%-'Données projet'!$C$24)*(100%-'Données projet'!$C$25)*(100%-'Données projet'!$C$26)*(100%-'Données projet'!$C$27)</f>
        <v>36.498092618787318</v>
      </c>
      <c r="J6" s="150">
        <f>IF(OR('Données projet'!B9="",'Données projet'!C9="",'Données projet'!C9=0%),0,SUM(Calculateur!$V$3:$V$33)*VLOOKUP('Données projet'!$B$9,Paramètres!$A$1:$I$89,9,0)*B6)</f>
        <v>408.221</v>
      </c>
      <c r="K6" s="151">
        <f>J6*(100%-'Données projet'!$C$24)*(100%-'Données projet'!$C$25)*(100%-'Données projet'!$C$26)*(100%-'Données projet'!$C$27)</f>
        <v>312.28906499999999</v>
      </c>
      <c r="L6" s="152">
        <f ca="1">G6+I6+K6</f>
        <v>1090.9831075441336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970.19078421613904</v>
      </c>
      <c r="G16" s="166">
        <f t="shared" ca="1" si="3"/>
        <v>742.19594992534633</v>
      </c>
      <c r="H16" s="167">
        <f t="shared" si="3"/>
        <v>47.70992499187885</v>
      </c>
      <c r="I16" s="167">
        <f t="shared" si="3"/>
        <v>36.498092618787318</v>
      </c>
      <c r="J16" s="168">
        <f t="shared" si="3"/>
        <v>408.221</v>
      </c>
      <c r="K16" s="168">
        <f t="shared" si="3"/>
        <v>312.28906499999999</v>
      </c>
      <c r="L16" s="169">
        <f t="shared" ca="1" si="3"/>
        <v>1090.9831075441336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0" zoomScale="80" zoomScaleNormal="80" workbookViewId="0">
      <selection activeCell="M22" sqref="M22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0" t="s">
        <v>315</v>
      </c>
      <c r="I4" s="260"/>
      <c r="K4" s="302" t="s">
        <v>253</v>
      </c>
      <c r="L4" s="303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4" t="s">
        <v>310</v>
      </c>
      <c r="S7" s="295"/>
      <c r="T7" s="295"/>
      <c r="U7" s="295"/>
      <c r="V7" s="29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2014.691122972737</v>
      </c>
      <c r="U10" s="178">
        <f>'Données projet'!D9</f>
        <v>3.7</v>
      </c>
      <c r="V10" s="177">
        <f>U10*T10</f>
        <v>7454.3571549991275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5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5"/>
      <c r="H16" s="190"/>
      <c r="I16" s="191"/>
      <c r="J16" s="202"/>
      <c r="K16" s="208"/>
      <c r="L16" s="302" t="s">
        <v>254</v>
      </c>
      <c r="M16" s="303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5"/>
      <c r="J17" s="202"/>
      <c r="K17" s="208"/>
      <c r="L17" s="262" t="s">
        <v>289</v>
      </c>
      <c r="M17" s="264"/>
      <c r="N17" s="175">
        <f>VLOOKUP(N16,Calculateur!$A$2:$H$153,3,0)/VLOOKUP('Scénario référence'!$G$15,Paramètres!A1:I89,3,0)/VLOOKUP('Scénario référence'!$G$15,Paramètres!A1:I89,5,0)</f>
        <v>34.999999999999986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5"/>
      <c r="J18" s="202"/>
      <c r="K18" s="208"/>
      <c r="L18" s="262" t="s">
        <v>255</v>
      </c>
      <c r="M18" s="264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5"/>
      <c r="H19" s="212" t="s">
        <v>178</v>
      </c>
      <c r="I19" s="212" t="s">
        <v>287</v>
      </c>
      <c r="J19" s="93"/>
      <c r="K19" s="173"/>
      <c r="L19" s="302" t="s">
        <v>288</v>
      </c>
      <c r="M19" s="303"/>
      <c r="N19" s="179">
        <f>N17*N18</f>
        <v>874.99999999999966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5"/>
      <c r="H20" s="190">
        <v>1</v>
      </c>
      <c r="I20" s="191">
        <v>2097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thickBo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thickBot="1" x14ac:dyDescent="0.4">
      <c r="A23" s="180">
        <f>'Données projet'!A36</f>
        <v>17</v>
      </c>
      <c r="B23" s="181">
        <f>'Données projet'!D36</f>
        <v>54.71</v>
      </c>
      <c r="C23" s="257">
        <v>10</v>
      </c>
      <c r="D23" s="182">
        <f>B23*C23</f>
        <v>547.1</v>
      </c>
      <c r="E23" s="193">
        <v>350</v>
      </c>
      <c r="F23" s="230"/>
      <c r="H23" s="190"/>
      <c r="I23" s="191"/>
      <c r="K23" s="208"/>
      <c r="L23" s="304" t="s">
        <v>260</v>
      </c>
      <c r="M23" s="304"/>
      <c r="N23" s="304"/>
      <c r="O23" s="23"/>
      <c r="P23" s="23"/>
      <c r="Q23" s="234"/>
      <c r="R23" s="23"/>
      <c r="S23" s="36" t="s">
        <v>264</v>
      </c>
      <c r="T23" s="29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29.572466003911359</v>
      </c>
      <c r="U23" s="299"/>
      <c r="V23" s="29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thickBot="1" x14ac:dyDescent="0.4">
      <c r="A24" s="180">
        <f>'Données projet'!A37</f>
        <v>23</v>
      </c>
      <c r="B24" s="181">
        <f>'Données projet'!D37</f>
        <v>70.33</v>
      </c>
      <c r="C24" s="258">
        <v>15</v>
      </c>
      <c r="D24" s="182">
        <f t="shared" ref="D24:D42" si="2">B24*C24</f>
        <v>1054.95</v>
      </c>
      <c r="E24" s="193">
        <v>350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0">
        <f ca="1">'Scénario référence'!$B$8*$M$30*'Données projet'!$C$5+('Scénario référence'!B9+'Scénario référence'!B10+'Scénario référence'!F8+'Scénario référence'!F9)*$N$19/(1+M4)^N16*'Données projet'!$C$5</f>
        <v>693.64875551946238</v>
      </c>
      <c r="U24" s="300"/>
      <c r="V24" s="30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thickBot="1" x14ac:dyDescent="0.4">
      <c r="A25" s="180">
        <f>'Données projet'!A38</f>
        <v>29</v>
      </c>
      <c r="B25" s="181">
        <f>'Données projet'!D38</f>
        <v>61.96</v>
      </c>
      <c r="C25" s="258">
        <v>18</v>
      </c>
      <c r="D25" s="182">
        <f t="shared" si="2"/>
        <v>1115.28</v>
      </c>
      <c r="E25" s="193">
        <v>350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1">
        <f ca="1">T23-T24</f>
        <v>-664.07628951555103</v>
      </c>
      <c r="U25" s="301"/>
      <c r="V25" s="30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thickBot="1" x14ac:dyDescent="0.4">
      <c r="A26" s="180">
        <f>'Données projet'!A39</f>
        <v>36</v>
      </c>
      <c r="B26" s="181">
        <f>'Données projet'!D39</f>
        <v>83.92</v>
      </c>
      <c r="C26" s="258">
        <v>18</v>
      </c>
      <c r="D26" s="182">
        <f t="shared" si="2"/>
        <v>1510.56</v>
      </c>
      <c r="E26" s="193">
        <v>350</v>
      </c>
      <c r="F26" s="233"/>
      <c r="G26" s="229"/>
      <c r="H26" s="190"/>
      <c r="I26" s="191"/>
      <c r="K26" s="208"/>
      <c r="L26" s="288" t="s">
        <v>258</v>
      </c>
      <c r="M26" s="289"/>
      <c r="N26" s="289"/>
      <c r="O26" s="289"/>
      <c r="P26" s="290"/>
      <c r="Q26" s="234"/>
      <c r="R26" s="23"/>
      <c r="S26" s="186" t="s">
        <v>265</v>
      </c>
      <c r="T26" s="298" t="str">
        <f ca="1">IF(T25&lt;0,"Votre projet est additionnel","Votre projet n'est pas additionnel")</f>
        <v>Votre projet est additionnel</v>
      </c>
      <c r="U26" s="298"/>
      <c r="V26" s="29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thickBot="1" x14ac:dyDescent="0.4">
      <c r="A27" s="180">
        <f>'Données projet'!A40</f>
        <v>44</v>
      </c>
      <c r="B27" s="181">
        <f>'Données projet'!D40</f>
        <v>83.82</v>
      </c>
      <c r="C27" s="258">
        <v>25</v>
      </c>
      <c r="D27" s="182">
        <f t="shared" si="2"/>
        <v>2095.5</v>
      </c>
      <c r="E27" s="193">
        <v>350</v>
      </c>
      <c r="F27" s="233"/>
      <c r="G27" s="229"/>
      <c r="H27" s="190"/>
      <c r="I27" s="191"/>
      <c r="K27" s="208"/>
      <c r="L27" s="291"/>
      <c r="M27" s="292"/>
      <c r="N27" s="292"/>
      <c r="O27" s="292"/>
      <c r="P27" s="293"/>
      <c r="Q27" s="234"/>
      <c r="R27" s="23"/>
      <c r="S27" s="297" t="s">
        <v>267</v>
      </c>
      <c r="T27" s="297"/>
      <c r="U27" s="297"/>
      <c r="V27" s="29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thickBot="1" x14ac:dyDescent="0.4">
      <c r="A28" s="180">
        <f>'Données projet'!A41</f>
        <v>52</v>
      </c>
      <c r="B28" s="181">
        <f>'Données projet'!D41</f>
        <v>80.319999999999993</v>
      </c>
      <c r="C28" s="258">
        <v>25</v>
      </c>
      <c r="D28" s="182">
        <f t="shared" si="2"/>
        <v>2007.9999999999998</v>
      </c>
      <c r="E28" s="193">
        <v>350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ht="15" thickBot="1" x14ac:dyDescent="0.4">
      <c r="A29" s="180">
        <f>'Données projet'!A42</f>
        <v>60</v>
      </c>
      <c r="B29" s="181">
        <f>'Données projet'!D42</f>
        <v>459.55</v>
      </c>
      <c r="C29" s="258">
        <v>25</v>
      </c>
      <c r="D29" s="182">
        <f t="shared" si="2"/>
        <v>11488.75</v>
      </c>
      <c r="E29" s="193">
        <v>350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2024-01-10T09:58:09Z</dcterms:modified>
</cp:coreProperties>
</file>