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29-R-DUCHESNE-BFC(58)-GOTHS-GFLionRouge-StMartinDuPuy3-3ha/"/>
    </mc:Choice>
  </mc:AlternateContent>
  <xr:revisionPtr revIDLastSave="0" documentId="13_ncr:1_{B2B84F50-88A7-A447-8CDD-E1D36E062DE4}" xr6:coauthVersionLast="47" xr6:coauthVersionMax="47" xr10:uidLastSave="{00000000-0000-0000-0000-000000000000}"/>
  <bookViews>
    <workbookView xWindow="0" yWindow="760" windowWidth="19420" windowHeight="103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<sst xmlns="http://schemas.openxmlformats.org/spreadsheetml/2006/main" count="1169" uniqueCount="324">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</sst>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5" zoomScale="80" zoomScaleNormal="80" workbookViewId="0">
      <selection activeCell="C6" sqref="C6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2.76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18</v>
      </c>
      <c r="C9" s="32">
        <v>1</v>
      </c>
      <c r="D9" s="33">
        <f t="shared" ref="D9:D18" si="0">C9*$C$5</f>
        <v>2.76</v>
      </c>
      <c r="E9" s="34">
        <v>65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2.76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Douglas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15</v>
      </c>
      <c r="B36" s="60">
        <v>162</v>
      </c>
      <c r="C36" s="60">
        <v>1</v>
      </c>
      <c r="D36" s="60">
        <v>0</v>
      </c>
      <c r="E36" s="51">
        <v>0</v>
      </c>
      <c r="F36" s="51">
        <v>0.56000000000000005</v>
      </c>
      <c r="G36" s="51">
        <v>0.44</v>
      </c>
      <c r="H36" s="51"/>
      <c r="I36" s="49">
        <f>IFERROR(B36/A36,"")</f>
        <v>10.8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20</v>
      </c>
      <c r="B37" s="60">
        <v>303</v>
      </c>
      <c r="C37" s="60">
        <v>2</v>
      </c>
      <c r="D37" s="60">
        <v>43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28.2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25</v>
      </c>
      <c r="B38" s="60">
        <v>419</v>
      </c>
      <c r="C38" s="60">
        <v>3</v>
      </c>
      <c r="D38" s="60">
        <v>60</v>
      </c>
      <c r="E38" s="51">
        <v>0.4</v>
      </c>
      <c r="F38" s="51">
        <v>0.34</v>
      </c>
      <c r="G38" s="51">
        <v>0.26</v>
      </c>
      <c r="H38" s="51"/>
      <c r="I38" s="53">
        <f t="shared" si="1"/>
        <v>31.8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30</v>
      </c>
      <c r="B39" s="60">
        <v>524</v>
      </c>
      <c r="C39" s="60">
        <v>4</v>
      </c>
      <c r="D39" s="60">
        <v>90</v>
      </c>
      <c r="E39" s="51">
        <v>0.5</v>
      </c>
      <c r="F39" s="51">
        <v>0.28000000000000003</v>
      </c>
      <c r="G39" s="51">
        <v>0.22</v>
      </c>
      <c r="H39" s="51"/>
      <c r="I39" s="49">
        <f t="shared" si="1"/>
        <v>33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35</v>
      </c>
      <c r="B40" s="60">
        <v>576</v>
      </c>
      <c r="C40" s="60">
        <v>5</v>
      </c>
      <c r="D40" s="60">
        <v>72</v>
      </c>
      <c r="E40" s="51">
        <v>0.6</v>
      </c>
      <c r="F40" s="51">
        <v>0.22</v>
      </c>
      <c r="G40" s="51">
        <v>0.18</v>
      </c>
      <c r="H40" s="51"/>
      <c r="I40" s="49">
        <f t="shared" si="1"/>
        <v>28.4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40</v>
      </c>
      <c r="B41" s="60">
        <v>639</v>
      </c>
      <c r="C41" s="60">
        <v>6</v>
      </c>
      <c r="D41" s="60">
        <v>77</v>
      </c>
      <c r="E41" s="51">
        <v>0.7</v>
      </c>
      <c r="F41" s="51">
        <v>0.17</v>
      </c>
      <c r="G41" s="51">
        <v>0.13</v>
      </c>
      <c r="H41" s="51"/>
      <c r="I41" s="53">
        <f t="shared" si="1"/>
        <v>27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45</v>
      </c>
      <c r="B42" s="60">
        <v>686</v>
      </c>
      <c r="C42" s="60">
        <v>7</v>
      </c>
      <c r="D42" s="60">
        <v>64</v>
      </c>
      <c r="E42" s="51">
        <v>0.8</v>
      </c>
      <c r="F42" s="51">
        <v>0.11</v>
      </c>
      <c r="G42" s="51">
        <v>0.09</v>
      </c>
      <c r="H42" s="51"/>
      <c r="I42" s="53">
        <f t="shared" si="1"/>
        <v>24.8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50</v>
      </c>
      <c r="B43" s="60">
        <v>724</v>
      </c>
      <c r="C43" s="60">
        <v>8</v>
      </c>
      <c r="D43" s="60">
        <v>62</v>
      </c>
      <c r="E43" s="51">
        <v>0.9</v>
      </c>
      <c r="F43" s="51">
        <v>0.06</v>
      </c>
      <c r="G43" s="51">
        <v>0.04</v>
      </c>
      <c r="H43" s="51"/>
      <c r="I43" s="49">
        <f t="shared" si="1"/>
        <v>20.399999999999999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55</v>
      </c>
      <c r="B44" s="60">
        <v>739</v>
      </c>
      <c r="C44" s="60">
        <v>9</v>
      </c>
      <c r="D44" s="60">
        <v>46</v>
      </c>
      <c r="E44" s="51">
        <v>0.9</v>
      </c>
      <c r="F44" s="51">
        <v>0.06</v>
      </c>
      <c r="G44" s="51">
        <v>0.04</v>
      </c>
      <c r="H44" s="51"/>
      <c r="I44" s="49">
        <f t="shared" si="1"/>
        <v>15.4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60</v>
      </c>
      <c r="B45" s="60">
        <v>754</v>
      </c>
      <c r="C45" s="60">
        <v>10</v>
      </c>
      <c r="D45" s="60">
        <v>35</v>
      </c>
      <c r="E45" s="51">
        <v>0.9</v>
      </c>
      <c r="F45" s="51">
        <v>0.06</v>
      </c>
      <c r="G45" s="51">
        <v>0.04</v>
      </c>
      <c r="H45" s="51"/>
      <c r="I45" s="49">
        <f t="shared" si="1"/>
        <v>12.2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65</v>
      </c>
      <c r="B46" s="60">
        <v>769</v>
      </c>
      <c r="C46" s="60">
        <v>11</v>
      </c>
      <c r="D46" s="60">
        <v>769</v>
      </c>
      <c r="E46" s="51">
        <v>0.9</v>
      </c>
      <c r="F46" s="51">
        <v>0.06</v>
      </c>
      <c r="G46" s="51">
        <v>0.04</v>
      </c>
      <c r="H46" s="51"/>
      <c r="I46" s="49">
        <f t="shared" si="1"/>
        <v>10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15"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Douglas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486.22495915819474</v>
      </c>
      <c r="T3" s="59">
        <f>IF('Données projet'!E9&gt;30,$R$33-$H$33,LOOKUP('Données projet'!$E$9,$A$3:$A$203,R3:R203)-LOOKUP('Données projet'!$E$9,$A$3:$A$203,$H$3:$H$203))</f>
        <v>593.51433014569966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10.8</v>
      </c>
      <c r="N4" s="13">
        <f>IF('Données projet'!$A$36&gt;35,N3+M4-V3,IF(A4&lt;'Données projet'!$A$36,$K$205^A4,IF(A4='Données projet'!$A$36,'Données projet'!$B$36,N3+M4-V3)))</f>
        <v>1.4037863041747067</v>
      </c>
      <c r="O4" s="13">
        <f>N4*VLOOKUP('Données projet'!$B$9,Paramètres!$A$1:$I$89,3,0)*VLOOKUP('Données projet'!$B$9,Paramètres!$A$1:$I$89,5,0)</f>
        <v>0.78471654403366109</v>
      </c>
      <c r="P4" s="13">
        <f>EXP(-1.0587+0.8836*LN(O4)+0.284)</f>
        <v>0.37198061042729702</v>
      </c>
      <c r="Q4" s="20">
        <f t="shared" ref="Q4:Q34" si="2">(O4+P4)*0.475*44/12</f>
        <v>2.0145808773528358</v>
      </c>
      <c r="R4" s="59">
        <f t="shared" si="0"/>
        <v>295.34791421068616</v>
      </c>
      <c r="S4" s="59">
        <f ca="1">AVERAGE(OFFSET($R$3,0,0,'Données projet'!$E$9+1,1))-AVERAGE(OFFSET($H$3,0,0,'Données projet'!$E$9+1,1))</f>
        <v>486.22495915819474</v>
      </c>
      <c r="T4" s="59">
        <f>$T$3</f>
        <v>593.51433014569966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10.8</v>
      </c>
      <c r="N5" s="13">
        <f>IF('Données projet'!$A$36&gt;35,N4+M5-V4,IF(A5&lt;'Données projet'!$A$36,$K$205^A5,IF(A5='Données projet'!$A$36,'Données projet'!$B$36,N4+M5-V4)))</f>
        <v>1.9706159877884823</v>
      </c>
      <c r="O5" s="13">
        <f>N5*VLOOKUP('Données projet'!$B$9,Paramètres!$A$1:$I$89,3,0)*VLOOKUP('Données projet'!$B$9,Paramètres!$A$1:$I$89,5,0)</f>
        <v>1.1015743371737616</v>
      </c>
      <c r="P5" s="13">
        <f t="shared" ref="P5:P68" si="33">EXP(-1.0587+0.8836*LN(O5)+0.284)</f>
        <v>0.50196734705126034</v>
      </c>
      <c r="Q5" s="20">
        <f t="shared" si="2"/>
        <v>2.7928351000252465</v>
      </c>
      <c r="R5" s="59">
        <f t="shared" si="0"/>
        <v>296.12616843335854</v>
      </c>
      <c r="S5" s="59">
        <f ca="1">AVERAGE(OFFSET($R$3,0,0,'Données projet'!$E$9+1,1))-AVERAGE(OFFSET($H$3,0,0,'Données projet'!$E$9+1,1))</f>
        <v>486.22495915819474</v>
      </c>
      <c r="T5" s="59">
        <f t="shared" ref="T5:T68" si="34">$T$3</f>
        <v>593.51433014569966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10.8</v>
      </c>
      <c r="N6" s="13">
        <f>IF('Données projet'!$A$36&gt;35,N5+M6-V5,IF(A6&lt;'Données projet'!$A$36,$K$205^A6,IF(A6='Données projet'!$A$36,'Données projet'!$B$36,N5+M6-V5)))</f>
        <v>2.7663237344451828</v>
      </c>
      <c r="O6" s="13">
        <f>N6*VLOOKUP('Données projet'!$B$9,Paramètres!$A$1:$I$89,3,0)*VLOOKUP('Données projet'!$B$9,Paramètres!$A$1:$I$89,5,0)</f>
        <v>1.5463749675548573</v>
      </c>
      <c r="P6" s="13">
        <f t="shared" si="33"/>
        <v>0.6773772891448272</v>
      </c>
      <c r="Q6" s="20">
        <f t="shared" si="2"/>
        <v>3.8730351804186167</v>
      </c>
      <c r="R6" s="59">
        <f t="shared" si="0"/>
        <v>297.20636851375195</v>
      </c>
      <c r="S6" s="59">
        <f ca="1">AVERAGE(OFFSET($R$3,0,0,'Données projet'!$E$9+1,1))-AVERAGE(OFFSET($H$3,0,0,'Données projet'!$E$9+1,1))</f>
        <v>486.22495915819474</v>
      </c>
      <c r="T6" s="59">
        <f t="shared" si="34"/>
        <v>593.51433014569966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10.8</v>
      </c>
      <c r="N7" s="13">
        <f>IF('Données projet'!$A$36&gt;35,N6+M7-V6,IF(A7&lt;'Données projet'!$A$36,$K$205^A7,IF(A7='Données projet'!$A$36,'Données projet'!$B$36,N6+M7-V6)))</f>
        <v>3.8833273713275762</v>
      </c>
      <c r="O7" s="13">
        <f>N7*VLOOKUP('Données projet'!$B$9,Paramètres!$A$1:$I$89,3,0)*VLOOKUP('Données projet'!$B$9,Paramètres!$A$1:$I$89,5,0)</f>
        <v>2.170780000572115</v>
      </c>
      <c r="P7" s="13">
        <f t="shared" si="33"/>
        <v>0.91408334535022773</v>
      </c>
      <c r="Q7" s="20">
        <f t="shared" si="2"/>
        <v>5.3728036608147471</v>
      </c>
      <c r="R7" s="59">
        <f t="shared" si="0"/>
        <v>298.70613699414804</v>
      </c>
      <c r="S7" s="59">
        <f ca="1">AVERAGE(OFFSET($R$3,0,0,'Données projet'!$E$9+1,1))-AVERAGE(OFFSET($H$3,0,0,'Données projet'!$E$9+1,1))</f>
        <v>486.22495915819474</v>
      </c>
      <c r="T7" s="59">
        <f t="shared" si="34"/>
        <v>593.51433014569966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10.8</v>
      </c>
      <c r="N8" s="13">
        <f>IF('Données projet'!$A$36&gt;35,N7+M8-V7,IF(A8&lt;'Données projet'!$A$36,$K$205^A8,IF(A8='Données projet'!$A$36,'Données projet'!$B$36,N7+M8-V7)))</f>
        <v>5.451361778496417</v>
      </c>
      <c r="O8" s="13">
        <f>N8*VLOOKUP('Données projet'!$B$9,Paramètres!$A$1:$I$89,3,0)*VLOOKUP('Données projet'!$B$9,Paramètres!$A$1:$I$89,5,0)</f>
        <v>3.0473112341794972</v>
      </c>
      <c r="P8" s="13">
        <f t="shared" si="33"/>
        <v>1.2335051316844765</v>
      </c>
      <c r="Q8" s="20">
        <f t="shared" si="2"/>
        <v>7.4557551705464205</v>
      </c>
      <c r="R8" s="59">
        <f t="shared" si="0"/>
        <v>300.78908850387973</v>
      </c>
      <c r="S8" s="59">
        <f ca="1">AVERAGE(OFFSET($R$3,0,0,'Données projet'!$E$9+1,1))-AVERAGE(OFFSET($H$3,0,0,'Données projet'!$E$9+1,1))</f>
        <v>486.22495915819474</v>
      </c>
      <c r="T8" s="59">
        <f t="shared" si="34"/>
        <v>593.51433014569966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10.8</v>
      </c>
      <c r="N9" s="13">
        <f>IF('Données projet'!$A$36&gt;35,N8+M9-V8,IF(A9&lt;'Données projet'!$A$36,$K$205^A9,IF(A9='Données projet'!$A$36,'Données projet'!$B$36,N8+M9-V8)))</f>
        <v>7.6525470037547425</v>
      </c>
      <c r="O9" s="13">
        <f>N9*VLOOKUP('Données projet'!$B$9,Paramètres!$A$1:$I$89,3,0)*VLOOKUP('Données projet'!$B$9,Paramètres!$A$1:$I$89,5,0)</f>
        <v>4.2777737750989013</v>
      </c>
      <c r="P9" s="13">
        <f t="shared" si="33"/>
        <v>1.6645472402836166</v>
      </c>
      <c r="Q9" s="20">
        <f t="shared" si="2"/>
        <v>10.349542435124553</v>
      </c>
      <c r="R9" s="59">
        <f t="shared" si="0"/>
        <v>303.68287576845785</v>
      </c>
      <c r="S9" s="59">
        <f ca="1">AVERAGE(OFFSET($R$3,0,0,'Données projet'!$E$9+1,1))-AVERAGE(OFFSET($H$3,0,0,'Données projet'!$E$9+1,1))</f>
        <v>486.22495915819474</v>
      </c>
      <c r="T9" s="59">
        <f t="shared" si="34"/>
        <v>593.51433014569966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10.8</v>
      </c>
      <c r="N10" s="13">
        <f>IF('Données projet'!$A$36&gt;35,N9+M10-V9,IF(A10&lt;'Données projet'!$A$36,$K$205^A10,IF(A10='Données projet'!$A$36,'Données projet'!$B$36,N9+M10-V9)))</f>
        <v>10.742540675924095</v>
      </c>
      <c r="O10" s="13">
        <f>N10*VLOOKUP('Données projet'!$B$9,Paramètres!$A$1:$I$89,3,0)*VLOOKUP('Données projet'!$B$9,Paramètres!$A$1:$I$89,5,0)</f>
        <v>6.0050802378415691</v>
      </c>
      <c r="P10" s="13">
        <f t="shared" si="33"/>
        <v>2.2462148263235089</v>
      </c>
      <c r="Q10" s="20">
        <f t="shared" si="2"/>
        <v>14.37100557008751</v>
      </c>
      <c r="R10" s="59">
        <f t="shared" si="0"/>
        <v>307.70433890342082</v>
      </c>
      <c r="S10" s="59">
        <f ca="1">AVERAGE(OFFSET($R$3,0,0,'Données projet'!$E$9+1,1))-AVERAGE(OFFSET($H$3,0,0,'Données projet'!$E$9+1,1))</f>
        <v>486.22495915819474</v>
      </c>
      <c r="T10" s="59">
        <f t="shared" si="34"/>
        <v>593.51433014569966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10.8</v>
      </c>
      <c r="N11" s="13">
        <f>IF('Données projet'!$A$36&gt;35,N10+M11-V10,IF(A11&lt;'Données projet'!$A$36,$K$205^A11,IF(A11='Données projet'!$A$36,'Données projet'!$B$36,N10+M11-V10)))</f>
        <v>15.080231472901943</v>
      </c>
      <c r="O11" s="13">
        <f>N11*VLOOKUP('Données projet'!$B$9,Paramètres!$A$1:$I$89,3,0)*VLOOKUP('Données projet'!$B$9,Paramètres!$A$1:$I$89,5,0)</f>
        <v>8.4298493933521872</v>
      </c>
      <c r="P11" s="13">
        <f t="shared" si="33"/>
        <v>3.0311431985167756</v>
      </c>
      <c r="Q11" s="20">
        <f t="shared" si="2"/>
        <v>19.961228764171775</v>
      </c>
      <c r="R11" s="59">
        <f t="shared" si="0"/>
        <v>313.29456209750509</v>
      </c>
      <c r="S11" s="59">
        <f ca="1">AVERAGE(OFFSET($R$3,0,0,'Données projet'!$E$9+1,1))-AVERAGE(OFFSET($H$3,0,0,'Données projet'!$E$9+1,1))</f>
        <v>486.22495915819474</v>
      </c>
      <c r="T11" s="59">
        <f t="shared" si="34"/>
        <v>593.51433014569966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10.8</v>
      </c>
      <c r="N12" s="13">
        <f>IF('Données projet'!$A$36&gt;35,N11+M12-V11,IF(A12&lt;'Données projet'!$A$36,$K$205^A12,IF(A12='Données projet'!$A$36,'Données projet'!$B$36,N11+M12-V11)))</f>
        <v>21.169422405444113</v>
      </c>
      <c r="O12" s="13">
        <f>N12*VLOOKUP('Données projet'!$B$9,Paramètres!$A$1:$I$89,3,0)*VLOOKUP('Données projet'!$B$9,Paramètres!$A$1:$I$89,5,0)</f>
        <v>11.83370712464326</v>
      </c>
      <c r="P12" s="13">
        <f t="shared" si="33"/>
        <v>4.0903608070972819</v>
      </c>
      <c r="Q12" s="20">
        <f t="shared" si="2"/>
        <v>27.734418314448106</v>
      </c>
      <c r="R12" s="59">
        <f t="shared" si="0"/>
        <v>321.06775164778139</v>
      </c>
      <c r="S12" s="59">
        <f ca="1">AVERAGE(OFFSET($R$3,0,0,'Données projet'!$E$9+1,1))-AVERAGE(OFFSET($H$3,0,0,'Données projet'!$E$9+1,1))</f>
        <v>486.22495915819474</v>
      </c>
      <c r="T12" s="59">
        <f t="shared" si="34"/>
        <v>593.51433014569966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10.8</v>
      </c>
      <c r="N13" s="13">
        <f>IF('Données projet'!$A$36&gt;35,N12+M13-V12,IF(A13&lt;'Données projet'!$A$36,$K$205^A13,IF(A13='Données projet'!$A$36,'Données projet'!$B$36,N12+M13-V12)))</f>
        <v>29.717345240051621</v>
      </c>
      <c r="O13" s="13">
        <f>N13*VLOOKUP('Données projet'!$B$9,Paramètres!$A$1:$I$89,3,0)*VLOOKUP('Données projet'!$B$9,Paramètres!$A$1:$I$89,5,0)</f>
        <v>16.611995989188856</v>
      </c>
      <c r="P13" s="13">
        <f t="shared" si="33"/>
        <v>5.5197166337850669</v>
      </c>
      <c r="Q13" s="20">
        <f t="shared" si="2"/>
        <v>38.546066151679575</v>
      </c>
      <c r="R13" s="59">
        <f t="shared" si="0"/>
        <v>331.87939948501287</v>
      </c>
      <c r="S13" s="59">
        <f ca="1">AVERAGE(OFFSET($R$3,0,0,'Données projet'!$E$9+1,1))-AVERAGE(OFFSET($H$3,0,0,'Données projet'!$E$9+1,1))</f>
        <v>486.22495915819474</v>
      </c>
      <c r="T13" s="59">
        <f t="shared" si="34"/>
        <v>593.51433014569966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10.8</v>
      </c>
      <c r="N14" s="13">
        <f>IF('Données projet'!$A$36&gt;35,N13+M14-V13,IF(A14&lt;'Données projet'!$A$36,$K$205^A14,IF(A14='Données projet'!$A$36,'Données projet'!$B$36,N13+M14-V13)))</f>
        <v>41.716802244415881</v>
      </c>
      <c r="O14" s="13">
        <f>N14*VLOOKUP('Données projet'!$B$9,Paramètres!$A$1:$I$89,3,0)*VLOOKUP('Données projet'!$B$9,Paramètres!$A$1:$I$89,5,0)</f>
        <v>23.319692454628481</v>
      </c>
      <c r="P14" s="13">
        <f t="shared" si="33"/>
        <v>7.4485536005574575</v>
      </c>
      <c r="Q14" s="20">
        <f t="shared" si="2"/>
        <v>53.58802854611551</v>
      </c>
      <c r="R14" s="59">
        <f t="shared" si="0"/>
        <v>346.9213618794488</v>
      </c>
      <c r="S14" s="59">
        <f ca="1">AVERAGE(OFFSET($R$3,0,0,'Données projet'!$E$9+1,1))-AVERAGE(OFFSET($H$3,0,0,'Données projet'!$E$9+1,1))</f>
        <v>486.22495915819474</v>
      </c>
      <c r="T14" s="59">
        <f t="shared" si="34"/>
        <v>593.51433014569966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10.8</v>
      </c>
      <c r="N15" s="13">
        <f>IF('Données projet'!$A$36&gt;35,N14+M15-V14,IF(A15&lt;'Données projet'!$A$36,$K$205^A15,IF(A15='Données projet'!$A$36,'Données projet'!$B$36,N14+M15-V14)))</f>
        <v>58.561475644675681</v>
      </c>
      <c r="O15" s="13">
        <f>N15*VLOOKUP('Données projet'!$B$9,Paramètres!$A$1:$I$89,3,0)*VLOOKUP('Données projet'!$B$9,Paramètres!$A$1:$I$89,5,0)</f>
        <v>32.735864885373708</v>
      </c>
      <c r="P15" s="13">
        <f t="shared" si="33"/>
        <v>10.051412857100269</v>
      </c>
      <c r="Q15" s="20">
        <f t="shared" si="2"/>
        <v>74.521175401475503</v>
      </c>
      <c r="R15" s="59">
        <f t="shared" si="0"/>
        <v>367.8545087348088</v>
      </c>
      <c r="S15" s="59">
        <f ca="1">AVERAGE(OFFSET($R$3,0,0,'Données projet'!$E$9+1,1))-AVERAGE(OFFSET($H$3,0,0,'Données projet'!$E$9+1,1))</f>
        <v>486.22495915819474</v>
      </c>
      <c r="T15" s="59">
        <f t="shared" si="34"/>
        <v>593.51433014569966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10.8</v>
      </c>
      <c r="N16" s="13">
        <f>IF('Données projet'!$A$36&gt;35,N15+M16-V15,IF(A16&lt;'Données projet'!$A$36,$K$205^A16,IF(A16='Données projet'!$A$36,'Données projet'!$B$36,N15+M16-V15)))</f>
        <v>82.20779746225638</v>
      </c>
      <c r="O16" s="13">
        <f>N16*VLOOKUP('Données projet'!$B$9,Paramètres!$A$1:$I$89,3,0)*VLOOKUP('Données projet'!$B$9,Paramètres!$A$1:$I$89,5,0)</f>
        <v>45.954158781401318</v>
      </c>
      <c r="P16" s="13">
        <f t="shared" si="33"/>
        <v>13.563828072113143</v>
      </c>
      <c r="Q16" s="20">
        <f t="shared" si="2"/>
        <v>103.66049376987102</v>
      </c>
      <c r="R16" s="59">
        <f t="shared" si="0"/>
        <v>396.99382710320435</v>
      </c>
      <c r="S16" s="59">
        <f ca="1">AVERAGE(OFFSET($R$3,0,0,'Données projet'!$E$9+1,1))-AVERAGE(OFFSET($H$3,0,0,'Données projet'!$E$9+1,1))</f>
        <v>486.22495915819474</v>
      </c>
      <c r="T16" s="59">
        <f t="shared" si="34"/>
        <v>593.51433014569966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10.8</v>
      </c>
      <c r="N17" s="13">
        <f>IF('Données projet'!$A$36&gt;35,N16+M17-V16,IF(A17&lt;'Données projet'!$A$36,$K$205^A17,IF(A17='Données projet'!$A$36,'Données projet'!$B$36,N16+M17-V16)))</f>
        <v>115.40218017388374</v>
      </c>
      <c r="O17" s="13">
        <f>N17*VLOOKUP('Données projet'!$B$9,Paramètres!$A$1:$I$89,3,0)*VLOOKUP('Données projet'!$B$9,Paramètres!$A$1:$I$89,5,0)</f>
        <v>64.509818717201014</v>
      </c>
      <c r="P17" s="13">
        <f t="shared" si="33"/>
        <v>18.303638959560171</v>
      </c>
      <c r="Q17" s="20">
        <f t="shared" si="2"/>
        <v>144.23343878702573</v>
      </c>
      <c r="R17" s="59">
        <f t="shared" si="0"/>
        <v>437.56677212035902</v>
      </c>
      <c r="S17" s="59">
        <f ca="1">AVERAGE(OFFSET($R$3,0,0,'Données projet'!$E$9+1,1))-AVERAGE(OFFSET($H$3,0,0,'Données projet'!$E$9+1,1))</f>
        <v>486.22495915819474</v>
      </c>
      <c r="T17" s="59">
        <f t="shared" si="34"/>
        <v>593.51433014569966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162</v>
      </c>
      <c r="L18" s="12">
        <f>VLOOKUP(A18,'Données projet'!$A$35:$I$55,9,0)</f>
        <v>10.8</v>
      </c>
      <c r="M18" s="12">
        <f t="array" ref="M18">INDEX(L:L,MIN(IF(ISNUMBER(L18:L214),ROW(L18:L214),"")))</f>
        <v>10.8</v>
      </c>
      <c r="N18" s="13">
        <f>IF('Données projet'!$A$36&gt;35,N17+M18-V17,IF(A18&lt;'Données projet'!$A$36,$K$205^A18,IF(A18='Données projet'!$A$36,'Données projet'!$B$36,N17+M18-V17)))</f>
        <v>162</v>
      </c>
      <c r="O18" s="13">
        <f>N18*VLOOKUP('Données projet'!$B$9,Paramètres!$A$1:$I$89,3,0)*VLOOKUP('Données projet'!$B$9,Paramètres!$A$1:$I$89,5,0)</f>
        <v>90.557999999999993</v>
      </c>
      <c r="P18" s="13">
        <f t="shared" si="33"/>
        <v>24.699752708509138</v>
      </c>
      <c r="Q18" s="20">
        <f t="shared" si="2"/>
        <v>200.74058596732007</v>
      </c>
      <c r="R18" s="59">
        <f t="shared" si="0"/>
        <v>494.07391930065342</v>
      </c>
      <c r="S18" s="59">
        <f ca="1">AVERAGE(OFFSET($R$3,0,0,'Données projet'!$E$9+1,1))-AVERAGE(OFFSET($H$3,0,0,'Données projet'!$E$9+1,1))</f>
        <v>486.22495915819474</v>
      </c>
      <c r="T18" s="59">
        <f t="shared" si="34"/>
        <v>593.51433014569966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0.30800000000000005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28.2</v>
      </c>
      <c r="N19" s="13">
        <f>IF('Données projet'!$A$36&gt;35,N18+M19-V18,IF(A19&lt;'Données projet'!$A$36,$K$205^A19,IF(A19='Données projet'!$A$36,'Données projet'!$B$36,N18+M19-V18)))</f>
        <v>190.2</v>
      </c>
      <c r="O19" s="13">
        <f>N19*VLOOKUP('Données projet'!$B$9,Paramètres!$A$1:$I$89,3,0)*VLOOKUP('Données projet'!$B$9,Paramètres!$A$1:$I$89,5,0)</f>
        <v>106.32179999999998</v>
      </c>
      <c r="P19" s="13">
        <f t="shared" si="33"/>
        <v>28.462664081653866</v>
      </c>
      <c r="Q19" s="20">
        <f t="shared" si="2"/>
        <v>234.7496082755471</v>
      </c>
      <c r="R19" s="59">
        <f t="shared" si="0"/>
        <v>528.08294160888045</v>
      </c>
      <c r="S19" s="59">
        <f ca="1">AVERAGE(OFFSET($R$3,0,0,'Données projet'!$E$9+1,1))-AVERAGE(OFFSET($H$3,0,0,'Données projet'!$E$9+1,1))</f>
        <v>486.22495915819474</v>
      </c>
      <c r="T19" s="59">
        <f t="shared" si="34"/>
        <v>593.51433014569966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28.2</v>
      </c>
      <c r="N20" s="13">
        <f>IF('Données projet'!$A$36&gt;35,N19+M20-V19,IF(A20&lt;'Données projet'!$A$36,$K$205^A20,IF(A20='Données projet'!$A$36,'Données projet'!$B$36,N19+M20-V19)))</f>
        <v>218.39999999999998</v>
      </c>
      <c r="O20" s="13">
        <f>N20*VLOOKUP('Données projet'!$B$9,Paramètres!$A$1:$I$89,3,0)*VLOOKUP('Données projet'!$B$9,Paramètres!$A$1:$I$89,5,0)</f>
        <v>122.0856</v>
      </c>
      <c r="P20" s="13">
        <f t="shared" si="33"/>
        <v>32.160942364346717</v>
      </c>
      <c r="Q20" s="20">
        <f t="shared" si="2"/>
        <v>268.64606128457052</v>
      </c>
      <c r="R20" s="59">
        <f t="shared" si="0"/>
        <v>561.97939461790384</v>
      </c>
      <c r="S20" s="59">
        <f ca="1">AVERAGE(OFFSET($R$3,0,0,'Données projet'!$E$9+1,1))-AVERAGE(OFFSET($H$3,0,0,'Données projet'!$E$9+1,1))</f>
        <v>486.22495915819474</v>
      </c>
      <c r="T20" s="59">
        <f t="shared" si="34"/>
        <v>593.51433014569966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28.2</v>
      </c>
      <c r="N21" s="13">
        <f>IF('Données projet'!$A$36&gt;35,N20+M21-V20,IF(A21&lt;'Données projet'!$A$36,$K$205^A21,IF(A21='Données projet'!$A$36,'Données projet'!$B$36,N20+M21-V20)))</f>
        <v>246.59999999999997</v>
      </c>
      <c r="O21" s="13">
        <f>N21*VLOOKUP('Données projet'!$B$9,Paramètres!$A$1:$I$89,3,0)*VLOOKUP('Données projet'!$B$9,Paramètres!$A$1:$I$89,5,0)</f>
        <v>137.84939999999997</v>
      </c>
      <c r="P21" s="13">
        <f t="shared" si="33"/>
        <v>35.803890229822542</v>
      </c>
      <c r="Q21" s="20">
        <f t="shared" si="2"/>
        <v>302.44614715027416</v>
      </c>
      <c r="R21" s="59">
        <f t="shared" si="0"/>
        <v>595.77948048360747</v>
      </c>
      <c r="S21" s="59">
        <f ca="1">AVERAGE(OFFSET($R$3,0,0,'Données projet'!$E$9+1,1))-AVERAGE(OFFSET($H$3,0,0,'Données projet'!$E$9+1,1))</f>
        <v>486.22495915819474</v>
      </c>
      <c r="T21" s="59">
        <f t="shared" si="34"/>
        <v>593.51433014569966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28.2</v>
      </c>
      <c r="N22" s="13">
        <f>IF('Données projet'!$A$36&gt;35,N21+M22-V21,IF(A22&lt;'Données projet'!$A$36,$K$205^A22,IF(A22='Données projet'!$A$36,'Données projet'!$B$36,N21+M22-V21)))</f>
        <v>274.79999999999995</v>
      </c>
      <c r="O22" s="13">
        <f>N22*VLOOKUP('Données projet'!$B$9,Paramètres!$A$1:$I$89,3,0)*VLOOKUP('Données projet'!$B$9,Paramètres!$A$1:$I$89,5,0)</f>
        <v>153.61319999999998</v>
      </c>
      <c r="P22" s="13">
        <f t="shared" si="33"/>
        <v>39.398557339898318</v>
      </c>
      <c r="Q22" s="20">
        <f t="shared" si="2"/>
        <v>336.16214403365615</v>
      </c>
      <c r="R22" s="59">
        <f t="shared" si="0"/>
        <v>629.49547736698946</v>
      </c>
      <c r="S22" s="59">
        <f ca="1">AVERAGE(OFFSET($R$3,0,0,'Données projet'!$E$9+1,1))-AVERAGE(OFFSET($H$3,0,0,'Données projet'!$E$9+1,1))</f>
        <v>486.22495915819474</v>
      </c>
      <c r="T22" s="59">
        <f t="shared" si="34"/>
        <v>593.51433014569966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303</v>
      </c>
      <c r="L23" s="12">
        <f>VLOOKUP(A23,'Données projet'!$A$35:$I$55,9,0)</f>
        <v>28.2</v>
      </c>
      <c r="M23" s="12">
        <f t="array" ref="M23">INDEX(L:L,MIN(IF(ISNUMBER(L23:L219),ROW(L23:L219),"")))</f>
        <v>28.2</v>
      </c>
      <c r="N23" s="13">
        <f>IF('Données projet'!$A$36&gt;35,N22+M23-V22,IF(A23&lt;'Données projet'!$A$36,$K$205^A23,IF(A23='Données projet'!$A$36,'Données projet'!$B$36,N22+M23-V22)))</f>
        <v>302.99999999999994</v>
      </c>
      <c r="O23" s="13">
        <f>N23*VLOOKUP('Données projet'!$B$9,Paramètres!$A$1:$I$89,3,0)*VLOOKUP('Données projet'!$B$9,Paramètres!$A$1:$I$89,5,0)</f>
        <v>169.37699999999995</v>
      </c>
      <c r="P23" s="13">
        <f t="shared" si="33"/>
        <v>42.950462509094685</v>
      </c>
      <c r="Q23" s="20">
        <f t="shared" si="2"/>
        <v>369.80366387000646</v>
      </c>
      <c r="R23" s="59">
        <f t="shared" si="0"/>
        <v>663.13699720333977</v>
      </c>
      <c r="S23" s="59">
        <f ca="1">AVERAGE(OFFSET($R$3,0,0,'Données projet'!$E$9+1,1))-AVERAGE(OFFSET($H$3,0,0,'Données projet'!$E$9+1,1))</f>
        <v>486.22495915819474</v>
      </c>
      <c r="T23" s="59">
        <f t="shared" si="34"/>
        <v>593.51433014569966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43</v>
      </c>
      <c r="W23" s="16">
        <f>IF(ISNA(VLOOKUP(A23,'Données projet'!$A$35:$I$55,5,0)),0%,VLOOKUP(A23,'Données projet'!$A$35:$I$55,5,0)*VLOOKUP('Données projet'!$B$9,Paramètres!$A$1:$I$89,7,0))</f>
        <v>0.11000000000000001</v>
      </c>
      <c r="X23" s="16">
        <f>IF(ISNA(VLOOKUP(A23,'Données projet'!$A$35:$I$55,6,0)),0%,VLOOKUP(A23,'Données projet'!$A$35:$I$55,6,0)*VLOOKUP('Données projet'!$B$9,Paramètres!$A$1:$I$89,7,0))</f>
        <v>0.24750000000000003</v>
      </c>
      <c r="Y23" s="16">
        <f>IF(ISNA(VLOOKUP(A23,'Données projet'!$A$35:$I$55,7,0)),0%,VLOOKUP(A23,'Données projet'!$A$35:$I$55,7,0))</f>
        <v>0.35</v>
      </c>
      <c r="Z23" s="21">
        <f>EXP(-LN(2)/35)*Z22+(1-EXP(-LN(2)/35))/(LN(2)/35)*V23*W23*VLOOKUP('Données projet'!$B$9,Paramètres!$A$1:$I$89,3,0)*0.475*44/12</f>
        <v>3.5075292796940247</v>
      </c>
      <c r="AA23" s="21">
        <f>EXP(-LN(2)/25)*AA22+(1-EXP(-LN(2)/25))/(LN(2)/25)*Calculateur!V23*Calculateur!X23*VLOOKUP('Données projet'!$B$9,Paramètres!$A$1:$I$89,3,0)*0.475*44/12</f>
        <v>7.8608673010044825</v>
      </c>
      <c r="AB23" s="21">
        <f>EXP(-LN(2)/2)*AB22+(1-EXP(-LN(2)/2))/(LN(2)/2)*V23*Y23*VLOOKUP('Données projet'!$B$9,Paramètres!$A$1:$I$89,3,0)*0.475*44/12</f>
        <v>9.5254137074752805</v>
      </c>
      <c r="AC23" s="22">
        <f t="shared" si="3"/>
        <v>20.893810288173789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31.8</v>
      </c>
      <c r="N24" s="13">
        <f>IF('Données projet'!$A$36&gt;35,N23+M24-V23,IF(A24&lt;'Données projet'!$A$36,$K$205^A24,IF(A24='Données projet'!$A$36,'Données projet'!$B$36,N23+M24-V23)))</f>
        <v>291.79999999999995</v>
      </c>
      <c r="O24" s="13">
        <f>N24*VLOOKUP('Données projet'!$B$9,Paramètres!$A$1:$I$89,3,0)*VLOOKUP('Données projet'!$B$9,Paramètres!$A$1:$I$89,5,0)</f>
        <v>163.11619999999996</v>
      </c>
      <c r="P24" s="13">
        <f t="shared" si="33"/>
        <v>41.544592017733109</v>
      </c>
      <c r="Q24" s="20">
        <f t="shared" si="2"/>
        <v>356.4508794308851</v>
      </c>
      <c r="R24" s="59">
        <f t="shared" si="0"/>
        <v>649.78421276421841</v>
      </c>
      <c r="S24" s="59">
        <f ca="1">AVERAGE(OFFSET($R$3,0,0,'Données projet'!$E$9+1,1))-AVERAGE(OFFSET($H$3,0,0,'Données projet'!$E$9+1,1))</f>
        <v>486.22495915819474</v>
      </c>
      <c r="T24" s="59">
        <f t="shared" si="34"/>
        <v>593.51433014569966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3.438748769900839</v>
      </c>
      <c r="AA24" s="21">
        <f>EXP(-LN(2)/25)*AA23+(1-EXP(-LN(2)/25))/(LN(2)/25)*Calculateur!V24*Calculateur!X24*VLOOKUP('Données projet'!$B$9,Paramètres!$A$1:$I$89,3,0)*0.475*44/12</f>
        <v>7.6459114712734699</v>
      </c>
      <c r="AB24" s="21">
        <f>EXP(-LN(2)/2)*AB23+(1-EXP(-LN(2)/2))/(LN(2)/2)*V24*Y24*VLOOKUP('Données projet'!$B$9,Paramètres!$A$1:$I$89,3,0)*0.475*44/12</f>
        <v>6.7354846261630641</v>
      </c>
      <c r="AC24" s="22">
        <f t="shared" si="3"/>
        <v>17.820144867337373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31.8</v>
      </c>
      <c r="N25" s="13">
        <f>IF('Données projet'!$A$36&gt;35,N24+M25-V24,IF(A25&lt;'Données projet'!$A$36,$K$205^A25,IF(A25='Données projet'!$A$36,'Données projet'!$B$36,N24+M25-V24)))</f>
        <v>323.59999999999997</v>
      </c>
      <c r="O25" s="13">
        <f>N25*VLOOKUP('Données projet'!$B$9,Paramètres!$A$1:$I$89,3,0)*VLOOKUP('Données projet'!$B$9,Paramètres!$A$1:$I$89,5,0)</f>
        <v>180.89240000000001</v>
      </c>
      <c r="P25" s="13">
        <f t="shared" si="33"/>
        <v>45.520671542487669</v>
      </c>
      <c r="Q25" s="20">
        <f t="shared" si="2"/>
        <v>394.33609960316602</v>
      </c>
      <c r="R25" s="59">
        <f t="shared" si="0"/>
        <v>687.66943293649933</v>
      </c>
      <c r="S25" s="59">
        <f ca="1">AVERAGE(OFFSET($R$3,0,0,'Données projet'!$E$9+1,1))-AVERAGE(OFFSET($H$3,0,0,'Données projet'!$E$9+1,1))</f>
        <v>486.22495915819474</v>
      </c>
      <c r="T25" s="59">
        <f t="shared" si="34"/>
        <v>593.51433014569966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3.3713170039527292</v>
      </c>
      <c r="AA25" s="21">
        <f>EXP(-LN(2)/25)*AA24+(1-EXP(-LN(2)/25))/(LN(2)/25)*Calculateur!V25*Calculateur!X25*VLOOKUP('Données projet'!$B$9,Paramètres!$A$1:$I$89,3,0)*0.475*44/12</f>
        <v>7.4368336200104874</v>
      </c>
      <c r="AB25" s="21">
        <f>EXP(-LN(2)/2)*AB24+(1-EXP(-LN(2)/2))/(LN(2)/2)*V25*Y25*VLOOKUP('Données projet'!$B$9,Paramètres!$A$1:$I$89,3,0)*0.475*44/12</f>
        <v>4.7627068537376411</v>
      </c>
      <c r="AC25" s="22">
        <f t="shared" si="3"/>
        <v>15.570857477700859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31.8</v>
      </c>
      <c r="N26" s="13">
        <f>IF('Données projet'!$A$36&gt;35,N25+M26-V25,IF(A26&lt;'Données projet'!$A$36,$K$205^A26,IF(A26='Données projet'!$A$36,'Données projet'!$B$36,N25+M26-V25)))</f>
        <v>355.4</v>
      </c>
      <c r="O26" s="13">
        <f>N26*VLOOKUP('Données projet'!$B$9,Paramètres!$A$1:$I$89,3,0)*VLOOKUP('Données projet'!$B$9,Paramètres!$A$1:$I$89,5,0)</f>
        <v>198.66859999999997</v>
      </c>
      <c r="P26" s="13">
        <f t="shared" si="33"/>
        <v>49.451452656287465</v>
      </c>
      <c r="Q26" s="20">
        <f t="shared" si="2"/>
        <v>432.14242504303394</v>
      </c>
      <c r="R26" s="59">
        <f t="shared" si="0"/>
        <v>725.47575837636725</v>
      </c>
      <c r="S26" s="59">
        <f ca="1">AVERAGE(OFFSET($R$3,0,0,'Données projet'!$E$9+1,1))-AVERAGE(OFFSET($H$3,0,0,'Données projet'!$E$9+1,1))</f>
        <v>486.22495915819474</v>
      </c>
      <c r="T26" s="59">
        <f t="shared" si="34"/>
        <v>593.51433014569966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3.3052075338055458</v>
      </c>
      <c r="AA26" s="21">
        <f>EXP(-LN(2)/25)*AA25+(1-EXP(-LN(2)/25))/(LN(2)/25)*Calculateur!V26*Calculateur!X26*VLOOKUP('Données projet'!$B$9,Paramètres!$A$1:$I$89,3,0)*0.475*44/12</f>
        <v>7.2334730135852174</v>
      </c>
      <c r="AB26" s="21">
        <f>EXP(-LN(2)/2)*AB25+(1-EXP(-LN(2)/2))/(LN(2)/2)*V26*Y26*VLOOKUP('Données projet'!$B$9,Paramètres!$A$1:$I$89,3,0)*0.475*44/12</f>
        <v>3.3677423130815325</v>
      </c>
      <c r="AC26" s="22">
        <f t="shared" si="3"/>
        <v>13.906422860472295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31.8</v>
      </c>
      <c r="N27" s="13">
        <f>IF('Données projet'!$A$36&gt;35,N26+M27-V26,IF(A27&lt;'Données projet'!$A$36,$K$205^A27,IF(A27='Données projet'!$A$36,'Données projet'!$B$36,N26+M27-V26)))</f>
        <v>387.2</v>
      </c>
      <c r="O27" s="13">
        <f>N27*VLOOKUP('Données projet'!$B$9,Paramètres!$A$1:$I$89,3,0)*VLOOKUP('Données projet'!$B$9,Paramètres!$A$1:$I$89,5,0)</f>
        <v>216.44479999999999</v>
      </c>
      <c r="P27" s="13">
        <f t="shared" si="33"/>
        <v>53.341449419561528</v>
      </c>
      <c r="Q27" s="20">
        <f t="shared" si="2"/>
        <v>469.87771773906962</v>
      </c>
      <c r="R27" s="59">
        <f t="shared" si="0"/>
        <v>763.21105107240294</v>
      </c>
      <c r="S27" s="59">
        <f ca="1">AVERAGE(OFFSET($R$3,0,0,'Données projet'!$E$9+1,1))-AVERAGE(OFFSET($H$3,0,0,'Données projet'!$E$9+1,1))</f>
        <v>486.22495915819474</v>
      </c>
      <c r="T27" s="59">
        <f t="shared" si="34"/>
        <v>593.51433014569966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3.2403944300451535</v>
      </c>
      <c r="AA27" s="21">
        <f>EXP(-LN(2)/25)*AA26+(1-EXP(-LN(2)/25))/(LN(2)/25)*Calculateur!V27*Calculateur!X27*VLOOKUP('Données projet'!$B$9,Paramètres!$A$1:$I$89,3,0)*0.475*44/12</f>
        <v>7.0356733136369165</v>
      </c>
      <c r="AB27" s="21">
        <f>EXP(-LN(2)/2)*AB26+(1-EXP(-LN(2)/2))/(LN(2)/2)*V27*Y27*VLOOKUP('Données projet'!$B$9,Paramètres!$A$1:$I$89,3,0)*0.475*44/12</f>
        <v>2.3813534268688206</v>
      </c>
      <c r="AC27" s="22">
        <f t="shared" si="3"/>
        <v>12.65742117055089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419</v>
      </c>
      <c r="L28" s="12">
        <f>VLOOKUP(A28,'Données projet'!$A$35:$I$55,9,0)</f>
        <v>31.8</v>
      </c>
      <c r="M28" s="12">
        <f t="array" ref="M28">INDEX(L:L,MIN(IF(ISNUMBER(L28:L224),ROW(L28:L224),"")))</f>
        <v>31.8</v>
      </c>
      <c r="N28" s="13">
        <f>IF('Données projet'!$A$36&gt;35,N27+M28-V27,IF(A28&lt;'Données projet'!$A$36,$K$205^A28,IF(A28='Données projet'!$A$36,'Données projet'!$B$36,N27+M28-V27)))</f>
        <v>419</v>
      </c>
      <c r="O28" s="13">
        <f>N28*VLOOKUP('Données projet'!$B$9,Paramètres!$A$1:$I$89,3,0)*VLOOKUP('Données projet'!$B$9,Paramètres!$A$1:$I$89,5,0)</f>
        <v>234.221</v>
      </c>
      <c r="P28" s="13">
        <f t="shared" si="33"/>
        <v>57.194392182630075</v>
      </c>
      <c r="Q28" s="20">
        <f t="shared" si="2"/>
        <v>507.54847471808063</v>
      </c>
      <c r="R28" s="59">
        <f t="shared" si="0"/>
        <v>800.88180805141394</v>
      </c>
      <c r="S28" s="59">
        <f ca="1">AVERAGE(OFFSET($R$3,0,0,'Données projet'!$E$9+1,1))-AVERAGE(OFFSET($H$3,0,0,'Données projet'!$E$9+1,1))</f>
        <v>486.22495915819474</v>
      </c>
      <c r="T28" s="59">
        <f t="shared" si="34"/>
        <v>593.51433014569966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60</v>
      </c>
      <c r="W28" s="16">
        <f>IF(ISNA(VLOOKUP(A28,'Données projet'!$A$35:$I$55,5,0)),0%,VLOOKUP(A28,'Données projet'!$A$35:$I$55,5,0)*VLOOKUP('Données projet'!$B$9,Paramètres!$A$1:$I$89,7,0))</f>
        <v>0.22000000000000003</v>
      </c>
      <c r="X28" s="16">
        <f>IF(ISNA(VLOOKUP(A28,'Données projet'!$A$35:$I$55,6,0)),0%,VLOOKUP(A28,'Données projet'!$A$35:$I$55,6,0)*VLOOKUP('Données projet'!$B$9,Paramètres!$A$1:$I$89,7,0))</f>
        <v>0.18700000000000003</v>
      </c>
      <c r="Y28" s="16">
        <f>IF(ISNA(VLOOKUP(A28,'Données projet'!$A$35:$I$55,7,0)),0%,VLOOKUP(A28,'Données projet'!$A$35:$I$55,7,0))</f>
        <v>0.26</v>
      </c>
      <c r="Z28" s="21">
        <f>EXP(-LN(2)/35)*Z27+(1-EXP(-LN(2)/35))/(LN(2)/35)*V28*W28*VLOOKUP('Données projet'!$B$9,Paramètres!$A$1:$I$89,3,0)*0.475*44/12</f>
        <v>12.965306075514693</v>
      </c>
      <c r="AA28" s="21">
        <f>EXP(-LN(2)/25)*AA27+(1-EXP(-LN(2)/25))/(LN(2)/25)*Calculateur!V28*Calculateur!X28*VLOOKUP('Données projet'!$B$9,Paramètres!$A$1:$I$89,3,0)*0.475*44/12</f>
        <v>15.130708448642199</v>
      </c>
      <c r="AB28" s="21">
        <f>EXP(-LN(2)/2)*AB27+(1-EXP(-LN(2)/2))/(LN(2)/2)*V28*Y28*VLOOKUP('Données projet'!$B$9,Paramètres!$A$1:$I$89,3,0)*0.475*44/12</f>
        <v>11.557389683890559</v>
      </c>
      <c r="AC28" s="22">
        <f t="shared" si="3"/>
        <v>39.653404208047448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33</v>
      </c>
      <c r="N29" s="13">
        <f>IF('Données projet'!$A$36&gt;35,N28+M29-V28,IF(A29&lt;'Données projet'!$A$36,$K$205^A29,IF(A29='Données projet'!$A$36,'Données projet'!$B$36,N28+M29-V28)))</f>
        <v>392</v>
      </c>
      <c r="O29" s="13">
        <f>N29*VLOOKUP('Données projet'!$B$9,Paramètres!$A$1:$I$89,3,0)*VLOOKUP('Données projet'!$B$9,Paramètres!$A$1:$I$89,5,0)</f>
        <v>219.12800000000001</v>
      </c>
      <c r="P29" s="13">
        <f t="shared" si="33"/>
        <v>53.925317044064428</v>
      </c>
      <c r="Q29" s="20">
        <f t="shared" si="2"/>
        <v>475.56786051841215</v>
      </c>
      <c r="R29" s="59">
        <f t="shared" si="0"/>
        <v>768.90119385174546</v>
      </c>
      <c r="S29" s="59">
        <f ca="1">AVERAGE(OFFSET($R$3,0,0,'Données projet'!$E$9+1,1))-AVERAGE(OFFSET($H$3,0,0,'Données projet'!$E$9+1,1))</f>
        <v>486.22495915819474</v>
      </c>
      <c r="T29" s="59">
        <f t="shared" si="34"/>
        <v>593.51433014569966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12.7110643314297</v>
      </c>
      <c r="AA29" s="21">
        <f>EXP(-LN(2)/25)*AA28+(1-EXP(-LN(2)/25))/(LN(2)/25)*Calculateur!V29*Calculateur!X29*VLOOKUP('Données projet'!$B$9,Paramètres!$A$1:$I$89,3,0)*0.475*44/12</f>
        <v>14.716958430424702</v>
      </c>
      <c r="AB29" s="21">
        <f>EXP(-LN(2)/2)*AB28+(1-EXP(-LN(2)/2))/(LN(2)/2)*V29*Y29*VLOOKUP('Données projet'!$B$9,Paramètres!$A$1:$I$89,3,0)*0.475*44/12</f>
        <v>8.1723086182944638</v>
      </c>
      <c r="AC29" s="22">
        <f t="shared" si="3"/>
        <v>35.600331380148866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33</v>
      </c>
      <c r="N30" s="13">
        <f>IF('Données projet'!$A$36&gt;35,N29+M30-V29,IF(A30&lt;'Données projet'!$A$36,$K$205^A30,IF(A30='Données projet'!$A$36,'Données projet'!$B$36,N29+M30-V29)))</f>
        <v>425</v>
      </c>
      <c r="O30" s="13">
        <f>N30*VLOOKUP('Données projet'!$B$9,Paramètres!$A$1:$I$89,3,0)*VLOOKUP('Données projet'!$B$9,Paramètres!$A$1:$I$89,5,0)</f>
        <v>237.57500000000002</v>
      </c>
      <c r="P30" s="13">
        <f t="shared" si="33"/>
        <v>57.917471937261162</v>
      </c>
      <c r="Q30" s="20">
        <f t="shared" si="2"/>
        <v>514.64938862406325</v>
      </c>
      <c r="R30" s="59">
        <f t="shared" si="0"/>
        <v>807.98272195739651</v>
      </c>
      <c r="S30" s="59">
        <f ca="1">AVERAGE(OFFSET($R$3,0,0,'Données projet'!$E$9+1,1))-AVERAGE(OFFSET($H$3,0,0,'Données projet'!$E$9+1,1))</f>
        <v>486.22495915819474</v>
      </c>
      <c r="T30" s="59">
        <f t="shared" si="34"/>
        <v>593.51433014569966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12.461808112874062</v>
      </c>
      <c r="AA30" s="21">
        <f>EXP(-LN(2)/25)*AA29+(1-EXP(-LN(2)/25))/(LN(2)/25)*Calculateur!V30*Calculateur!X30*VLOOKUP('Données projet'!$B$9,Paramètres!$A$1:$I$89,3,0)*0.475*44/12</f>
        <v>14.314522428213531</v>
      </c>
      <c r="AB30" s="21">
        <f>EXP(-LN(2)/2)*AB29+(1-EXP(-LN(2)/2))/(LN(2)/2)*V30*Y30*VLOOKUP('Données projet'!$B$9,Paramètres!$A$1:$I$89,3,0)*0.475*44/12</f>
        <v>5.7786948419452804</v>
      </c>
      <c r="AC30" s="22">
        <f t="shared" si="3"/>
        <v>32.55502538303287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33</v>
      </c>
      <c r="N31" s="13">
        <f>IF('Données projet'!$A$36&gt;35,N30+M31-V30,IF(A31&lt;'Données projet'!$A$36,$K$205^A31,IF(A31='Données projet'!$A$36,'Données projet'!$B$36,N30+M31-V30)))</f>
        <v>458</v>
      </c>
      <c r="O31" s="13">
        <f>N31*VLOOKUP('Données projet'!$B$9,Paramètres!$A$1:$I$89,3,0)*VLOOKUP('Données projet'!$B$9,Paramètres!$A$1:$I$89,5,0)</f>
        <v>256.02199999999999</v>
      </c>
      <c r="P31" s="13">
        <f t="shared" si="33"/>
        <v>61.873669712051253</v>
      </c>
      <c r="Q31" s="20">
        <f t="shared" si="2"/>
        <v>553.66829141515586</v>
      </c>
      <c r="R31" s="59">
        <f t="shared" si="0"/>
        <v>847.00162474848912</v>
      </c>
      <c r="S31" s="59">
        <f ca="1">AVERAGE(OFFSET($R$3,0,0,'Données projet'!$E$9+1,1))-AVERAGE(OFFSET($H$3,0,0,'Données projet'!$E$9+1,1))</f>
        <v>486.22495915819474</v>
      </c>
      <c r="T31" s="59">
        <f t="shared" si="34"/>
        <v>593.51433014569966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12.217439656733019</v>
      </c>
      <c r="AA31" s="21">
        <f>EXP(-LN(2)/25)*AA30+(1-EXP(-LN(2)/25))/(LN(2)/25)*Calculateur!V31*Calculateur!X31*VLOOKUP('Données projet'!$B$9,Paramètres!$A$1:$I$89,3,0)*0.475*44/12</f>
        <v>13.923091059646014</v>
      </c>
      <c r="AB31" s="21">
        <f>EXP(-LN(2)/2)*AB30+(1-EXP(-LN(2)/2))/(LN(2)/2)*V31*Y31*VLOOKUP('Données projet'!$B$9,Paramètres!$A$1:$I$89,3,0)*0.475*44/12</f>
        <v>4.0861543091472328</v>
      </c>
      <c r="AC31" s="22">
        <f t="shared" si="3"/>
        <v>30.226685025526265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33</v>
      </c>
      <c r="N32" s="13">
        <f>IF('Données projet'!$A$36&gt;35,N31+M32-V31,IF(A32&lt;'Données projet'!$A$36,$K$205^A32,IF(A32='Données projet'!$A$36,'Données projet'!$B$36,N31+M32-V31)))</f>
        <v>491</v>
      </c>
      <c r="O32" s="13">
        <f>N32*VLOOKUP('Données projet'!$B$9,Paramètres!$A$1:$I$89,3,0)*VLOOKUP('Données projet'!$B$9,Paramètres!$A$1:$I$89,5,0)</f>
        <v>274.46899999999999</v>
      </c>
      <c r="P32" s="13">
        <f t="shared" si="33"/>
        <v>65.796795812732981</v>
      </c>
      <c r="Q32" s="20">
        <f t="shared" si="2"/>
        <v>592.62959437384313</v>
      </c>
      <c r="R32" s="59">
        <f t="shared" si="0"/>
        <v>885.9629277071765</v>
      </c>
      <c r="S32" s="59">
        <f ca="1">AVERAGE(OFFSET($R$3,0,0,'Données projet'!$E$9+1,1))-AVERAGE(OFFSET($H$3,0,0,'Données projet'!$E$9+1,1))</f>
        <v>486.22495915819474</v>
      </c>
      <c r="T32" s="59">
        <f t="shared" si="34"/>
        <v>593.51433014569966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11.97786311696686</v>
      </c>
      <c r="AA32" s="21">
        <f>EXP(-LN(2)/25)*AA31+(1-EXP(-LN(2)/25))/(LN(2)/25)*Calculateur!V32*Calculateur!X32*VLOOKUP('Données projet'!$B$9,Paramètres!$A$1:$I$89,3,0)*0.475*44/12</f>
        <v>13.542363402436456</v>
      </c>
      <c r="AB32" s="21">
        <f>EXP(-LN(2)/2)*AB31+(1-EXP(-LN(2)/2))/(LN(2)/2)*V32*Y32*VLOOKUP('Données projet'!$B$9,Paramètres!$A$1:$I$89,3,0)*0.475*44/12</f>
        <v>2.8893474209726406</v>
      </c>
      <c r="AC32" s="22">
        <f t="shared" si="3"/>
        <v>28.409573940375957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524</v>
      </c>
      <c r="L33" s="12">
        <f>VLOOKUP(A33,'Données projet'!$A$35:$I$55,9,0)</f>
        <v>33</v>
      </c>
      <c r="M33" s="12">
        <f t="array" ref="M33">INDEX(L:L,MIN(IF(ISNUMBER(L33:L229),ROW(L33:L229),"")))</f>
        <v>33</v>
      </c>
      <c r="N33" s="13">
        <f>IF('Données projet'!$A$36&gt;35,N32+M33-V32,IF(A33&lt;'Données projet'!$A$36,$K$205^A33,IF(A33='Données projet'!$A$36,'Données projet'!$B$36,N32+M33-V32)))</f>
        <v>524</v>
      </c>
      <c r="O33" s="13">
        <f>N33*VLOOKUP('Données projet'!$B$9,Paramètres!$A$1:$I$89,3,0)*VLOOKUP('Données projet'!$B$9,Paramètres!$A$1:$I$89,5,0)</f>
        <v>292.916</v>
      </c>
      <c r="P33" s="13">
        <f t="shared" si="33"/>
        <v>69.68932587703776</v>
      </c>
      <c r="Q33" s="20">
        <f t="shared" si="2"/>
        <v>631.53760923584082</v>
      </c>
      <c r="R33" s="59">
        <f t="shared" si="0"/>
        <v>924.87094256917408</v>
      </c>
      <c r="S33" s="59">
        <f ca="1">AVERAGE(OFFSET($R$3,0,0,'Données projet'!$E$9+1,1))-AVERAGE(OFFSET($H$3,0,0,'Données projet'!$E$9+1,1))</f>
        <v>486.22495915819474</v>
      </c>
      <c r="T33" s="59">
        <f t="shared" si="34"/>
        <v>593.51433014569966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90</v>
      </c>
      <c r="W33" s="16">
        <f>IF(ISNA(VLOOKUP(A33,'Données projet'!$A$35:$I$55,5,0)),0%,VLOOKUP(A33,'Données projet'!$A$35:$I$55,5,0)*VLOOKUP('Données projet'!$B$9,Paramètres!$A$1:$I$89,7,0))</f>
        <v>0.27500000000000002</v>
      </c>
      <c r="X33" s="16">
        <f>IF(ISNA(VLOOKUP(A33,'Données projet'!$A$35:$I$55,6,0)),0%,VLOOKUP(A33,'Données projet'!$A$35:$I$55,6,0)*VLOOKUP('Données projet'!$B$9,Paramètres!$A$1:$I$89,7,0))</f>
        <v>0.15400000000000003</v>
      </c>
      <c r="Y33" s="16">
        <f>IF(ISNA(VLOOKUP(A33,'Données projet'!$A$35:$I$55,7,0)),0%,VLOOKUP(A33,'Données projet'!$A$35:$I$55,7,0))</f>
        <v>0.22</v>
      </c>
      <c r="Z33" s="21">
        <f>EXP(-LN(2)/35)*Z32+(1-EXP(-LN(2)/35))/(LN(2)/35)*V33*W33*VLOOKUP('Données projet'!$B$9,Paramètres!$A$1:$I$89,3,0)*0.475*44/12</f>
        <v>30.096335409138156</v>
      </c>
      <c r="AA33" s="21">
        <f>EXP(-LN(2)/25)*AA32+(1-EXP(-LN(2)/25))/(LN(2)/25)*Calculateur!V33*Calculateur!X33*VLOOKUP('Données projet'!$B$9,Paramètres!$A$1:$I$89,3,0)*0.475*44/12</f>
        <v>23.409455341087241</v>
      </c>
      <c r="AB33" s="21">
        <f>EXP(-LN(2)/2)*AB32+(1-EXP(-LN(2)/2))/(LN(2)/2)*V33*Y33*VLOOKUP('Données projet'!$B$9,Paramètres!$A$1:$I$89,3,0)*0.475*44/12</f>
        <v>14.574850670056046</v>
      </c>
      <c r="AC33" s="22">
        <f t="shared" si="3"/>
        <v>68.080641420281452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28.4</v>
      </c>
      <c r="N34" s="13">
        <f>IF('Données projet'!$A$36&gt;35,N33+M34-V33,IF(A34&lt;'Données projet'!$A$36,$K$205^A34,IF(A34='Données projet'!$A$36,'Données projet'!$B$36,N33+M34-V33)))</f>
        <v>462.4</v>
      </c>
      <c r="O34" s="13">
        <f>N34*VLOOKUP('Données projet'!$B$9,Paramètres!$A$1:$I$89,3,0)*VLOOKUP('Données projet'!$B$9,Paramètres!$A$1:$I$89,5,0)</f>
        <v>258.48160000000001</v>
      </c>
      <c r="P34" s="13">
        <f t="shared" si="33"/>
        <v>62.398606187610767</v>
      </c>
      <c r="Q34" s="20">
        <f t="shared" si="2"/>
        <v>558.86635911008875</v>
      </c>
      <c r="R34" s="59">
        <f t="shared" si="0"/>
        <v>852.19969244342201</v>
      </c>
      <c r="S34" s="59">
        <f ca="1">AVERAGE(OFFSET($R$3,0,0,'Données projet'!$E$9+1,1))-AVERAGE(OFFSET($H$3,0,0,'Données projet'!$E$9+1,1))</f>
        <v>486.22495915819474</v>
      </c>
      <c r="T34" s="59">
        <f t="shared" si="34"/>
        <v>593.51433014569966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29.506164628716959</v>
      </c>
      <c r="AA34" s="21">
        <f>EXP(-LN(2)/25)*AA33+(1-EXP(-LN(2)/25))/(LN(2)/25)*Calculateur!V34*Calculateur!X34*VLOOKUP('Données projet'!$B$9,Paramètres!$A$1:$I$89,3,0)*0.475*44/12</f>
        <v>22.769322553735456</v>
      </c>
      <c r="AB34" s="21">
        <f>EXP(-LN(2)/2)*AB33+(1-EXP(-LN(2)/2))/(LN(2)/2)*V34*Y34*VLOOKUP('Données projet'!$B$9,Paramètres!$A$1:$I$89,3,0)*0.475*44/12</f>
        <v>10.305975743577926</v>
      </c>
      <c r="AC34" s="22">
        <f t="shared" si="3"/>
        <v>62.581462926030341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28.4</v>
      </c>
      <c r="N35" s="13">
        <f>IF('Données projet'!$A$36&gt;35,N34+M35-V34,IF(A35&lt;'Données projet'!$A$36,$K$205^A35,IF(A35='Données projet'!$A$36,'Données projet'!$B$36,N34+M35-V34)))</f>
        <v>490.79999999999995</v>
      </c>
      <c r="O35" s="13">
        <f>N35*VLOOKUP('Données projet'!$B$9,Paramètres!$A$1:$I$89,3,0)*VLOOKUP('Données projet'!$B$9,Paramètres!$A$1:$I$89,5,0)</f>
        <v>274.35719999999998</v>
      </c>
      <c r="P35" s="13">
        <f t="shared" si="33"/>
        <v>65.773113764972635</v>
      </c>
      <c r="Q35" s="20">
        <f t="shared" ref="Q35:Q66" si="53">(O35+P35)*0.475*44/12</f>
        <v>592.39362980732722</v>
      </c>
      <c r="R35" s="59">
        <f t="shared" si="0"/>
        <v>885.72696314066047</v>
      </c>
      <c r="S35" s="59">
        <f ca="1">AVERAGE(OFFSET($R$3,0,0,'Données projet'!$E$9+1,1))-AVERAGE(OFFSET($H$3,0,0,'Données projet'!$E$9+1,1))</f>
        <v>486.22495915819474</v>
      </c>
      <c r="T35" s="59">
        <f t="shared" si="34"/>
        <v>593.51433014569966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28.92756673733119</v>
      </c>
      <c r="AA35" s="21">
        <f>EXP(-LN(2)/25)*AA34+(1-EXP(-LN(2)/25))/(LN(2)/25)*Calculateur!V35*Calculateur!X35*VLOOKUP('Données projet'!$B$9,Paramètres!$A$1:$I$89,3,0)*0.475*44/12</f>
        <v>22.146694231116928</v>
      </c>
      <c r="AB35" s="21">
        <f>EXP(-LN(2)/2)*AB34+(1-EXP(-LN(2)/2))/(LN(2)/2)*V35*Y35*VLOOKUP('Données projet'!$B$9,Paramètres!$A$1:$I$89,3,0)*0.475*44/12</f>
        <v>7.2874253350280238</v>
      </c>
      <c r="AC35" s="22">
        <f t="shared" si="3"/>
        <v>58.361686303476141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28.4</v>
      </c>
      <c r="N36" s="13">
        <f>IF('Données projet'!$A$36&gt;35,N35+M36-V35,IF(A36&lt;'Données projet'!$A$36,$K$205^A36,IF(A36='Données projet'!$A$36,'Données projet'!$B$36,N35+M36-V35)))</f>
        <v>519.19999999999993</v>
      </c>
      <c r="O36" s="13">
        <f>N36*VLOOKUP('Données projet'!$B$9,Paramètres!$A$1:$I$89,3,0)*VLOOKUP('Données projet'!$B$9,Paramètres!$A$1:$I$89,5,0)</f>
        <v>290.2328</v>
      </c>
      <c r="P36" s="13">
        <f t="shared" si="33"/>
        <v>69.124955529636495</v>
      </c>
      <c r="Q36" s="20">
        <f t="shared" si="53"/>
        <v>625.88142421411692</v>
      </c>
      <c r="R36" s="59">
        <f t="shared" si="0"/>
        <v>919.21475754745029</v>
      </c>
      <c r="S36" s="59">
        <f ca="1">AVERAGE(OFFSET($R$3,0,0,'Données projet'!$E$9+1,1))-AVERAGE(OFFSET($H$3,0,0,'Données projet'!$E$9+1,1))</f>
        <v>486.22495915819474</v>
      </c>
      <c r="T36" s="59">
        <f t="shared" si="34"/>
        <v>593.51433014569966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28.360314797685628</v>
      </c>
      <c r="AA36" s="21">
        <f>EXP(-LN(2)/25)*AA35+(1-EXP(-LN(2)/25))/(LN(2)/25)*Calculateur!V36*Calculateur!X36*VLOOKUP('Données projet'!$B$9,Paramètres!$A$1:$I$89,3,0)*0.475*44/12</f>
        <v>21.541091712723002</v>
      </c>
      <c r="AB36" s="21">
        <f>EXP(-LN(2)/2)*AB35+(1-EXP(-LN(2)/2))/(LN(2)/2)*V36*Y36*VLOOKUP('Données projet'!$B$9,Paramètres!$A$1:$I$89,3,0)*0.475*44/12</f>
        <v>5.1529878717889641</v>
      </c>
      <c r="AC36" s="22">
        <f t="shared" si="3"/>
        <v>55.0543943821976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28.4</v>
      </c>
      <c r="N37" s="13">
        <f>IF('Données projet'!$A$36&gt;35,N36+M37-V36,IF(A37&lt;'Données projet'!$A$36,$K$205^A37,IF(A37='Données projet'!$A$36,'Données projet'!$B$36,N36+M37-V36)))</f>
        <v>547.59999999999991</v>
      </c>
      <c r="O37" s="13">
        <f>N37*VLOOKUP('Données projet'!$B$9,Paramètres!$A$1:$I$89,3,0)*VLOOKUP('Données projet'!$B$9,Paramètres!$A$1:$I$89,5,0)</f>
        <v>306.10839999999996</v>
      </c>
      <c r="P37" s="13">
        <f t="shared" si="33"/>
        <v>72.455512621968097</v>
      </c>
      <c r="Q37" s="20">
        <f t="shared" si="53"/>
        <v>659.33214781659433</v>
      </c>
      <c r="R37" s="59">
        <f t="shared" si="0"/>
        <v>952.6654811499277</v>
      </c>
      <c r="S37" s="59">
        <f ca="1">AVERAGE(OFFSET($R$3,0,0,'Données projet'!$E$9+1,1))-AVERAGE(OFFSET($H$3,0,0,'Données projet'!$E$9+1,1))</f>
        <v>486.22495915819474</v>
      </c>
      <c r="T37" s="59">
        <f t="shared" si="34"/>
        <v>593.51433014569966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27.804186322586997</v>
      </c>
      <c r="AA37" s="21">
        <f>EXP(-LN(2)/25)*AA36+(1-EXP(-LN(2)/25))/(LN(2)/25)*Calculateur!V37*Calculateur!X37*VLOOKUP('Données projet'!$B$9,Paramètres!$A$1:$I$89,3,0)*0.475*44/12</f>
        <v>20.952049427041811</v>
      </c>
      <c r="AB37" s="21">
        <f>EXP(-LN(2)/2)*AB36+(1-EXP(-LN(2)/2))/(LN(2)/2)*V37*Y37*VLOOKUP('Données projet'!$B$9,Paramètres!$A$1:$I$89,3,0)*0.475*44/12</f>
        <v>3.6437126675140123</v>
      </c>
      <c r="AC37" s="22">
        <f t="shared" si="3"/>
        <v>52.399948417142816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576</v>
      </c>
      <c r="L38" s="12">
        <f>VLOOKUP(A38,'Données projet'!$A$35:$I$55,9,0)</f>
        <v>28.4</v>
      </c>
      <c r="M38" s="12">
        <f t="array" ref="M38">INDEX(L:L,MIN(IF(ISNUMBER(L38:L234),ROW(L38:L234),"")))</f>
        <v>28.4</v>
      </c>
      <c r="N38" s="13">
        <f>IF('Données projet'!$A$36&gt;35,N37+M38-V37,IF(A38&lt;'Données projet'!$A$36,$K$205^A38,IF(A38='Données projet'!$A$36,'Données projet'!$B$36,N37+M38-V37)))</f>
        <v>575.99999999999989</v>
      </c>
      <c r="O38" s="13">
        <f>N38*VLOOKUP('Données projet'!$B$9,Paramètres!$A$1:$I$89,3,0)*VLOOKUP('Données projet'!$B$9,Paramètres!$A$1:$I$89,5,0)</f>
        <v>321.98399999999992</v>
      </c>
      <c r="P38" s="13">
        <f t="shared" si="33"/>
        <v>75.76601483154208</v>
      </c>
      <c r="Q38" s="20">
        <f t="shared" si="53"/>
        <v>692.74794249826891</v>
      </c>
      <c r="R38" s="59">
        <f t="shared" si="0"/>
        <v>986.08127583160217</v>
      </c>
      <c r="S38" s="59">
        <f ca="1">AVERAGE(OFFSET($R$3,0,0,'Données projet'!$E$9+1,1))-AVERAGE(OFFSET($H$3,0,0,'Données projet'!$E$9+1,1))</f>
        <v>486.22495915819474</v>
      </c>
      <c r="T38" s="59">
        <f t="shared" si="34"/>
        <v>593.51433014569966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72</v>
      </c>
      <c r="W38" s="16">
        <f>IF(ISNA(VLOOKUP(A38,'Données projet'!$A$35:$I$55,5,0)),0%,VLOOKUP(A38,'Données projet'!$A$35:$I$55,5,0)*VLOOKUP('Données projet'!$B$9,Paramètres!$A$1:$I$89,7,0))</f>
        <v>0.33</v>
      </c>
      <c r="X38" s="16">
        <f>IF(ISNA(VLOOKUP(A38,'Données projet'!$A$35:$I$55,6,0)),0%,VLOOKUP(A38,'Données projet'!$A$35:$I$55,6,0)*VLOOKUP('Données projet'!$B$9,Paramètres!$A$1:$I$89,7,0))</f>
        <v>0.12100000000000001</v>
      </c>
      <c r="Y38" s="16">
        <f>IF(ISNA(VLOOKUP(A38,'Données projet'!$A$35:$I$55,7,0)),0%,VLOOKUP(A38,'Données projet'!$A$35:$I$55,7,0))</f>
        <v>0.18</v>
      </c>
      <c r="Z38" s="21">
        <f>EXP(-LN(2)/35)*Z37+(1-EXP(-LN(2)/35))/(LN(2)/35)*V38*W38*VLOOKUP('Données projet'!$B$9,Paramètres!$A$1:$I$89,3,0)*0.475*44/12</f>
        <v>44.878180034515282</v>
      </c>
      <c r="AA38" s="21">
        <f>EXP(-LN(2)/25)*AA37+(1-EXP(-LN(2)/25))/(LN(2)/25)*Calculateur!V38*Calculateur!X38*VLOOKUP('Données projet'!$B$9,Paramètres!$A$1:$I$89,3,0)*0.475*44/12</f>
        <v>26.814057068414723</v>
      </c>
      <c r="AB38" s="21">
        <f>EXP(-LN(2)/2)*AB37+(1-EXP(-LN(2)/2))/(LN(2)/2)*V38*Y38*VLOOKUP('Données projet'!$B$9,Paramètres!$A$1:$I$89,3,0)*0.475*44/12</f>
        <v>10.779109327846617</v>
      </c>
      <c r="AC38" s="22">
        <f t="shared" si="3"/>
        <v>82.47134643077662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27</v>
      </c>
      <c r="N39" s="13">
        <f>IF('Données projet'!$A$36&gt;35,N38+M39-V38,IF(A39&lt;'Données projet'!$A$36,$K$205^A39,IF(A39='Données projet'!$A$36,'Données projet'!$B$36,N38+M39-V38)))</f>
        <v>530.99999999999989</v>
      </c>
      <c r="O39" s="13">
        <f>N39*VLOOKUP('Données projet'!$B$9,Paramètres!$A$1:$I$89,3,0)*VLOOKUP('Données projet'!$B$9,Paramètres!$A$1:$I$89,5,0)</f>
        <v>296.82899999999995</v>
      </c>
      <c r="P39" s="13">
        <f t="shared" si="33"/>
        <v>70.511289513454344</v>
      </c>
      <c r="Q39" s="20">
        <f t="shared" si="53"/>
        <v>639.78433756926631</v>
      </c>
      <c r="R39" s="59">
        <f t="shared" si="0"/>
        <v>933.11767090259968</v>
      </c>
      <c r="S39" s="59">
        <f ca="1">AVERAGE(OFFSET($R$3,0,0,'Données projet'!$E$9+1,1))-AVERAGE(OFFSET($H$3,0,0,'Données projet'!$E$9+1,1))</f>
        <v>486.22495915819474</v>
      </c>
      <c r="T39" s="59">
        <f t="shared" si="34"/>
        <v>593.51433014569966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43.9981462970254</v>
      </c>
      <c r="AA39" s="21">
        <f>EXP(-LN(2)/25)*AA38+(1-EXP(-LN(2)/25))/(LN(2)/25)*Calculateur!V39*Calculateur!X39*VLOOKUP('Données projet'!$B$9,Paramètres!$A$1:$I$89,3,0)*0.475*44/12</f>
        <v>26.080825267788946</v>
      </c>
      <c r="AB39" s="21">
        <f>EXP(-LN(2)/2)*AB38+(1-EXP(-LN(2)/2))/(LN(2)/2)*V39*Y39*VLOOKUP('Données projet'!$B$9,Paramètres!$A$1:$I$89,3,0)*0.475*44/12</f>
        <v>7.6219813008715116</v>
      </c>
      <c r="AC39" s="22">
        <f t="shared" si="3"/>
        <v>77.700952865685849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27</v>
      </c>
      <c r="N40" s="13">
        <f>IF('Données projet'!$A$36&gt;35,N39+M40-V39,IF(A40&lt;'Données projet'!$A$36,$K$205^A40,IF(A40='Données projet'!$A$36,'Données projet'!$B$36,N39+M40-V39)))</f>
        <v>557.99999999999989</v>
      </c>
      <c r="O40" s="13">
        <f>N40*VLOOKUP('Données projet'!$B$9,Paramètres!$A$1:$I$89,3,0)*VLOOKUP('Données projet'!$B$9,Paramètres!$A$1:$I$89,5,0)</f>
        <v>311.92199999999991</v>
      </c>
      <c r="P40" s="13">
        <f t="shared" si="33"/>
        <v>73.670075764965745</v>
      </c>
      <c r="Q40" s="20">
        <f t="shared" si="53"/>
        <v>671.57286529064845</v>
      </c>
      <c r="R40" s="59">
        <f t="shared" si="0"/>
        <v>964.90619862398171</v>
      </c>
      <c r="S40" s="59">
        <f ca="1">AVERAGE(OFFSET($R$3,0,0,'Données projet'!$E$9+1,1))-AVERAGE(OFFSET($H$3,0,0,'Données projet'!$E$9+1,1))</f>
        <v>486.22495915819474</v>
      </c>
      <c r="T40" s="59">
        <f t="shared" si="34"/>
        <v>593.51433014569966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43.135369484360119</v>
      </c>
      <c r="AA40" s="21">
        <f>EXP(-LN(2)/25)*AA39+(1-EXP(-LN(2)/25))/(LN(2)/25)*Calculateur!V40*Calculateur!X40*VLOOKUP('Données projet'!$B$9,Paramètres!$A$1:$I$89,3,0)*0.475*44/12</f>
        <v>25.367643729310263</v>
      </c>
      <c r="AB40" s="21">
        <f>EXP(-LN(2)/2)*AB39+(1-EXP(-LN(2)/2))/(LN(2)/2)*V40*Y40*VLOOKUP('Données projet'!$B$9,Paramètres!$A$1:$I$89,3,0)*0.475*44/12</f>
        <v>5.3895546639233087</v>
      </c>
      <c r="AC40" s="22">
        <f t="shared" si="3"/>
        <v>73.892567877593692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27</v>
      </c>
      <c r="N41" s="13">
        <f>IF('Données projet'!$A$36&gt;35,N40+M41-V40,IF(A41&lt;'Données projet'!$A$36,$K$205^A41,IF(A41='Données projet'!$A$36,'Données projet'!$B$36,N40+M41-V40)))</f>
        <v>584.99999999999989</v>
      </c>
      <c r="O41" s="13">
        <f>N41*VLOOKUP('Données projet'!$B$9,Paramètres!$A$1:$I$89,3,0)*VLOOKUP('Données projet'!$B$9,Paramètres!$A$1:$I$89,5,0)</f>
        <v>327.01499999999993</v>
      </c>
      <c r="P41" s="13">
        <f t="shared" si="33"/>
        <v>76.811113612871907</v>
      </c>
      <c r="Q41" s="20">
        <f t="shared" si="53"/>
        <v>703.33048120908506</v>
      </c>
      <c r="R41" s="59">
        <f t="shared" si="0"/>
        <v>996.66381454241832</v>
      </c>
      <c r="S41" s="59">
        <f ca="1">AVERAGE(OFFSET($R$3,0,0,'Données projet'!$E$9+1,1))-AVERAGE(OFFSET($H$3,0,0,'Données projet'!$E$9+1,1))</f>
        <v>486.22495915819474</v>
      </c>
      <c r="T41" s="59">
        <f t="shared" si="34"/>
        <v>593.51433014569966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42.28951119874931</v>
      </c>
      <c r="AA41" s="21">
        <f>EXP(-LN(2)/25)*AA40+(1-EXP(-LN(2)/25))/(LN(2)/25)*Calculateur!V41*Calculateur!X41*VLOOKUP('Données projet'!$B$9,Paramètres!$A$1:$I$89,3,0)*0.475*44/12</f>
        <v>24.673964177505869</v>
      </c>
      <c r="AB41" s="21">
        <f>EXP(-LN(2)/2)*AB40+(1-EXP(-LN(2)/2))/(LN(2)/2)*V41*Y41*VLOOKUP('Données projet'!$B$9,Paramètres!$A$1:$I$89,3,0)*0.475*44/12</f>
        <v>3.8109906504357558</v>
      </c>
      <c r="AC41" s="22">
        <f t="shared" si="3"/>
        <v>70.774466026690931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27</v>
      </c>
      <c r="N42" s="13">
        <f>IF('Données projet'!$A$36&gt;35,N41+M42-V41,IF(A42&lt;'Données projet'!$A$36,$K$205^A42,IF(A42='Données projet'!$A$36,'Données projet'!$B$36,N41+M42-V41)))</f>
        <v>611.99999999999989</v>
      </c>
      <c r="O42" s="13">
        <f>N42*VLOOKUP('Données projet'!$B$9,Paramètres!$A$1:$I$89,3,0)*VLOOKUP('Données projet'!$B$9,Paramètres!$A$1:$I$89,5,0)</f>
        <v>342.10799999999995</v>
      </c>
      <c r="P42" s="13">
        <f t="shared" si="33"/>
        <v>79.935315774430151</v>
      </c>
      <c r="Q42" s="20">
        <f t="shared" si="53"/>
        <v>735.0587749737989</v>
      </c>
      <c r="R42" s="59">
        <f t="shared" si="0"/>
        <v>1028.3921083071323</v>
      </c>
      <c r="S42" s="59">
        <f ca="1">AVERAGE(OFFSET($R$3,0,0,'Données projet'!$E$9+1,1))-AVERAGE(OFFSET($H$3,0,0,'Données projet'!$E$9+1,1))</f>
        <v>486.22495915819474</v>
      </c>
      <c r="T42" s="59">
        <f t="shared" si="34"/>
        <v>593.51433014569966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41.460239678196714</v>
      </c>
      <c r="AA42" s="21">
        <f>EXP(-LN(2)/25)*AA41+(1-EXP(-LN(2)/25))/(LN(2)/25)*Calculateur!V42*Calculateur!X42*VLOOKUP('Données projet'!$B$9,Paramètres!$A$1:$I$89,3,0)*0.475*44/12</f>
        <v>23.999253329524588</v>
      </c>
      <c r="AB42" s="21">
        <f>EXP(-LN(2)/2)*AB41+(1-EXP(-LN(2)/2))/(LN(2)/2)*V42*Y42*VLOOKUP('Données projet'!$B$9,Paramètres!$A$1:$I$89,3,0)*0.475*44/12</f>
        <v>2.6947773319616544</v>
      </c>
      <c r="AC42" s="22">
        <f t="shared" si="3"/>
        <v>68.154270339682967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639</v>
      </c>
      <c r="L43" s="12">
        <f>VLOOKUP(A43,'Données projet'!$A$35:$I$55,9,0)</f>
        <v>27</v>
      </c>
      <c r="M43" s="12">
        <f t="array" ref="M43">INDEX(L:L,MIN(IF(ISNUMBER(L43:L239),ROW(L43:L239),"")))</f>
        <v>27</v>
      </c>
      <c r="N43" s="13">
        <f>IF('Données projet'!$A$36&gt;35,N42+M43-V42,IF(A43&lt;'Données projet'!$A$36,$K$205^A43,IF(A43='Données projet'!$A$36,'Données projet'!$B$36,N42+M43-V42)))</f>
        <v>638.99999999999989</v>
      </c>
      <c r="O43" s="13">
        <f>N43*VLOOKUP('Données projet'!$B$9,Paramètres!$A$1:$I$89,3,0)*VLOOKUP('Données projet'!$B$9,Paramètres!$A$1:$I$89,5,0)</f>
        <v>357.20099999999991</v>
      </c>
      <c r="P43" s="13">
        <f t="shared" si="33"/>
        <v>83.043509879488369</v>
      </c>
      <c r="Q43" s="20">
        <f t="shared" si="53"/>
        <v>766.75918804010871</v>
      </c>
      <c r="R43" s="59">
        <f t="shared" si="0"/>
        <v>1060.092521373442</v>
      </c>
      <c r="S43" s="59">
        <f ca="1">AVERAGE(OFFSET($R$3,0,0,'Données projet'!$E$9+1,1))-AVERAGE(OFFSET($H$3,0,0,'Données projet'!$E$9+1,1))</f>
        <v>486.22495915819474</v>
      </c>
      <c r="T43" s="59">
        <f t="shared" si="34"/>
        <v>593.51433014569966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77</v>
      </c>
      <c r="W43" s="16">
        <f>IF(ISNA(VLOOKUP(A43,'Données projet'!$A$35:$I$55,5,0)),0%,VLOOKUP(A43,'Données projet'!$A$35:$I$55,5,0)*VLOOKUP('Données projet'!$B$9,Paramètres!$A$1:$I$89,7,0))</f>
        <v>0.38500000000000001</v>
      </c>
      <c r="X43" s="16">
        <f>IF(ISNA(VLOOKUP(A43,'Données projet'!$A$35:$I$55,6,0)),0%,VLOOKUP(A43,'Données projet'!$A$35:$I$55,6,0)*VLOOKUP('Données projet'!$B$9,Paramètres!$A$1:$I$89,7,0))</f>
        <v>9.3500000000000014E-2</v>
      </c>
      <c r="Y43" s="16">
        <f>IF(ISNA(VLOOKUP(A43,'Données projet'!$A$35:$I$55,7,0)),0%,VLOOKUP(A43,'Données projet'!$A$35:$I$55,7,0))</f>
        <v>0.13</v>
      </c>
      <c r="Z43" s="21">
        <f>EXP(-LN(2)/35)*Z42+(1-EXP(-LN(2)/35))/(LN(2)/35)*V43*W43*VLOOKUP('Données projet'!$B$9,Paramètres!$A$1:$I$89,3,0)*0.475*44/12</f>
        <v>62.630465500717861</v>
      </c>
      <c r="AA43" s="21">
        <f>EXP(-LN(2)/25)*AA42+(1-EXP(-LN(2)/25))/(LN(2)/25)*Calculateur!V43*Calculateur!X43*VLOOKUP('Données projet'!$B$9,Paramètres!$A$1:$I$89,3,0)*0.475*44/12</f>
        <v>28.66075749654005</v>
      </c>
      <c r="AB43" s="21">
        <f>EXP(-LN(2)/2)*AB42+(1-EXP(-LN(2)/2))/(LN(2)/2)*V43*Y43*VLOOKUP('Données projet'!$B$9,Paramètres!$A$1:$I$89,3,0)*0.475*44/12</f>
        <v>8.2410030469339954</v>
      </c>
      <c r="AC43" s="22">
        <f t="shared" si="3"/>
        <v>99.532226044191901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24.8</v>
      </c>
      <c r="N44" s="13">
        <f>IF('Données projet'!$A$36&gt;35,N43+M44-V43,IF(A44&lt;'Données projet'!$A$36,$K$205^A44,IF(A44='Données projet'!$A$36,'Données projet'!$B$36,N43+M44-V43)))</f>
        <v>586.79999999999984</v>
      </c>
      <c r="O44" s="13">
        <f>N44*VLOOKUP('Données projet'!$B$9,Paramètres!$A$1:$I$89,3,0)*VLOOKUP('Données projet'!$B$9,Paramètres!$A$1:$I$89,5,0)</f>
        <v>328.02119999999991</v>
      </c>
      <c r="P44" s="13">
        <f t="shared" si="33"/>
        <v>77.019907950957702</v>
      </c>
      <c r="Q44" s="20">
        <f t="shared" si="53"/>
        <v>705.44659634791776</v>
      </c>
      <c r="R44" s="59">
        <f t="shared" si="0"/>
        <v>998.77992968125113</v>
      </c>
      <c r="S44" s="59">
        <f ca="1">AVERAGE(OFFSET($R$3,0,0,'Données projet'!$E$9+1,1))-AVERAGE(OFFSET($H$3,0,0,'Données projet'!$E$9+1,1))</f>
        <v>486.22495915819474</v>
      </c>
      <c r="T44" s="59">
        <f t="shared" si="34"/>
        <v>593.51433014569966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61.402320273060724</v>
      </c>
      <c r="AA44" s="21">
        <f>EXP(-LN(2)/25)*AA43+(1-EXP(-LN(2)/25))/(LN(2)/25)*Calculateur!V44*Calculateur!X44*VLOOKUP('Données projet'!$B$9,Paramètres!$A$1:$I$89,3,0)*0.475*44/12</f>
        <v>27.877027575593431</v>
      </c>
      <c r="AB44" s="21">
        <f>EXP(-LN(2)/2)*AB43+(1-EXP(-LN(2)/2))/(LN(2)/2)*V44*Y44*VLOOKUP('Données projet'!$B$9,Paramètres!$A$1:$I$89,3,0)*0.475*44/12</f>
        <v>5.8272691382660282</v>
      </c>
      <c r="AC44" s="22">
        <f t="shared" si="3"/>
        <v>95.106616986920187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24.8</v>
      </c>
      <c r="N45" s="13">
        <f>IF('Données projet'!$A$36&gt;35,N44+M45-V44,IF(A45&lt;'Données projet'!$A$36,$K$205^A45,IF(A45='Données projet'!$A$36,'Données projet'!$B$36,N44+M45-V44)))</f>
        <v>611.5999999999998</v>
      </c>
      <c r="O45" s="13">
        <f>N45*VLOOKUP('Données projet'!$B$9,Paramètres!$A$1:$I$89,3,0)*VLOOKUP('Données projet'!$B$9,Paramètres!$A$1:$I$89,5,0)</f>
        <v>341.88439999999986</v>
      </c>
      <c r="P45" s="13">
        <f t="shared" si="33"/>
        <v>79.889150066970018</v>
      </c>
      <c r="Q45" s="20">
        <f t="shared" si="53"/>
        <v>734.58893303330581</v>
      </c>
      <c r="R45" s="59">
        <f t="shared" si="0"/>
        <v>1027.9222663666392</v>
      </c>
      <c r="S45" s="59">
        <f ca="1">AVERAGE(OFFSET($R$3,0,0,'Données projet'!$E$9+1,1))-AVERAGE(OFFSET($H$3,0,0,'Données projet'!$E$9+1,1))</f>
        <v>486.22495915819474</v>
      </c>
      <c r="T45" s="59">
        <f t="shared" si="34"/>
        <v>593.51433014569966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60.198258224223316</v>
      </c>
      <c r="AA45" s="21">
        <f>EXP(-LN(2)/25)*AA44+(1-EXP(-LN(2)/25))/(LN(2)/25)*Calculateur!V45*Calculateur!X45*VLOOKUP('Données projet'!$B$9,Paramètres!$A$1:$I$89,3,0)*0.475*44/12</f>
        <v>27.114728790549663</v>
      </c>
      <c r="AB45" s="21">
        <f>EXP(-LN(2)/2)*AB44+(1-EXP(-LN(2)/2))/(LN(2)/2)*V45*Y45*VLOOKUP('Données projet'!$B$9,Paramètres!$A$1:$I$89,3,0)*0.475*44/12</f>
        <v>4.1205015234669977</v>
      </c>
      <c r="AC45" s="22">
        <f t="shared" si="3"/>
        <v>91.43348853823997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24.8</v>
      </c>
      <c r="N46" s="13">
        <f>IF('Données projet'!$A$36&gt;35,N45+M46-V45,IF(A46&lt;'Données projet'!$A$36,$K$205^A46,IF(A46='Données projet'!$A$36,'Données projet'!$B$36,N45+M46-V45)))</f>
        <v>636.39999999999975</v>
      </c>
      <c r="O46" s="13">
        <f>N46*VLOOKUP('Données projet'!$B$9,Paramètres!$A$1:$I$89,3,0)*VLOOKUP('Données projet'!$B$9,Paramètres!$A$1:$I$89,5,0)</f>
        <v>355.74759999999986</v>
      </c>
      <c r="P46" s="13">
        <f t="shared" si="33"/>
        <v>82.744877508992289</v>
      </c>
      <c r="Q46" s="20">
        <f t="shared" si="53"/>
        <v>763.70773166149456</v>
      </c>
      <c r="R46" s="59">
        <f t="shared" si="0"/>
        <v>1057.0410649948278</v>
      </c>
      <c r="S46" s="59">
        <f ca="1">AVERAGE(OFFSET($R$3,0,0,'Données projet'!$E$9+1,1))-AVERAGE(OFFSET($H$3,0,0,'Données projet'!$E$9+1,1))</f>
        <v>486.22495915819474</v>
      </c>
      <c r="T46" s="59">
        <f t="shared" si="34"/>
        <v>593.51433014569966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59.017807097758279</v>
      </c>
      <c r="AA46" s="21">
        <f>EXP(-LN(2)/25)*AA45+(1-EXP(-LN(2)/25))/(LN(2)/25)*Calculateur!V46*Calculateur!X46*VLOOKUP('Données projet'!$B$9,Paramètres!$A$1:$I$89,3,0)*0.475*44/12</f>
        <v>26.373275105870466</v>
      </c>
      <c r="AB46" s="21">
        <f>EXP(-LN(2)/2)*AB45+(1-EXP(-LN(2)/2))/(LN(2)/2)*V46*Y46*VLOOKUP('Données projet'!$B$9,Paramètres!$A$1:$I$89,3,0)*0.475*44/12</f>
        <v>2.9136345691330141</v>
      </c>
      <c r="AC46" s="22">
        <f t="shared" si="3"/>
        <v>88.304716772761751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24.8</v>
      </c>
      <c r="N47" s="13">
        <f>IF('Données projet'!$A$36&gt;35,N46+M47-V46,IF(A47&lt;'Données projet'!$A$36,$K$205^A47,IF(A47='Données projet'!$A$36,'Données projet'!$B$36,N46+M47-V46)))</f>
        <v>661.1999999999997</v>
      </c>
      <c r="O47" s="13">
        <f>N47*VLOOKUP('Données projet'!$B$9,Paramètres!$A$1:$I$89,3,0)*VLOOKUP('Données projet'!$B$9,Paramètres!$A$1:$I$89,5,0)</f>
        <v>369.61079999999981</v>
      </c>
      <c r="P47" s="13">
        <f t="shared" si="33"/>
        <v>85.587677206936931</v>
      </c>
      <c r="Q47" s="20">
        <f t="shared" si="53"/>
        <v>792.80401446874805</v>
      </c>
      <c r="R47" s="59">
        <f t="shared" si="0"/>
        <v>1086.1373478020814</v>
      </c>
      <c r="S47" s="59">
        <f ca="1">AVERAGE(OFFSET($R$3,0,0,'Données projet'!$E$9+1,1))-AVERAGE(OFFSET($H$3,0,0,'Données projet'!$E$9+1,1))</f>
        <v>486.22495915819474</v>
      </c>
      <c r="T47" s="59">
        <f t="shared" si="34"/>
        <v>593.51433014569966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57.860503897879127</v>
      </c>
      <c r="AA47" s="21">
        <f>EXP(-LN(2)/25)*AA46+(1-EXP(-LN(2)/25))/(LN(2)/25)*Calculateur!V47*Calculateur!X47*VLOOKUP('Données projet'!$B$9,Paramètres!$A$1:$I$89,3,0)*0.475*44/12</f>
        <v>25.652096511190177</v>
      </c>
      <c r="AB47" s="21">
        <f>EXP(-LN(2)/2)*AB46+(1-EXP(-LN(2)/2))/(LN(2)/2)*V47*Y47*VLOOKUP('Données projet'!$B$9,Paramètres!$A$1:$I$89,3,0)*0.475*44/12</f>
        <v>2.0602507617334989</v>
      </c>
      <c r="AC47" s="22">
        <f t="shared" si="3"/>
        <v>85.572851170802807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686</v>
      </c>
      <c r="L48" s="12">
        <f>VLOOKUP(A48,'Données projet'!$A$35:$I$55,9,0)</f>
        <v>24.8</v>
      </c>
      <c r="M48" s="12">
        <f t="array" ref="M48">INDEX(L:L,MIN(IF(ISNUMBER(L48:L244),ROW(L48:L244),"")))</f>
        <v>24.8</v>
      </c>
      <c r="N48" s="13">
        <f>IF('Données projet'!$A$36&gt;35,N47+M48-V47,IF(A48&lt;'Données projet'!$A$36,$K$205^A48,IF(A48='Données projet'!$A$36,'Données projet'!$B$36,N47+M48-V47)))</f>
        <v>685.99999999999966</v>
      </c>
      <c r="O48" s="13">
        <f>N48*VLOOKUP('Données projet'!$B$9,Paramètres!$A$1:$I$89,3,0)*VLOOKUP('Données projet'!$B$9,Paramètres!$A$1:$I$89,5,0)</f>
        <v>383.47399999999982</v>
      </c>
      <c r="P48" s="13">
        <f t="shared" si="33"/>
        <v>88.418089567872116</v>
      </c>
      <c r="Q48" s="20">
        <f t="shared" si="53"/>
        <v>821.87872266404372</v>
      </c>
      <c r="R48" s="59">
        <f t="shared" si="0"/>
        <v>1115.2120559973771</v>
      </c>
      <c r="S48" s="59">
        <f ca="1">AVERAGE(OFFSET($R$3,0,0,'Données projet'!$E$9+1,1))-AVERAGE(OFFSET($H$3,0,0,'Données projet'!$E$9+1,1))</f>
        <v>486.22495915819474</v>
      </c>
      <c r="T48" s="59">
        <f t="shared" si="34"/>
        <v>593.51433014569966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64</v>
      </c>
      <c r="W48" s="16">
        <f>IF(ISNA(VLOOKUP(A48,'Données projet'!$A$35:$I$55,5,0)),0%,VLOOKUP(A48,'Données projet'!$A$35:$I$55,5,0)*VLOOKUP('Données projet'!$B$9,Paramètres!$A$1:$I$89,7,0))</f>
        <v>0.44000000000000006</v>
      </c>
      <c r="X48" s="16">
        <f>IF(ISNA(VLOOKUP(A48,'Données projet'!$A$35:$I$55,6,0)),0%,VLOOKUP(A48,'Données projet'!$A$35:$I$55,6,0)*VLOOKUP('Données projet'!$B$9,Paramètres!$A$1:$I$89,7,0))</f>
        <v>6.0500000000000005E-2</v>
      </c>
      <c r="Y48" s="16">
        <f>IF(ISNA(VLOOKUP(A48,'Données projet'!$A$35:$I$55,7,0)),0%,VLOOKUP(A48,'Données projet'!$A$35:$I$55,7,0))</f>
        <v>0.09</v>
      </c>
      <c r="Z48" s="21">
        <f>EXP(-LN(2)/35)*Z47+(1-EXP(-LN(2)/35))/(LN(2)/35)*V48*W48*VLOOKUP('Données projet'!$B$9,Paramètres!$A$1:$I$89,3,0)*0.475*44/12</f>
        <v>77.607929489298556</v>
      </c>
      <c r="AA48" s="21">
        <f>EXP(-LN(2)/25)*AA47+(1-EXP(-LN(2)/25))/(LN(2)/25)*Calculateur!V48*Calculateur!X48*VLOOKUP('Données projet'!$B$9,Paramètres!$A$1:$I$89,3,0)*0.475*44/12</f>
        <v>27.810613043006892</v>
      </c>
      <c r="AB48" s="21">
        <f>EXP(-LN(2)/2)*AB47+(1-EXP(-LN(2)/2))/(LN(2)/2)*V48*Y48*VLOOKUP('Données projet'!$B$9,Paramètres!$A$1:$I$89,3,0)*0.475*44/12</f>
        <v>5.1024241254341236</v>
      </c>
      <c r="AC48" s="22">
        <f t="shared" si="3"/>
        <v>110.52096665773958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20.399999999999999</v>
      </c>
      <c r="N49" s="13">
        <f>IF('Données projet'!$A$36&gt;35,N48+M49-V48,IF(A49&lt;'Données projet'!$A$36,$K$205^A49,IF(A49='Données projet'!$A$36,'Données projet'!$B$36,N48+M49-V48)))</f>
        <v>642.39999999999964</v>
      </c>
      <c r="O49" s="13">
        <f>N49*VLOOKUP('Données projet'!$B$9,Paramètres!$A$1:$I$89,3,0)*VLOOKUP('Données projet'!$B$9,Paramètres!$A$1:$I$89,5,0)</f>
        <v>359.10159999999985</v>
      </c>
      <c r="P49" s="13">
        <f t="shared" si="33"/>
        <v>83.433815871723468</v>
      </c>
      <c r="Q49" s="20">
        <f t="shared" si="53"/>
        <v>770.74918264325152</v>
      </c>
      <c r="R49" s="59">
        <f t="shared" si="0"/>
        <v>1064.0825159765848</v>
      </c>
      <c r="S49" s="59">
        <f ca="1">AVERAGE(OFFSET($R$3,0,0,'Données projet'!$E$9+1,1))-AVERAGE(OFFSET($H$3,0,0,'Données projet'!$E$9+1,1))</f>
        <v>486.22495915819474</v>
      </c>
      <c r="T49" s="59">
        <f t="shared" si="34"/>
        <v>593.51433014569966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76.086085328176338</v>
      </c>
      <c r="AA49" s="21">
        <f>EXP(-LN(2)/25)*AA48+(1-EXP(-LN(2)/25))/(LN(2)/25)*Calculateur!V49*Calculateur!X49*VLOOKUP('Données projet'!$B$9,Paramètres!$A$1:$I$89,3,0)*0.475*44/12</f>
        <v>27.050130366849292</v>
      </c>
      <c r="AB49" s="21">
        <f>EXP(-LN(2)/2)*AB48+(1-EXP(-LN(2)/2))/(LN(2)/2)*V49*Y49*VLOOKUP('Données projet'!$B$9,Paramètres!$A$1:$I$89,3,0)*0.475*44/12</f>
        <v>3.6079586995843083</v>
      </c>
      <c r="AC49" s="22">
        <f t="shared" si="3"/>
        <v>106.74417439460993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20.399999999999999</v>
      </c>
      <c r="N50" s="13">
        <f>IF('Données projet'!$A$36&gt;35,N49+M50-V49,IF(A50&lt;'Données projet'!$A$36,$K$205^A50,IF(A50='Données projet'!$A$36,'Données projet'!$B$36,N49+M50-V49)))</f>
        <v>662.79999999999961</v>
      </c>
      <c r="O50" s="13">
        <f>N50*VLOOKUP('Données projet'!$B$9,Paramètres!$A$1:$I$89,3,0)*VLOOKUP('Données projet'!$B$9,Paramètres!$A$1:$I$89,5,0)</f>
        <v>370.50519999999983</v>
      </c>
      <c r="P50" s="13">
        <f t="shared" si="33"/>
        <v>85.770652719303072</v>
      </c>
      <c r="Q50" s="20">
        <f t="shared" si="53"/>
        <v>794.6804434861192</v>
      </c>
      <c r="R50" s="59">
        <f t="shared" si="0"/>
        <v>1088.0137768194525</v>
      </c>
      <c r="S50" s="59">
        <f ca="1">AVERAGE(OFFSET($R$3,0,0,'Données projet'!$E$9+1,1))-AVERAGE(OFFSET($H$3,0,0,'Données projet'!$E$9+1,1))</f>
        <v>486.22495915819474</v>
      </c>
      <c r="T50" s="59">
        <f t="shared" si="34"/>
        <v>593.51433014569966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74.594083602820447</v>
      </c>
      <c r="AA50" s="21">
        <f>EXP(-LN(2)/25)*AA49+(1-EXP(-LN(2)/25))/(LN(2)/25)*Calculateur!V50*Calculateur!X50*VLOOKUP('Données projet'!$B$9,Paramètres!$A$1:$I$89,3,0)*0.475*44/12</f>
        <v>26.310443129463266</v>
      </c>
      <c r="AB50" s="21">
        <f>EXP(-LN(2)/2)*AB49+(1-EXP(-LN(2)/2))/(LN(2)/2)*V50*Y50*VLOOKUP('Données projet'!$B$9,Paramètres!$A$1:$I$89,3,0)*0.475*44/12</f>
        <v>2.5512120627170622</v>
      </c>
      <c r="AC50" s="22">
        <f t="shared" si="3"/>
        <v>103.45573879500077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20.399999999999999</v>
      </c>
      <c r="N51" s="13">
        <f>IF('Données projet'!$A$36&gt;35,N50+M51-V50,IF(A51&lt;'Données projet'!$A$36,$K$205^A51,IF(A51='Données projet'!$A$36,'Données projet'!$B$36,N50+M51-V50)))</f>
        <v>683.19999999999959</v>
      </c>
      <c r="O51" s="13">
        <f>N51*VLOOKUP('Données projet'!$B$9,Paramètres!$A$1:$I$89,3,0)*VLOOKUP('Données projet'!$B$9,Paramètres!$A$1:$I$89,5,0)</f>
        <v>381.90879999999981</v>
      </c>
      <c r="P51" s="13">
        <f t="shared" si="33"/>
        <v>88.099131154986978</v>
      </c>
      <c r="Q51" s="20">
        <f t="shared" si="53"/>
        <v>818.59714676160195</v>
      </c>
      <c r="R51" s="59">
        <f t="shared" si="0"/>
        <v>1111.9304800949353</v>
      </c>
      <c r="S51" s="59">
        <f ca="1">AVERAGE(OFFSET($R$3,0,0,'Données projet'!$E$9+1,1))-AVERAGE(OFFSET($H$3,0,0,'Données projet'!$E$9+1,1))</f>
        <v>486.22495915819474</v>
      </c>
      <c r="T51" s="59">
        <f t="shared" si="34"/>
        <v>593.51433014569966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73.131339121267587</v>
      </c>
      <c r="AA51" s="21">
        <f>EXP(-LN(2)/25)*AA50+(1-EXP(-LN(2)/25))/(LN(2)/25)*Calculateur!V51*Calculateur!X51*VLOOKUP('Données projet'!$B$9,Paramètres!$A$1:$I$89,3,0)*0.475*44/12</f>
        <v>25.590982678482021</v>
      </c>
      <c r="AB51" s="21">
        <f>EXP(-LN(2)/2)*AB50+(1-EXP(-LN(2)/2))/(LN(2)/2)*V51*Y51*VLOOKUP('Données projet'!$B$9,Paramètres!$A$1:$I$89,3,0)*0.475*44/12</f>
        <v>1.8039793497921544</v>
      </c>
      <c r="AC51" s="22">
        <f t="shared" si="3"/>
        <v>100.52630114954177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20.399999999999999</v>
      </c>
      <c r="N52" s="13">
        <f>IF('Données projet'!$A$36&gt;35,N51+M52-V51,IF(A52&lt;'Données projet'!$A$36,$K$205^A52,IF(A52='Données projet'!$A$36,'Données projet'!$B$36,N51+M52-V51)))</f>
        <v>703.59999999999957</v>
      </c>
      <c r="O52" s="13">
        <f>N52*VLOOKUP('Données projet'!$B$9,Paramètres!$A$1:$I$89,3,0)*VLOOKUP('Données projet'!$B$9,Paramètres!$A$1:$I$89,5,0)</f>
        <v>393.3123999999998</v>
      </c>
      <c r="P52" s="13">
        <f t="shared" si="33"/>
        <v>90.419529407700907</v>
      </c>
      <c r="Q52" s="20">
        <f t="shared" si="53"/>
        <v>842.49977705174535</v>
      </c>
      <c r="R52" s="59">
        <f t="shared" si="0"/>
        <v>1135.8331103850787</v>
      </c>
      <c r="S52" s="59">
        <f ca="1">AVERAGE(OFFSET($R$3,0,0,'Données projet'!$E$9+1,1))-AVERAGE(OFFSET($H$3,0,0,'Données projet'!$E$9+1,1))</f>
        <v>486.22495915819474</v>
      </c>
      <c r="T52" s="59">
        <f t="shared" si="34"/>
        <v>593.51433014569966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71.697278166811941</v>
      </c>
      <c r="AA52" s="21">
        <f>EXP(-LN(2)/25)*AA51+(1-EXP(-LN(2)/25))/(LN(2)/25)*Calculateur!V52*Calculateur!X52*VLOOKUP('Données projet'!$B$9,Paramètres!$A$1:$I$89,3,0)*0.475*44/12</f>
        <v>24.891195911367639</v>
      </c>
      <c r="AB52" s="21">
        <f>EXP(-LN(2)/2)*AB51+(1-EXP(-LN(2)/2))/(LN(2)/2)*V52*Y52*VLOOKUP('Données projet'!$B$9,Paramètres!$A$1:$I$89,3,0)*0.475*44/12</f>
        <v>1.2756060313585313</v>
      </c>
      <c r="AC52" s="22">
        <f t="shared" si="3"/>
        <v>97.864080109538122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724</v>
      </c>
      <c r="L53" s="12">
        <f>VLOOKUP(A53,'Données projet'!$A$35:$I$55,9,0)</f>
        <v>20.399999999999999</v>
      </c>
      <c r="M53" s="12">
        <f t="array" ref="M53">INDEX(L:L,MIN(IF(ISNUMBER(L53:L249),ROW(L53:L249),"")))</f>
        <v>20.399999999999999</v>
      </c>
      <c r="N53" s="13">
        <f>IF('Données projet'!$A$36&gt;35,N52+M53-V52,IF(A53&lt;'Données projet'!$A$36,$K$205^A53,IF(A53='Données projet'!$A$36,'Données projet'!$B$36,N52+M53-V52)))</f>
        <v>723.99999999999955</v>
      </c>
      <c r="O53" s="13">
        <f>N53*VLOOKUP('Données projet'!$B$9,Paramètres!$A$1:$I$89,3,0)*VLOOKUP('Données projet'!$B$9,Paramètres!$A$1:$I$89,5,0)</f>
        <v>404.71599999999978</v>
      </c>
      <c r="P53" s="13">
        <f t="shared" si="33"/>
        <v>92.732108655131142</v>
      </c>
      <c r="Q53" s="20">
        <f t="shared" si="53"/>
        <v>866.38878924101971</v>
      </c>
      <c r="R53" s="59">
        <f t="shared" si="0"/>
        <v>1159.7221225743531</v>
      </c>
      <c r="S53" s="59">
        <f ca="1">AVERAGE(OFFSET($R$3,0,0,'Données projet'!$E$9+1,1))-AVERAGE(OFFSET($H$3,0,0,'Données projet'!$E$9+1,1))</f>
        <v>486.22495915819474</v>
      </c>
      <c r="T53" s="59">
        <f t="shared" si="34"/>
        <v>593.51433014569966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62</v>
      </c>
      <c r="W53" s="16">
        <f>IF(ISNA(VLOOKUP(A53,'Données projet'!$A$35:$I$55,5,0)),0%,VLOOKUP(A53,'Données projet'!$A$35:$I$55,5,0)*VLOOKUP('Données projet'!$B$9,Paramètres!$A$1:$I$89,7,0))</f>
        <v>0.49500000000000005</v>
      </c>
      <c r="X53" s="16">
        <f>IF(ISNA(VLOOKUP(A53,'Données projet'!$A$35:$I$55,6,0)),0%,VLOOKUP(A53,'Données projet'!$A$35:$I$55,6,0)*VLOOKUP('Données projet'!$B$9,Paramètres!$A$1:$I$89,7,0))</f>
        <v>3.3000000000000002E-2</v>
      </c>
      <c r="Y53" s="16">
        <f>IF(ISNA(VLOOKUP(A53,'Données projet'!$A$35:$I$55,7,0)),0%,VLOOKUP(A53,'Données projet'!$A$35:$I$55,7,0))</f>
        <v>0.04</v>
      </c>
      <c r="Z53" s="21">
        <f>EXP(-LN(2)/35)*Z52+(1-EXP(-LN(2)/35))/(LN(2)/35)*V53*W53*VLOOKUP('Données projet'!$B$9,Paramètres!$A$1:$I$89,3,0)*0.475*44/12</f>
        <v>93.049493366811035</v>
      </c>
      <c r="AA53" s="21">
        <f>EXP(-LN(2)/25)*AA52+(1-EXP(-LN(2)/25))/(LN(2)/25)*Calculateur!V53*Calculateur!X53*VLOOKUP('Données projet'!$B$9,Paramètres!$A$1:$I$89,3,0)*0.475*44/12</f>
        <v>25.721781354579342</v>
      </c>
      <c r="AB53" s="21">
        <f>EXP(-LN(2)/2)*AB52+(1-EXP(-LN(2)/2))/(LN(2)/2)*V53*Y53*VLOOKUP('Données projet'!$B$9,Paramètres!$A$1:$I$89,3,0)*0.475*44/12</f>
        <v>2.4716259536029677</v>
      </c>
      <c r="AC53" s="22">
        <f t="shared" si="3"/>
        <v>121.24290067499334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15.4</v>
      </c>
      <c r="N54" s="13">
        <f>IF('Données projet'!$A$36&gt;35,N53+M54-V53,IF(A54&lt;'Données projet'!$A$36,$K$205^A54,IF(A54='Données projet'!$A$36,'Données projet'!$B$36,N53+M54-V53)))</f>
        <v>677.39999999999952</v>
      </c>
      <c r="O54" s="13">
        <f>N54*VLOOKUP('Données projet'!$B$9,Paramètres!$A$1:$I$89,3,0)*VLOOKUP('Données projet'!$B$9,Paramètres!$A$1:$I$89,5,0)</f>
        <v>378.66659999999979</v>
      </c>
      <c r="P54" s="13">
        <f t="shared" si="33"/>
        <v>87.437946637883755</v>
      </c>
      <c r="Q54" s="20">
        <f t="shared" si="53"/>
        <v>811.79875206098052</v>
      </c>
      <c r="R54" s="59">
        <f t="shared" si="0"/>
        <v>1105.1320853943139</v>
      </c>
      <c r="S54" s="59">
        <f ca="1">AVERAGE(OFFSET($R$3,0,0,'Données projet'!$E$9+1,1))-AVERAGE(OFFSET($H$3,0,0,'Données projet'!$E$9+1,1))</f>
        <v>486.22495915819474</v>
      </c>
      <c r="T54" s="59">
        <f t="shared" si="34"/>
        <v>593.51433014569966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91.22484955647478</v>
      </c>
      <c r="AA54" s="21">
        <f>EXP(-LN(2)/25)*AA53+(1-EXP(-LN(2)/25))/(LN(2)/25)*Calculateur!V54*Calculateur!X54*VLOOKUP('Données projet'!$B$9,Paramètres!$A$1:$I$89,3,0)*0.475*44/12</f>
        <v>25.018417890788676</v>
      </c>
      <c r="AB54" s="21">
        <f>EXP(-LN(2)/2)*AB53+(1-EXP(-LN(2)/2))/(LN(2)/2)*V54*Y54*VLOOKUP('Données projet'!$B$9,Paramètres!$A$1:$I$89,3,0)*0.475*44/12</f>
        <v>1.7477034723493257</v>
      </c>
      <c r="AC54" s="22">
        <f t="shared" si="3"/>
        <v>117.99097091961279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15.4</v>
      </c>
      <c r="N55" s="13">
        <f>IF('Données projet'!$A$36&gt;35,N54+M55-V54,IF(A55&lt;'Données projet'!$A$36,$K$205^A55,IF(A55='Données projet'!$A$36,'Données projet'!$B$36,N54+M55-V54)))</f>
        <v>692.7999999999995</v>
      </c>
      <c r="O55" s="13">
        <f>N55*VLOOKUP('Données projet'!$B$9,Paramètres!$A$1:$I$89,3,0)*VLOOKUP('Données projet'!$B$9,Paramètres!$A$1:$I$89,5,0)</f>
        <v>387.2751999999997</v>
      </c>
      <c r="P55" s="13">
        <f t="shared" si="33"/>
        <v>89.192073473767834</v>
      </c>
      <c r="Q55" s="20">
        <f t="shared" si="53"/>
        <v>829.84716796681175</v>
      </c>
      <c r="R55" s="59">
        <f t="shared" si="0"/>
        <v>1123.1805013001451</v>
      </c>
      <c r="S55" s="59">
        <f ca="1">AVERAGE(OFFSET($R$3,0,0,'Données projet'!$E$9+1,1))-AVERAGE(OFFSET($H$3,0,0,'Données projet'!$E$9+1,1))</f>
        <v>486.22495915819474</v>
      </c>
      <c r="T55" s="59">
        <f t="shared" si="34"/>
        <v>593.51433014569966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89.435985898336384</v>
      </c>
      <c r="AA55" s="21">
        <f>EXP(-LN(2)/25)*AA54+(1-EXP(-LN(2)/25))/(LN(2)/25)*Calculateur!V55*Calculateur!X55*VLOOKUP('Données projet'!$B$9,Paramètres!$A$1:$I$89,3,0)*0.475*44/12</f>
        <v>24.334287937903643</v>
      </c>
      <c r="AB55" s="21">
        <f>EXP(-LN(2)/2)*AB54+(1-EXP(-LN(2)/2))/(LN(2)/2)*V55*Y55*VLOOKUP('Données projet'!$B$9,Paramètres!$A$1:$I$89,3,0)*0.475*44/12</f>
        <v>1.2358129768014841</v>
      </c>
      <c r="AC55" s="22">
        <f t="shared" si="3"/>
        <v>115.00608681304151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15.4</v>
      </c>
      <c r="N56" s="13">
        <f>IF('Données projet'!$A$36&gt;35,N55+M56-V55,IF(A56&lt;'Données projet'!$A$36,$K$205^A56,IF(A56='Données projet'!$A$36,'Données projet'!$B$36,N55+M56-V55)))</f>
        <v>708.19999999999948</v>
      </c>
      <c r="O56" s="13">
        <f>N56*VLOOKUP('Données projet'!$B$9,Paramètres!$A$1:$I$89,3,0)*VLOOKUP('Données projet'!$B$9,Paramètres!$A$1:$I$89,5,0)</f>
        <v>395.88379999999972</v>
      </c>
      <c r="P56" s="13">
        <f t="shared" si="33"/>
        <v>90.941667130422957</v>
      </c>
      <c r="Q56" s="20">
        <f t="shared" si="53"/>
        <v>847.8876885854861</v>
      </c>
      <c r="R56" s="59">
        <f t="shared" si="0"/>
        <v>1141.2210219188194</v>
      </c>
      <c r="S56" s="59">
        <f ca="1">AVERAGE(OFFSET($R$3,0,0,'Données projet'!$E$9+1,1))-AVERAGE(OFFSET($H$3,0,0,'Données projet'!$E$9+1,1))</f>
        <v>486.22495915819474</v>
      </c>
      <c r="T56" s="59">
        <f t="shared" si="34"/>
        <v>593.51433014569966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87.682200765434985</v>
      </c>
      <c r="AA56" s="21">
        <f>EXP(-LN(2)/25)*AA55+(1-EXP(-LN(2)/25))/(LN(2)/25)*Calculateur!V56*Calculateur!X56*VLOOKUP('Données projet'!$B$9,Paramètres!$A$1:$I$89,3,0)*0.475*44/12</f>
        <v>23.668865554557083</v>
      </c>
      <c r="AB56" s="21">
        <f>EXP(-LN(2)/2)*AB55+(1-EXP(-LN(2)/2))/(LN(2)/2)*V56*Y56*VLOOKUP('Données projet'!$B$9,Paramètres!$A$1:$I$89,3,0)*0.475*44/12</f>
        <v>0.87385173617466294</v>
      </c>
      <c r="AC56" s="22">
        <f t="shared" si="3"/>
        <v>112.22491805616673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15.4</v>
      </c>
      <c r="N57" s="13">
        <f>IF('Données projet'!$A$36&gt;35,N56+M57-V56,IF(A57&lt;'Données projet'!$A$36,$K$205^A57,IF(A57='Données projet'!$A$36,'Données projet'!$B$36,N56+M57-V56)))</f>
        <v>723.59999999999945</v>
      </c>
      <c r="O57" s="13">
        <f>N57*VLOOKUP('Données projet'!$B$9,Paramètres!$A$1:$I$89,3,0)*VLOOKUP('Données projet'!$B$9,Paramètres!$A$1:$I$89,5,0)</f>
        <v>404.49239999999969</v>
      </c>
      <c r="P57" s="13">
        <f t="shared" si="33"/>
        <v>92.686837535548761</v>
      </c>
      <c r="Q57" s="20">
        <f t="shared" si="53"/>
        <v>865.92050537441344</v>
      </c>
      <c r="R57" s="59">
        <f t="shared" si="0"/>
        <v>1159.2538387077468</v>
      </c>
      <c r="S57" s="59">
        <f ca="1">AVERAGE(OFFSET($R$3,0,0,'Données projet'!$E$9+1,1))-AVERAGE(OFFSET($H$3,0,0,'Données projet'!$E$9+1,1))</f>
        <v>486.22495915819474</v>
      </c>
      <c r="T57" s="59">
        <f t="shared" si="34"/>
        <v>593.51433014569966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85.962806289286476</v>
      </c>
      <c r="AA57" s="21">
        <f>EXP(-LN(2)/25)*AA56+(1-EXP(-LN(2)/25))/(LN(2)/25)*Calculateur!V57*Calculateur!X57*VLOOKUP('Données projet'!$B$9,Paramètres!$A$1:$I$89,3,0)*0.475*44/12</f>
        <v>23.021639181276175</v>
      </c>
      <c r="AB57" s="21">
        <f>EXP(-LN(2)/2)*AB56+(1-EXP(-LN(2)/2))/(LN(2)/2)*V57*Y57*VLOOKUP('Données projet'!$B$9,Paramètres!$A$1:$I$89,3,0)*0.475*44/12</f>
        <v>0.61790648840074214</v>
      </c>
      <c r="AC57" s="22">
        <f t="shared" si="3"/>
        <v>109.6023519589634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739</v>
      </c>
      <c r="L58" s="12">
        <f>VLOOKUP(A58,'Données projet'!$A$35:$I$55,9,0)</f>
        <v>15.4</v>
      </c>
      <c r="M58" s="12">
        <f t="array" ref="M58">INDEX(L:L,MIN(IF(ISNUMBER(L58:L254),ROW(L58:L254),"")))</f>
        <v>15.4</v>
      </c>
      <c r="N58" s="13">
        <f>IF('Données projet'!$A$36&gt;35,N57+M58-V57,IF(A58&lt;'Données projet'!$A$36,$K$205^A58,IF(A58='Données projet'!$A$36,'Données projet'!$B$36,N57+M58-V57)))</f>
        <v>738.99999999999943</v>
      </c>
      <c r="O58" s="13">
        <f>N58*VLOOKUP('Données projet'!$B$9,Paramètres!$A$1:$I$89,3,0)*VLOOKUP('Données projet'!$B$9,Paramètres!$A$1:$I$89,5,0)</f>
        <v>413.10099999999971</v>
      </c>
      <c r="P58" s="13">
        <f t="shared" si="33"/>
        <v>94.427689670462271</v>
      </c>
      <c r="Q58" s="20">
        <f t="shared" si="53"/>
        <v>883.94580117605472</v>
      </c>
      <c r="R58" s="59">
        <f t="shared" si="0"/>
        <v>1177.2791345093881</v>
      </c>
      <c r="S58" s="59">
        <f ca="1">AVERAGE(OFFSET($R$3,0,0,'Données projet'!$E$9+1,1))-AVERAGE(OFFSET($H$3,0,0,'Données projet'!$E$9+1,1))</f>
        <v>486.22495915819474</v>
      </c>
      <c r="T58" s="59">
        <f t="shared" si="34"/>
        <v>593.51433014569966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46</v>
      </c>
      <c r="W58" s="16">
        <f>IF(ISNA(VLOOKUP(A58,'Données projet'!$A$35:$I$55,5,0)),0%,VLOOKUP(A58,'Données projet'!$A$35:$I$55,5,0)*VLOOKUP('Données projet'!$B$9,Paramètres!$A$1:$I$89,7,0))</f>
        <v>0.49500000000000005</v>
      </c>
      <c r="X58" s="16">
        <f>IF(ISNA(VLOOKUP(A58,'Données projet'!$A$35:$I$55,6,0)),0%,VLOOKUP(A58,'Données projet'!$A$35:$I$55,6,0)*VLOOKUP('Données projet'!$B$9,Paramètres!$A$1:$I$89,7,0))</f>
        <v>3.3000000000000002E-2</v>
      </c>
      <c r="Y58" s="16">
        <f>IF(ISNA(VLOOKUP(A58,'Données projet'!$A$35:$I$55,7,0)),0%,VLOOKUP(A58,'Données projet'!$A$35:$I$55,7,0))</f>
        <v>0.04</v>
      </c>
      <c r="Z58" s="21">
        <f>EXP(-LN(2)/35)*Z57+(1-EXP(-LN(2)/35))/(LN(2)/35)*V58*W58*VLOOKUP('Données projet'!$B$9,Paramètres!$A$1:$I$89,3,0)*0.475*44/12</f>
        <v>101.16221090163847</v>
      </c>
      <c r="AA58" s="21">
        <f>EXP(-LN(2)/25)*AA57+(1-EXP(-LN(2)/25))/(LN(2)/25)*Calculateur!V58*Calculateur!X58*VLOOKUP('Données projet'!$B$9,Paramètres!$A$1:$I$89,3,0)*0.475*44/12</f>
        <v>23.513351234328809</v>
      </c>
      <c r="AB58" s="21">
        <f>EXP(-LN(2)/2)*AB57+(1-EXP(-LN(2)/2))/(LN(2)/2)*V58*Y58*VLOOKUP('Données projet'!$B$9,Paramètres!$A$1:$I$89,3,0)*0.475*44/12</f>
        <v>1.6014947200311533</v>
      </c>
      <c r="AC58" s="22">
        <f t="shared" si="3"/>
        <v>126.27705685599844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12.2</v>
      </c>
      <c r="N59" s="13">
        <f>IF('Données projet'!$A$36&gt;35,N58+M59-V58,IF(A59&lt;'Données projet'!$A$36,$K$205^A59,IF(A59='Données projet'!$A$36,'Données projet'!$B$36,N58+M59-V58)))</f>
        <v>705.19999999999948</v>
      </c>
      <c r="O59" s="13">
        <f>N59*VLOOKUP('Données projet'!$B$9,Paramètres!$A$1:$I$89,3,0)*VLOOKUP('Données projet'!$B$9,Paramètres!$A$1:$I$89,5,0)</f>
        <v>394.2067999999997</v>
      </c>
      <c r="P59" s="13">
        <f t="shared" si="33"/>
        <v>90.601187466199292</v>
      </c>
      <c r="Q59" s="20">
        <f t="shared" si="53"/>
        <v>844.37391150362998</v>
      </c>
      <c r="R59" s="59">
        <f t="shared" si="0"/>
        <v>1137.7072448369634</v>
      </c>
      <c r="S59" s="59">
        <f ca="1">AVERAGE(OFFSET($R$3,0,0,'Données projet'!$E$9+1,1))-AVERAGE(OFFSET($H$3,0,0,'Données projet'!$E$9+1,1))</f>
        <v>486.22495915819474</v>
      </c>
      <c r="T59" s="59">
        <f t="shared" si="34"/>
        <v>593.51433014569966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99.178481648713344</v>
      </c>
      <c r="AA59" s="21">
        <f>EXP(-LN(2)/25)*AA58+(1-EXP(-LN(2)/25))/(LN(2)/25)*Calculateur!V59*Calculateur!X59*VLOOKUP('Données projet'!$B$9,Paramètres!$A$1:$I$89,3,0)*0.475*44/12</f>
        <v>22.870377408312688</v>
      </c>
      <c r="AB59" s="21">
        <f>EXP(-LN(2)/2)*AB58+(1-EXP(-LN(2)/2))/(LN(2)/2)*V59*Y59*VLOOKUP('Données projet'!$B$9,Paramètres!$A$1:$I$89,3,0)*0.475*44/12</f>
        <v>1.13242777656848</v>
      </c>
      <c r="AC59" s="22">
        <f t="shared" si="3"/>
        <v>123.18128683359451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12.2</v>
      </c>
      <c r="N60" s="13">
        <f>IF('Données projet'!$A$36&gt;35,N59+M60-V59,IF(A60&lt;'Données projet'!$A$36,$K$205^A60,IF(A60='Données projet'!$A$36,'Données projet'!$B$36,N59+M60-V59)))</f>
        <v>717.39999999999952</v>
      </c>
      <c r="O60" s="13">
        <f>N60*VLOOKUP('Données projet'!$B$9,Paramètres!$A$1:$I$89,3,0)*VLOOKUP('Données projet'!$B$9,Paramètres!$A$1:$I$89,5,0)</f>
        <v>401.02659999999975</v>
      </c>
      <c r="P60" s="13">
        <f t="shared" si="33"/>
        <v>91.984761558101539</v>
      </c>
      <c r="Q60" s="20">
        <f t="shared" si="53"/>
        <v>858.66145471369293</v>
      </c>
      <c r="R60" s="59">
        <f t="shared" si="0"/>
        <v>1151.9947880470263</v>
      </c>
      <c r="S60" s="59">
        <f ca="1">AVERAGE(OFFSET($R$3,0,0,'Données projet'!$E$9+1,1))-AVERAGE(OFFSET($H$3,0,0,'Données projet'!$E$9+1,1))</f>
        <v>486.22495915819474</v>
      </c>
      <c r="T60" s="59">
        <f t="shared" si="34"/>
        <v>593.51433014569966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97.233652116482702</v>
      </c>
      <c r="AA60" s="21">
        <f>EXP(-LN(2)/25)*AA59+(1-EXP(-LN(2)/25))/(LN(2)/25)*Calculateur!V60*Calculateur!X60*VLOOKUP('Données projet'!$B$9,Paramètres!$A$1:$I$89,3,0)*0.475*44/12</f>
        <v>22.244985735381501</v>
      </c>
      <c r="AB60" s="21">
        <f>EXP(-LN(2)/2)*AB59+(1-EXP(-LN(2)/2))/(LN(2)/2)*V60*Y60*VLOOKUP('Données projet'!$B$9,Paramètres!$A$1:$I$89,3,0)*0.475*44/12</f>
        <v>0.80074736001557678</v>
      </c>
      <c r="AC60" s="22">
        <f t="shared" si="3"/>
        <v>120.27938521187978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12.2</v>
      </c>
      <c r="N61" s="13">
        <f>IF('Données projet'!$A$36&gt;35,N60+M61-V60,IF(A61&lt;'Données projet'!$A$36,$K$205^A61,IF(A61='Données projet'!$A$36,'Données projet'!$B$36,N60+M61-V60)))</f>
        <v>729.59999999999957</v>
      </c>
      <c r="O61" s="13">
        <f>N61*VLOOKUP('Données projet'!$B$9,Paramètres!$A$1:$I$89,3,0)*VLOOKUP('Données projet'!$B$9,Paramètres!$A$1:$I$89,5,0)</f>
        <v>407.84639999999973</v>
      </c>
      <c r="P61" s="13">
        <f t="shared" si="33"/>
        <v>93.365599460181741</v>
      </c>
      <c r="Q61" s="20">
        <f t="shared" si="53"/>
        <v>872.94423239314926</v>
      </c>
      <c r="R61" s="59">
        <f t="shared" si="0"/>
        <v>1166.2775657264826</v>
      </c>
      <c r="S61" s="59">
        <f ca="1">AVERAGE(OFFSET($R$3,0,0,'Données projet'!$E$9+1,1))-AVERAGE(OFFSET($H$3,0,0,'Données projet'!$E$9+1,1))</f>
        <v>486.22495915819474</v>
      </c>
      <c r="T61" s="59">
        <f t="shared" si="34"/>
        <v>593.51433014569966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95.326959505150214</v>
      </c>
      <c r="AA61" s="21">
        <f>EXP(-LN(2)/25)*AA60+(1-EXP(-LN(2)/25))/(LN(2)/25)*Calculateur!V61*Calculateur!X61*VLOOKUP('Données projet'!$B$9,Paramètres!$A$1:$I$89,3,0)*0.475*44/12</f>
        <v>21.636695430634536</v>
      </c>
      <c r="AB61" s="21">
        <f>EXP(-LN(2)/2)*AB60+(1-EXP(-LN(2)/2))/(LN(2)/2)*V61*Y61*VLOOKUP('Données projet'!$B$9,Paramètres!$A$1:$I$89,3,0)*0.475*44/12</f>
        <v>0.56621388828424013</v>
      </c>
      <c r="AC61" s="22">
        <f t="shared" si="3"/>
        <v>117.52986882406898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12.2</v>
      </c>
      <c r="N62" s="13">
        <f>IF('Données projet'!$A$36&gt;35,N61+M62-V61,IF(A62&lt;'Données projet'!$A$36,$K$205^A62,IF(A62='Données projet'!$A$36,'Données projet'!$B$36,N61+M62-V61)))</f>
        <v>741.79999999999961</v>
      </c>
      <c r="O62" s="13">
        <f>N62*VLOOKUP('Données projet'!$B$9,Paramètres!$A$1:$I$89,3,0)*VLOOKUP('Données projet'!$B$9,Paramètres!$A$1:$I$89,5,0)</f>
        <v>414.66619999999978</v>
      </c>
      <c r="P62" s="13">
        <f t="shared" si="33"/>
        <v>94.743752206399009</v>
      </c>
      <c r="Q62" s="20">
        <f t="shared" si="53"/>
        <v>887.22233342614447</v>
      </c>
      <c r="R62" s="59">
        <f t="shared" si="0"/>
        <v>1180.5556667594778</v>
      </c>
      <c r="S62" s="59">
        <f ca="1">AVERAGE(OFFSET($R$3,0,0,'Données projet'!$E$9+1,1))-AVERAGE(OFFSET($H$3,0,0,'Données projet'!$E$9+1,1))</f>
        <v>486.22495915819474</v>
      </c>
      <c r="T62" s="59">
        <f t="shared" si="34"/>
        <v>593.51433014569966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93.457655972958307</v>
      </c>
      <c r="AA62" s="21">
        <f>EXP(-LN(2)/25)*AA61+(1-EXP(-LN(2)/25))/(LN(2)/25)*Calculateur!V62*Calculateur!X62*VLOOKUP('Données projet'!$B$9,Paramètres!$A$1:$I$89,3,0)*0.475*44/12</f>
        <v>21.045038856259474</v>
      </c>
      <c r="AB62" s="21">
        <f>EXP(-LN(2)/2)*AB61+(1-EXP(-LN(2)/2))/(LN(2)/2)*V62*Y62*VLOOKUP('Données projet'!$B$9,Paramètres!$A$1:$I$89,3,0)*0.475*44/12</f>
        <v>0.4003736800077885</v>
      </c>
      <c r="AC62" s="22">
        <f t="shared" si="3"/>
        <v>114.90306850922556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754</v>
      </c>
      <c r="L63" s="12">
        <f>VLOOKUP(A63,'Données projet'!$A$35:$I$55,9,0)</f>
        <v>12.2</v>
      </c>
      <c r="M63" s="12">
        <f t="array" ref="M63">INDEX(L:L,MIN(IF(ISNUMBER(L63:L259),ROW(L63:L259),"")))</f>
        <v>12.2</v>
      </c>
      <c r="N63" s="13">
        <f>IF('Données projet'!$A$36&gt;35,N62+M63-V62,IF(A63&lt;'Données projet'!$A$36,$K$205^A63,IF(A63='Données projet'!$A$36,'Données projet'!$B$36,N62+M63-V62)))</f>
        <v>753.99999999999966</v>
      </c>
      <c r="O63" s="13">
        <f>N63*VLOOKUP('Données projet'!$B$9,Paramètres!$A$1:$I$89,3,0)*VLOOKUP('Données projet'!$B$9,Paramètres!$A$1:$I$89,5,0)</f>
        <v>421.48599999999982</v>
      </c>
      <c r="P63" s="13">
        <f t="shared" si="33"/>
        <v>96.119269055816147</v>
      </c>
      <c r="Q63" s="20">
        <f t="shared" si="53"/>
        <v>901.49584360554616</v>
      </c>
      <c r="R63" s="59">
        <f t="shared" si="0"/>
        <v>1194.8291769388795</v>
      </c>
      <c r="S63" s="59">
        <f ca="1">AVERAGE(OFFSET($R$3,0,0,'Données projet'!$E$9+1,1))-AVERAGE(OFFSET($H$3,0,0,'Données projet'!$E$9+1,1))</f>
        <v>486.22495915819474</v>
      </c>
      <c r="T63" s="59">
        <f t="shared" si="34"/>
        <v>593.51433014569966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35</v>
      </c>
      <c r="W63" s="16">
        <f>IF(ISNA(VLOOKUP(A63,'Données projet'!$A$35:$I$55,5,0)),0%,VLOOKUP(A63,'Données projet'!$A$35:$I$55,5,0)*VLOOKUP('Données projet'!$B$9,Paramètres!$A$1:$I$89,7,0))</f>
        <v>0.49500000000000005</v>
      </c>
      <c r="X63" s="16">
        <f>IF(ISNA(VLOOKUP(A63,'Données projet'!$A$35:$I$55,6,0)),0%,VLOOKUP(A63,'Données projet'!$A$35:$I$55,6,0)*VLOOKUP('Données projet'!$B$9,Paramètres!$A$1:$I$89,7,0))</f>
        <v>3.3000000000000002E-2</v>
      </c>
      <c r="Y63" s="16">
        <f>IF(ISNA(VLOOKUP(A63,'Données projet'!$A$35:$I$55,7,0)),0%,VLOOKUP(A63,'Données projet'!$A$35:$I$55,7,0))</f>
        <v>0.04</v>
      </c>
      <c r="Z63" s="21">
        <f>EXP(-LN(2)/35)*Z62+(1-EXP(-LN(2)/35))/(LN(2)/35)*V63*W63*VLOOKUP('Données projet'!$B$9,Paramètres!$A$1:$I$89,3,0)*0.475*44/12</f>
        <v>104.47235396035403</v>
      </c>
      <c r="AA63" s="21">
        <f>EXP(-LN(2)/25)*AA62+(1-EXP(-LN(2)/25))/(LN(2)/25)*Calculateur!V63*Calculateur!X63*VLOOKUP('Données projet'!$B$9,Paramètres!$A$1:$I$89,3,0)*0.475*44/12</f>
        <v>21.322678543528927</v>
      </c>
      <c r="AB63" s="21">
        <f>EXP(-LN(2)/2)*AB62+(1-EXP(-LN(2)/2))/(LN(2)/2)*V63*Y63*VLOOKUP('Données projet'!$B$9,Paramètres!$A$1:$I$89,3,0)*0.475*44/12</f>
        <v>1.1691919401863324</v>
      </c>
      <c r="AC63" s="22">
        <f t="shared" si="3"/>
        <v>126.96422444406929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</v>
      </c>
      <c r="N64" s="13">
        <f>IF('Données projet'!$A$36&gt;35,N63+M64-V63,IF(A64&lt;'Données projet'!$A$36,$K$205^A64,IF(A64='Données projet'!$A$36,'Données projet'!$B$36,N63+M64-V63)))</f>
        <v>728.99999999999966</v>
      </c>
      <c r="O64" s="13">
        <f>N64*VLOOKUP('Données projet'!$B$9,Paramètres!$A$1:$I$89,3,0)*VLOOKUP('Données projet'!$B$9,Paramètres!$A$1:$I$89,5,0)</f>
        <v>407.51099999999985</v>
      </c>
      <c r="P64" s="13">
        <f t="shared" si="33"/>
        <v>93.297752590617137</v>
      </c>
      <c r="Q64" s="20">
        <f t="shared" si="53"/>
        <v>872.24191076199133</v>
      </c>
      <c r="R64" s="59">
        <f t="shared" si="0"/>
        <v>1165.5752440953247</v>
      </c>
      <c r="S64" s="59">
        <f ca="1">AVERAGE(OFFSET($R$3,0,0,'Données projet'!$E$9+1,1))-AVERAGE(OFFSET($H$3,0,0,'Données projet'!$E$9+1,1))</f>
        <v>486.22495915819474</v>
      </c>
      <c r="T64" s="59">
        <f t="shared" si="34"/>
        <v>593.51433014569966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102.42371482103539</v>
      </c>
      <c r="AA64" s="21">
        <f>EXP(-LN(2)/25)*AA63+(1-EXP(-LN(2)/25))/(LN(2)/25)*Calculateur!V64*Calculateur!X64*VLOOKUP('Données projet'!$B$9,Paramètres!$A$1:$I$89,3,0)*0.475*44/12</f>
        <v>20.739608777445198</v>
      </c>
      <c r="AB64" s="21">
        <f>EXP(-LN(2)/2)*AB63+(1-EXP(-LN(2)/2))/(LN(2)/2)*V64*Y64*VLOOKUP('Données projet'!$B$9,Paramètres!$A$1:$I$89,3,0)*0.475*44/12</f>
        <v>0.82674354941441197</v>
      </c>
      <c r="AC64" s="22">
        <f t="shared" si="3"/>
        <v>123.990067147895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</v>
      </c>
      <c r="N65" s="13">
        <f>IF('Données projet'!$A$36&gt;35,N64+M65-V64,IF(A65&lt;'Données projet'!$A$36,$K$205^A65,IF(A65='Données projet'!$A$36,'Données projet'!$B$36,N64+M65-V64)))</f>
        <v>738.99999999999966</v>
      </c>
      <c r="O65" s="13">
        <f>N65*VLOOKUP('Données projet'!$B$9,Paramètres!$A$1:$I$89,3,0)*VLOOKUP('Données projet'!$B$9,Paramètres!$A$1:$I$89,5,0)</f>
        <v>413.10099999999983</v>
      </c>
      <c r="P65" s="13">
        <f t="shared" si="33"/>
        <v>94.427689670462357</v>
      </c>
      <c r="Q65" s="20">
        <f t="shared" si="53"/>
        <v>883.94580117605494</v>
      </c>
      <c r="R65" s="59">
        <f t="shared" si="0"/>
        <v>1177.2791345093883</v>
      </c>
      <c r="S65" s="59">
        <f ca="1">AVERAGE(OFFSET($R$3,0,0,'Données projet'!$E$9+1,1))-AVERAGE(OFFSET($H$3,0,0,'Données projet'!$E$9+1,1))</f>
        <v>486.22495915819474</v>
      </c>
      <c r="T65" s="59">
        <f t="shared" si="34"/>
        <v>593.51433014569966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100.4152482456923</v>
      </c>
      <c r="AA65" s="21">
        <f>EXP(-LN(2)/25)*AA64+(1-EXP(-LN(2)/25))/(LN(2)/25)*Calculateur!V65*Calculateur!X65*VLOOKUP('Données projet'!$B$9,Paramètres!$A$1:$I$89,3,0)*0.475*44/12</f>
        <v>20.172483084777333</v>
      </c>
      <c r="AB65" s="21">
        <f>EXP(-LN(2)/2)*AB64+(1-EXP(-LN(2)/2))/(LN(2)/2)*V65*Y65*VLOOKUP('Données projet'!$B$9,Paramètres!$A$1:$I$89,3,0)*0.475*44/12</f>
        <v>0.58459597009316633</v>
      </c>
      <c r="AC65" s="22">
        <f t="shared" si="3"/>
        <v>121.1723273005628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</v>
      </c>
      <c r="N66" s="13">
        <f>IF('Données projet'!$A$36&gt;35,N65+M66-V65,IF(A66&lt;'Données projet'!$A$36,$K$205^A66,IF(A66='Données projet'!$A$36,'Données projet'!$B$36,N65+M66-V65)))</f>
        <v>748.99999999999966</v>
      </c>
      <c r="O66" s="13">
        <f>N66*VLOOKUP('Données projet'!$B$9,Paramètres!$A$1:$I$89,3,0)*VLOOKUP('Données projet'!$B$9,Paramètres!$A$1:$I$89,5,0)</f>
        <v>418.6909999999998</v>
      </c>
      <c r="P66" s="13">
        <f t="shared" si="33"/>
        <v>95.555848328260851</v>
      </c>
      <c r="Q66" s="20">
        <f t="shared" si="53"/>
        <v>895.64659417172061</v>
      </c>
      <c r="R66" s="59">
        <f t="shared" si="0"/>
        <v>1188.9799275050539</v>
      </c>
      <c r="S66" s="59">
        <f ca="1">AVERAGE(OFFSET($R$3,0,0,'Données projet'!$E$9+1,1))-AVERAGE(OFFSET($H$3,0,0,'Données projet'!$E$9+1,1))</f>
        <v>486.22495915819474</v>
      </c>
      <c r="T66" s="59">
        <f t="shared" si="34"/>
        <v>593.51433014569966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98.446166474848042</v>
      </c>
      <c r="AA66" s="21">
        <f>EXP(-LN(2)/25)*AA65+(1-EXP(-LN(2)/25))/(LN(2)/25)*Calculateur!V66*Calculateur!X66*VLOOKUP('Données projet'!$B$9,Paramètres!$A$1:$I$89,3,0)*0.475*44/12</f>
        <v>19.620865473999316</v>
      </c>
      <c r="AB66" s="21">
        <f>EXP(-LN(2)/2)*AB65+(1-EXP(-LN(2)/2))/(LN(2)/2)*V66*Y66*VLOOKUP('Données projet'!$B$9,Paramètres!$A$1:$I$89,3,0)*0.475*44/12</f>
        <v>0.4133717747072061</v>
      </c>
      <c r="AC66" s="22">
        <f t="shared" si="3"/>
        <v>118.48040372355456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</v>
      </c>
      <c r="N67" s="13">
        <f>IF('Données projet'!$A$36&gt;35,N66+M67-V66,IF(A67&lt;'Données projet'!$A$36,$K$205^A67,IF(A67='Données projet'!$A$36,'Données projet'!$B$36,N66+M67-V66)))</f>
        <v>758.99999999999966</v>
      </c>
      <c r="O67" s="13">
        <f>N67*VLOOKUP('Données projet'!$B$9,Paramètres!$A$1:$I$89,3,0)*VLOOKUP('Données projet'!$B$9,Paramètres!$A$1:$I$89,5,0)</f>
        <v>424.28099999999978</v>
      </c>
      <c r="P67" s="13">
        <f t="shared" si="33"/>
        <v>96.682255052757768</v>
      </c>
      <c r="Q67" s="20">
        <f t="shared" ref="Q67:Q98" si="54">(O67+P67)*0.475*44/12</f>
        <v>907.34433588355262</v>
      </c>
      <c r="R67" s="59">
        <f t="shared" ref="R67:R130" si="55">Q67+(I67+J67)*44/12</f>
        <v>1200.677669216886</v>
      </c>
      <c r="S67" s="59">
        <f ca="1">AVERAGE(OFFSET($R$3,0,0,'Données projet'!$E$9+1,1))-AVERAGE(OFFSET($H$3,0,0,'Données projet'!$E$9+1,1))</f>
        <v>486.22495915819474</v>
      </c>
      <c r="T67" s="59">
        <f t="shared" si="34"/>
        <v>593.51433014569966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96.515697196508754</v>
      </c>
      <c r="AA67" s="21">
        <f>EXP(-LN(2)/25)*AA66+(1-EXP(-LN(2)/25))/(LN(2)/25)*Calculateur!V67*Calculateur!X67*VLOOKUP('Données projet'!$B$9,Paramètres!$A$1:$I$89,3,0)*0.475*44/12</f>
        <v>19.084331875796334</v>
      </c>
      <c r="AB67" s="21">
        <f>EXP(-LN(2)/2)*AB66+(1-EXP(-LN(2)/2))/(LN(2)/2)*V67*Y67*VLOOKUP('Données projet'!$B$9,Paramètres!$A$1:$I$89,3,0)*0.475*44/12</f>
        <v>0.29229798504658322</v>
      </c>
      <c r="AC67" s="22">
        <f t="shared" si="3"/>
        <v>115.89232705735168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769</v>
      </c>
      <c r="L68" s="12">
        <f>VLOOKUP(A68,'Données projet'!$A$35:$I$55,9,0)</f>
        <v>10</v>
      </c>
      <c r="M68" s="12">
        <f t="array" ref="M68">INDEX(L:L,MIN(IF(ISNUMBER(L68:L264),ROW(L68:L264),"")))</f>
        <v>10</v>
      </c>
      <c r="N68" s="13">
        <f>IF('Données projet'!$A$36&gt;35,N67+M68-V67,IF(A68&lt;'Données projet'!$A$36,$K$205^A68,IF(A68='Données projet'!$A$36,'Données projet'!$B$36,N67+M68-V67)))</f>
        <v>768.99999999999966</v>
      </c>
      <c r="O68" s="13">
        <f>N68*VLOOKUP('Données projet'!$B$9,Paramètres!$A$1:$I$89,3,0)*VLOOKUP('Données projet'!$B$9,Paramètres!$A$1:$I$89,5,0)</f>
        <v>429.87099999999981</v>
      </c>
      <c r="P68" s="13">
        <f t="shared" si="33"/>
        <v>97.806935594587088</v>
      </c>
      <c r="Q68" s="20">
        <f t="shared" si="54"/>
        <v>919.03907116057201</v>
      </c>
      <c r="R68" s="59">
        <f t="shared" si="55"/>
        <v>1212.3724044939054</v>
      </c>
      <c r="S68" s="59">
        <f ca="1">AVERAGE(OFFSET($R$3,0,0,'Données projet'!$E$9+1,1))-AVERAGE(OFFSET($H$3,0,0,'Données projet'!$E$9+1,1))</f>
        <v>486.22495915819474</v>
      </c>
      <c r="T68" s="59">
        <f t="shared" si="34"/>
        <v>593.51433014569966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769</v>
      </c>
      <c r="W68" s="16">
        <f>IF(ISNA(VLOOKUP(A68,'Données projet'!$A$35:$I$55,5,0)),0%,VLOOKUP(A68,'Données projet'!$A$35:$I$55,5,0)*VLOOKUP('Données projet'!$B$9,Paramètres!$A$1:$I$89,7,0))</f>
        <v>0.49500000000000005</v>
      </c>
      <c r="X68" s="16">
        <f>IF(ISNA(VLOOKUP(A68,'Données projet'!$A$35:$I$55,6,0)),0%,VLOOKUP(A68,'Données projet'!$A$35:$I$55,6,0)*VLOOKUP('Données projet'!$B$9,Paramètres!$A$1:$I$89,7,0))</f>
        <v>3.3000000000000002E-2</v>
      </c>
      <c r="Y68" s="16">
        <f>IF(ISNA(VLOOKUP(A68,'Données projet'!$A$35:$I$55,7,0)),0%,VLOOKUP(A68,'Données projet'!$A$35:$I$55,7,0))</f>
        <v>0.04</v>
      </c>
      <c r="Z68" s="21">
        <f>EXP(-LN(2)/35)*Z67+(1-EXP(-LN(2)/35))/(LN(2)/35)*V68*W68*VLOOKUP('Données projet'!$B$9,Paramètres!$A$1:$I$89,3,0)*0.475*44/12</f>
        <v>376.8976198102518</v>
      </c>
      <c r="AA68" s="21">
        <f>EXP(-LN(2)/25)*AA67+(1-EXP(-LN(2)/25))/(LN(2)/25)*Calculateur!V68*Calculateur!X68*VLOOKUP('Données projet'!$B$9,Paramètres!$A$1:$I$89,3,0)*0.475*44/12</f>
        <v>37.306677427818563</v>
      </c>
      <c r="AB68" s="21">
        <f>EXP(-LN(2)/2)*AB67+(1-EXP(-LN(2)/2))/(LN(2)/2)*V68*Y68*VLOOKUP('Données projet'!$B$9,Paramètres!$A$1:$I$89,3,0)*0.475*44/12</f>
        <v>19.675239086153582</v>
      </c>
      <c r="AC68" s="22">
        <f t="shared" ref="AC68:AC131" si="57">SUM(Z68:AB68)</f>
        <v>433.87953632422392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-3.4106051316484809E-13</v>
      </c>
      <c r="O69" s="13">
        <f>N69*VLOOKUP('Données projet'!$B$9,Paramètres!$A$1:$I$89,3,0)*VLOOKUP('Données projet'!$B$9,Paramètres!$A$1:$I$89,5,0)</f>
        <v>-1.9065282685915009E-13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486.22495915819474</v>
      </c>
      <c r="T69" s="59">
        <f t="shared" ref="T69:T132" si="88">$T$3</f>
        <v>593.51433014569966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369.5068873706216</v>
      </c>
      <c r="AA69" s="21">
        <f>EXP(-LN(2)/25)*AA68+(1-EXP(-LN(2)/25))/(LN(2)/25)*Calculateur!V69*Calculateur!X69*VLOOKUP('Données projet'!$B$9,Paramètres!$A$1:$I$89,3,0)*0.475*44/12</f>
        <v>36.286524371681963</v>
      </c>
      <c r="AB69" s="21">
        <f>EXP(-LN(2)/2)*AB68+(1-EXP(-LN(2)/2))/(LN(2)/2)*V69*Y69*VLOOKUP('Données projet'!$B$9,Paramètres!$A$1:$I$89,3,0)*0.475*44/12</f>
        <v>13.912494979285809</v>
      </c>
      <c r="AC69" s="22">
        <f t="shared" si="57"/>
        <v>419.70590672158932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-3.4106051316484809E-13</v>
      </c>
      <c r="O70" s="13">
        <f>N70*VLOOKUP('Données projet'!$B$9,Paramètres!$A$1:$I$89,3,0)*VLOOKUP('Données projet'!$B$9,Paramètres!$A$1:$I$89,5,0)</f>
        <v>-1.9065282685915009E-13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486.22495915819474</v>
      </c>
      <c r="T70" s="59">
        <f t="shared" si="88"/>
        <v>593.51433014569966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362.26108268623091</v>
      </c>
      <c r="AA70" s="21">
        <f>EXP(-LN(2)/25)*AA69+(1-EXP(-LN(2)/25))/(LN(2)/25)*Calculateur!V70*Calculateur!X70*VLOOKUP('Données projet'!$B$9,Paramètres!$A$1:$I$89,3,0)*0.475*44/12</f>
        <v>35.294267454512941</v>
      </c>
      <c r="AB70" s="21">
        <f>EXP(-LN(2)/2)*AB69+(1-EXP(-LN(2)/2))/(LN(2)/2)*V70*Y70*VLOOKUP('Données projet'!$B$9,Paramètres!$A$1:$I$89,3,0)*0.475*44/12</f>
        <v>9.8376195430767925</v>
      </c>
      <c r="AC70" s="22">
        <f t="shared" si="57"/>
        <v>407.39296968382064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-3.4106051316484809E-13</v>
      </c>
      <c r="O71" s="13">
        <f>N71*VLOOKUP('Données projet'!$B$9,Paramètres!$A$1:$I$89,3,0)*VLOOKUP('Données projet'!$B$9,Paramètres!$A$1:$I$89,5,0)</f>
        <v>-1.9065282685915009E-13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486.22495915819474</v>
      </c>
      <c r="T71" s="59">
        <f t="shared" si="88"/>
        <v>593.51433014569966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355.15736381219665</v>
      </c>
      <c r="AA71" s="21">
        <f>EXP(-LN(2)/25)*AA70+(1-EXP(-LN(2)/25))/(LN(2)/25)*Calculateur!V71*Calculateur!X71*VLOOKUP('Données projet'!$B$9,Paramètres!$A$1:$I$89,3,0)*0.475*44/12</f>
        <v>34.329143854924425</v>
      </c>
      <c r="AB71" s="21">
        <f>EXP(-LN(2)/2)*AB70+(1-EXP(-LN(2)/2))/(LN(2)/2)*V71*Y71*VLOOKUP('Données projet'!$B$9,Paramètres!$A$1:$I$89,3,0)*0.475*44/12</f>
        <v>6.9562474896429061</v>
      </c>
      <c r="AC71" s="22">
        <f t="shared" si="57"/>
        <v>396.44275515676401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-3.4106051316484809E-13</v>
      </c>
      <c r="O72" s="13">
        <f>N72*VLOOKUP('Données projet'!$B$9,Paramètres!$A$1:$I$89,3,0)*VLOOKUP('Données projet'!$B$9,Paramètres!$A$1:$I$89,5,0)</f>
        <v>-1.9065282685915009E-13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486.22495915819474</v>
      </c>
      <c r="T72" s="59">
        <f t="shared" si="88"/>
        <v>593.51433014569966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348.19294453244152</v>
      </c>
      <c r="AA72" s="21">
        <f>EXP(-LN(2)/25)*AA71+(1-EXP(-LN(2)/25))/(LN(2)/25)*Calculateur!V72*Calculateur!X72*VLOOKUP('Données projet'!$B$9,Paramètres!$A$1:$I$89,3,0)*0.475*44/12</f>
        <v>33.390411610920303</v>
      </c>
      <c r="AB72" s="21">
        <f>EXP(-LN(2)/2)*AB71+(1-EXP(-LN(2)/2))/(LN(2)/2)*V72*Y72*VLOOKUP('Données projet'!$B$9,Paramètres!$A$1:$I$89,3,0)*0.475*44/12</f>
        <v>4.9188097715383972</v>
      </c>
      <c r="AC72" s="22">
        <f t="shared" si="57"/>
        <v>386.50216591490022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-3.4106051316484809E-13</v>
      </c>
      <c r="O73" s="13">
        <f>N73*VLOOKUP('Données projet'!$B$9,Paramètres!$A$1:$I$89,3,0)*VLOOKUP('Données projet'!$B$9,Paramètres!$A$1:$I$89,5,0)</f>
        <v>-1.9065282685915009E-13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486.22495915819474</v>
      </c>
      <c r="T73" s="59">
        <f t="shared" si="88"/>
        <v>593.51433014569966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341.36509326688605</v>
      </c>
      <c r="AA73" s="21">
        <f>EXP(-LN(2)/25)*AA72+(1-EXP(-LN(2)/25))/(LN(2)/25)*Calculateur!V73*Calculateur!X73*VLOOKUP('Données projet'!$B$9,Paramètres!$A$1:$I$89,3,0)*0.475*44/12</f>
        <v>32.477349049494258</v>
      </c>
      <c r="AB73" s="21">
        <f>EXP(-LN(2)/2)*AB72+(1-EXP(-LN(2)/2))/(LN(2)/2)*V73*Y73*VLOOKUP('Données projet'!$B$9,Paramètres!$A$1:$I$89,3,0)*0.475*44/12</f>
        <v>3.4781237448214535</v>
      </c>
      <c r="AC73" s="22">
        <f t="shared" si="57"/>
        <v>377.32056606120176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-3.4106051316484809E-13</v>
      </c>
      <c r="O74" s="13">
        <f>N74*VLOOKUP('Données projet'!$B$9,Paramètres!$A$1:$I$89,3,0)*VLOOKUP('Données projet'!$B$9,Paramètres!$A$1:$I$89,5,0)</f>
        <v>-1.9065282685915009E-13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486.22495915819474</v>
      </c>
      <c r="T74" s="59">
        <f t="shared" si="88"/>
        <v>593.51433014569966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334.67113200007009</v>
      </c>
      <c r="AA74" s="21">
        <f>EXP(-LN(2)/25)*AA73+(1-EXP(-LN(2)/25))/(LN(2)/25)*Calculateur!V74*Calculateur!X74*VLOOKUP('Données projet'!$B$9,Paramètres!$A$1:$I$89,3,0)*0.475*44/12</f>
        <v>31.589254231826278</v>
      </c>
      <c r="AB74" s="21">
        <f>EXP(-LN(2)/2)*AB73+(1-EXP(-LN(2)/2))/(LN(2)/2)*V74*Y74*VLOOKUP('Données projet'!$B$9,Paramètres!$A$1:$I$89,3,0)*0.475*44/12</f>
        <v>2.459404885769199</v>
      </c>
      <c r="AC74" s="22">
        <f t="shared" si="57"/>
        <v>368.71979111766552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-3.4106051316484809E-13</v>
      </c>
      <c r="O75" s="13">
        <f>N75*VLOOKUP('Données projet'!$B$9,Paramètres!$A$1:$I$89,3,0)*VLOOKUP('Données projet'!$B$9,Paramètres!$A$1:$I$89,5,0)</f>
        <v>-1.9065282685915009E-13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486.22495915819474</v>
      </c>
      <c r="T75" s="59">
        <f t="shared" si="88"/>
        <v>593.51433014569966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328.10843523078313</v>
      </c>
      <c r="AA75" s="21">
        <f>EXP(-LN(2)/25)*AA74+(1-EXP(-LN(2)/25))/(LN(2)/25)*Calculateur!V75*Calculateur!X75*VLOOKUP('Données projet'!$B$9,Paramètres!$A$1:$I$89,3,0)*0.475*44/12</f>
        <v>30.725444413650305</v>
      </c>
      <c r="AB75" s="21">
        <f>EXP(-LN(2)/2)*AB74+(1-EXP(-LN(2)/2))/(LN(2)/2)*V75*Y75*VLOOKUP('Données projet'!$B$9,Paramètres!$A$1:$I$89,3,0)*0.475*44/12</f>
        <v>1.739061872410727</v>
      </c>
      <c r="AC75" s="22">
        <f t="shared" si="57"/>
        <v>360.57294151684414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-3.4106051316484809E-13</v>
      </c>
      <c r="O76" s="13">
        <f>N76*VLOOKUP('Données projet'!$B$9,Paramètres!$A$1:$I$89,3,0)*VLOOKUP('Données projet'!$B$9,Paramètres!$A$1:$I$89,5,0)</f>
        <v>-1.9065282685915009E-13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486.22495915819474</v>
      </c>
      <c r="T76" s="59">
        <f t="shared" si="88"/>
        <v>593.51433014569966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321.67442894229214</v>
      </c>
      <c r="AA76" s="21">
        <f>EXP(-LN(2)/25)*AA75+(1-EXP(-LN(2)/25))/(LN(2)/25)*Calculateur!V76*Calculateur!X76*VLOOKUP('Données projet'!$B$9,Paramètres!$A$1:$I$89,3,0)*0.475*44/12</f>
        <v>29.885255520378138</v>
      </c>
      <c r="AB76" s="21">
        <f>EXP(-LN(2)/2)*AB75+(1-EXP(-LN(2)/2))/(LN(2)/2)*V76*Y76*VLOOKUP('Données projet'!$B$9,Paramètres!$A$1:$I$89,3,0)*0.475*44/12</f>
        <v>1.2297024428845997</v>
      </c>
      <c r="AC76" s="22">
        <f t="shared" si="57"/>
        <v>352.78938690555486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-3.4106051316484809E-13</v>
      </c>
      <c r="O77" s="13">
        <f>N77*VLOOKUP('Données projet'!$B$9,Paramètres!$A$1:$I$89,3,0)*VLOOKUP('Données projet'!$B$9,Paramètres!$A$1:$I$89,5,0)</f>
        <v>-1.9065282685915009E-13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486.22495915819474</v>
      </c>
      <c r="T77" s="59">
        <f t="shared" si="88"/>
        <v>593.51433014569966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315.36658959276212</v>
      </c>
      <c r="AA77" s="21">
        <f>EXP(-LN(2)/25)*AA76+(1-EXP(-LN(2)/25))/(LN(2)/25)*Calculateur!V77*Calculateur!X77*VLOOKUP('Données projet'!$B$9,Paramètres!$A$1:$I$89,3,0)*0.475*44/12</f>
        <v>29.068041636576112</v>
      </c>
      <c r="AB77" s="21">
        <f>EXP(-LN(2)/2)*AB76+(1-EXP(-LN(2)/2))/(LN(2)/2)*V77*Y77*VLOOKUP('Données projet'!$B$9,Paramètres!$A$1:$I$89,3,0)*0.475*44/12</f>
        <v>0.8695309362053637</v>
      </c>
      <c r="AC77" s="22">
        <f t="shared" si="57"/>
        <v>345.30416216554363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-3.4106051316484809E-13</v>
      </c>
      <c r="O78" s="13">
        <f>N78*VLOOKUP('Données projet'!$B$9,Paramètres!$A$1:$I$89,3,0)*VLOOKUP('Données projet'!$B$9,Paramètres!$A$1:$I$89,5,0)</f>
        <v>-1.9065282685915009E-13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486.22495915819474</v>
      </c>
      <c r="T78" s="59">
        <f t="shared" si="88"/>
        <v>593.51433014569966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309.18244312547426</v>
      </c>
      <c r="AA78" s="21">
        <f>EXP(-LN(2)/25)*AA77+(1-EXP(-LN(2)/25))/(LN(2)/25)*Calculateur!V78*Calculateur!X78*VLOOKUP('Données projet'!$B$9,Paramètres!$A$1:$I$89,3,0)*0.475*44/12</f>
        <v>28.273174509402065</v>
      </c>
      <c r="AB78" s="21">
        <f>EXP(-LN(2)/2)*AB77+(1-EXP(-LN(2)/2))/(LN(2)/2)*V78*Y78*VLOOKUP('Données projet'!$B$9,Paramètres!$A$1:$I$89,3,0)*0.475*44/12</f>
        <v>0.61485122144229998</v>
      </c>
      <c r="AC78" s="22">
        <f t="shared" si="57"/>
        <v>338.0704688563186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-3.4106051316484809E-13</v>
      </c>
      <c r="O79" s="13">
        <f>N79*VLOOKUP('Données projet'!$B$9,Paramètres!$A$1:$I$89,3,0)*VLOOKUP('Données projet'!$B$9,Paramètres!$A$1:$I$89,5,0)</f>
        <v>-1.9065282685915009E-13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486.22495915819474</v>
      </c>
      <c r="T79" s="59">
        <f t="shared" si="88"/>
        <v>593.51433014569966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303.11956399845303</v>
      </c>
      <c r="AA79" s="21">
        <f>EXP(-LN(2)/25)*AA78+(1-EXP(-LN(2)/25))/(LN(2)/25)*Calculateur!V79*Calculateur!X79*VLOOKUP('Données projet'!$B$9,Paramètres!$A$1:$I$89,3,0)*0.475*44/12</f>
        <v>27.500043065620837</v>
      </c>
      <c r="AB79" s="21">
        <f>EXP(-LN(2)/2)*AB78+(1-EXP(-LN(2)/2))/(LN(2)/2)*V79*Y79*VLOOKUP('Données projet'!$B$9,Paramètres!$A$1:$I$89,3,0)*0.475*44/12</f>
        <v>0.43476546810268191</v>
      </c>
      <c r="AC79" s="22">
        <f t="shared" si="57"/>
        <v>331.05437253217656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-3.4106051316484809E-13</v>
      </c>
      <c r="O80" s="13">
        <f>N80*VLOOKUP('Données projet'!$B$9,Paramètres!$A$1:$I$89,3,0)*VLOOKUP('Données projet'!$B$9,Paramètres!$A$1:$I$89,5,0)</f>
        <v>-1.9065282685915009E-13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486.22495915819474</v>
      </c>
      <c r="T80" s="59">
        <f t="shared" si="88"/>
        <v>593.51433014569966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297.17557423312155</v>
      </c>
      <c r="AA80" s="21">
        <f>EXP(-LN(2)/25)*AA79+(1-EXP(-LN(2)/25))/(LN(2)/25)*Calculateur!V80*Calculateur!X80*VLOOKUP('Données projet'!$B$9,Paramètres!$A$1:$I$89,3,0)*0.475*44/12</f>
        <v>26.748052941827023</v>
      </c>
      <c r="AB80" s="21">
        <f>EXP(-LN(2)/2)*AB79+(1-EXP(-LN(2)/2))/(LN(2)/2)*V80*Y80*VLOOKUP('Données projet'!$B$9,Paramètres!$A$1:$I$89,3,0)*0.475*44/12</f>
        <v>0.30742561072115004</v>
      </c>
      <c r="AC80" s="22">
        <f t="shared" si="57"/>
        <v>324.23105278566976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-3.4106051316484809E-13</v>
      </c>
      <c r="O81" s="13">
        <f>N81*VLOOKUP('Données projet'!$B$9,Paramètres!$A$1:$I$89,3,0)*VLOOKUP('Données projet'!$B$9,Paramètres!$A$1:$I$89,5,0)</f>
        <v>-1.9065282685915009E-13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486.22495915819474</v>
      </c>
      <c r="T81" s="59">
        <f t="shared" si="88"/>
        <v>593.51433014569966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291.34814248161246</v>
      </c>
      <c r="AA81" s="21">
        <f>EXP(-LN(2)/25)*AA80+(1-EXP(-LN(2)/25))/(LN(2)/25)*Calculateur!V81*Calculateur!X81*VLOOKUP('Données projet'!$B$9,Paramètres!$A$1:$I$89,3,0)*0.475*44/12</f>
        <v>26.016626027513791</v>
      </c>
      <c r="AB81" s="21">
        <f>EXP(-LN(2)/2)*AB80+(1-EXP(-LN(2)/2))/(LN(2)/2)*V81*Y81*VLOOKUP('Données projet'!$B$9,Paramètres!$A$1:$I$89,3,0)*0.475*44/12</f>
        <v>0.21738273405134101</v>
      </c>
      <c r="AC81" s="22">
        <f t="shared" si="57"/>
        <v>317.58215124317758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-3.4106051316484809E-13</v>
      </c>
      <c r="O82" s="13">
        <f>N82*VLOOKUP('Données projet'!$B$9,Paramètres!$A$1:$I$89,3,0)*VLOOKUP('Données projet'!$B$9,Paramètres!$A$1:$I$89,5,0)</f>
        <v>-1.9065282685915009E-13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486.22495915819474</v>
      </c>
      <c r="T82" s="59">
        <f t="shared" si="88"/>
        <v>593.51433014569966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285.63498311236805</v>
      </c>
      <c r="AA82" s="21">
        <f>EXP(-LN(2)/25)*AA81+(1-EXP(-LN(2)/25))/(LN(2)/25)*Calculateur!V82*Calculateur!X82*VLOOKUP('Données projet'!$B$9,Paramètres!$A$1:$I$89,3,0)*0.475*44/12</f>
        <v>25.305200020636526</v>
      </c>
      <c r="AB82" s="21">
        <f>EXP(-LN(2)/2)*AB81+(1-EXP(-LN(2)/2))/(LN(2)/2)*V82*Y82*VLOOKUP('Données projet'!$B$9,Paramètres!$A$1:$I$89,3,0)*0.475*44/12</f>
        <v>0.15371280536057505</v>
      </c>
      <c r="AC82" s="22">
        <f t="shared" si="57"/>
        <v>311.09389593836511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-3.4106051316484809E-13</v>
      </c>
      <c r="O83" s="13">
        <f>N83*VLOOKUP('Données projet'!$B$9,Paramètres!$A$1:$I$89,3,0)*VLOOKUP('Données projet'!$B$9,Paramètres!$A$1:$I$89,5,0)</f>
        <v>-1.9065282685915009E-13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486.22495915819474</v>
      </c>
      <c r="T83" s="59">
        <f t="shared" si="88"/>
        <v>593.51433014569966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280.03385531367138</v>
      </c>
      <c r="AA83" s="21">
        <f>EXP(-LN(2)/25)*AA82+(1-EXP(-LN(2)/25))/(LN(2)/25)*Calculateur!V83*Calculateur!X83*VLOOKUP('Données projet'!$B$9,Paramètres!$A$1:$I$89,3,0)*0.475*44/12</f>
        <v>24.613227995329588</v>
      </c>
      <c r="AB83" s="21">
        <f>EXP(-LN(2)/2)*AB82+(1-EXP(-LN(2)/2))/(LN(2)/2)*V83*Y83*VLOOKUP('Données projet'!$B$9,Paramètres!$A$1:$I$89,3,0)*0.475*44/12</f>
        <v>0.10869136702567052</v>
      </c>
      <c r="AC83" s="22">
        <f t="shared" si="57"/>
        <v>304.75577467602659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-3.4106051316484809E-13</v>
      </c>
      <c r="O84" s="13">
        <f>N84*VLOOKUP('Données projet'!$B$9,Paramètres!$A$1:$I$89,3,0)*VLOOKUP('Données projet'!$B$9,Paramètres!$A$1:$I$89,5,0)</f>
        <v>-1.9065282685915009E-13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486.22495915819474</v>
      </c>
      <c r="T84" s="59">
        <f t="shared" si="88"/>
        <v>593.51433014569966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274.54256221475657</v>
      </c>
      <c r="AA84" s="21">
        <f>EXP(-LN(2)/25)*AA83+(1-EXP(-LN(2)/25))/(LN(2)/25)*Calculateur!V84*Calculateur!X84*VLOOKUP('Données projet'!$B$9,Paramètres!$A$1:$I$89,3,0)*0.475*44/12</f>
        <v>23.940177981443895</v>
      </c>
      <c r="AB84" s="21">
        <f>EXP(-LN(2)/2)*AB83+(1-EXP(-LN(2)/2))/(LN(2)/2)*V84*Y84*VLOOKUP('Données projet'!$B$9,Paramètres!$A$1:$I$89,3,0)*0.475*44/12</f>
        <v>7.6856402680287539E-2</v>
      </c>
      <c r="AC84" s="22">
        <f t="shared" si="57"/>
        <v>298.55959659888072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-3.4106051316484809E-13</v>
      </c>
      <c r="O85" s="13">
        <f>N85*VLOOKUP('Données projet'!$B$9,Paramètres!$A$1:$I$89,3,0)*VLOOKUP('Données projet'!$B$9,Paramètres!$A$1:$I$89,5,0)</f>
        <v>-1.9065282685915009E-13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486.22495915819474</v>
      </c>
      <c r="T85" s="59">
        <f t="shared" si="88"/>
        <v>593.51433014569966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269.1589500241534</v>
      </c>
      <c r="AA85" s="21">
        <f>EXP(-LN(2)/25)*AA84+(1-EXP(-LN(2)/25))/(LN(2)/25)*Calculateur!V85*Calculateur!X85*VLOOKUP('Données projet'!$B$9,Paramètres!$A$1:$I$89,3,0)*0.475*44/12</f>
        <v>23.285532555582069</v>
      </c>
      <c r="AB85" s="21">
        <f>EXP(-LN(2)/2)*AB84+(1-EXP(-LN(2)/2))/(LN(2)/2)*V85*Y85*VLOOKUP('Données projet'!$B$9,Paramètres!$A$1:$I$89,3,0)*0.475*44/12</f>
        <v>5.4345683512835266E-2</v>
      </c>
      <c r="AC85" s="22">
        <f t="shared" si="57"/>
        <v>292.4988282632483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-3.4106051316484809E-13</v>
      </c>
      <c r="O86" s="13">
        <f>N86*VLOOKUP('Données projet'!$B$9,Paramètres!$A$1:$I$89,3,0)*VLOOKUP('Données projet'!$B$9,Paramètres!$A$1:$I$89,5,0)</f>
        <v>-1.9065282685915009E-13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486.22495915819474</v>
      </c>
      <c r="T86" s="59">
        <f t="shared" si="88"/>
        <v>593.51433014569966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263.88090718492873</v>
      </c>
      <c r="AA86" s="21">
        <f>EXP(-LN(2)/25)*AA85+(1-EXP(-LN(2)/25))/(LN(2)/25)*Calculateur!V86*Calculateur!X86*VLOOKUP('Données projet'!$B$9,Paramètres!$A$1:$I$89,3,0)*0.475*44/12</f>
        <v>22.648788443316739</v>
      </c>
      <c r="AB86" s="21">
        <f>EXP(-LN(2)/2)*AB85+(1-EXP(-LN(2)/2))/(LN(2)/2)*V86*Y86*VLOOKUP('Données projet'!$B$9,Paramètres!$A$1:$I$89,3,0)*0.475*44/12</f>
        <v>3.8428201340143769E-2</v>
      </c>
      <c r="AC86" s="22">
        <f t="shared" si="57"/>
        <v>286.5681238295856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-3.4106051316484809E-13</v>
      </c>
      <c r="O87" s="13">
        <f>N87*VLOOKUP('Données projet'!$B$9,Paramètres!$A$1:$I$89,3,0)*VLOOKUP('Données projet'!$B$9,Paramètres!$A$1:$I$89,5,0)</f>
        <v>-1.9065282685915009E-13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486.22495915819474</v>
      </c>
      <c r="T87" s="59">
        <f t="shared" si="88"/>
        <v>593.51433014569966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258.70636354649304</v>
      </c>
      <c r="AA87" s="21">
        <f>EXP(-LN(2)/25)*AA86+(1-EXP(-LN(2)/25))/(LN(2)/25)*Calculateur!V87*Calculateur!X87*VLOOKUP('Données projet'!$B$9,Paramètres!$A$1:$I$89,3,0)*0.475*44/12</f>
        <v>22.029456132286224</v>
      </c>
      <c r="AB87" s="21">
        <f>EXP(-LN(2)/2)*AB86+(1-EXP(-LN(2)/2))/(LN(2)/2)*V87*Y87*VLOOKUP('Données projet'!$B$9,Paramètres!$A$1:$I$89,3,0)*0.475*44/12</f>
        <v>2.7172841756417633E-2</v>
      </c>
      <c r="AC87" s="22">
        <f t="shared" si="57"/>
        <v>280.76299252053565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-3.4106051316484809E-13</v>
      </c>
      <c r="O88" s="13">
        <f>N88*VLOOKUP('Données projet'!$B$9,Paramètres!$A$1:$I$89,3,0)*VLOOKUP('Données projet'!$B$9,Paramètres!$A$1:$I$89,5,0)</f>
        <v>-1.9065282685915009E-13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486.22495915819474</v>
      </c>
      <c r="T88" s="59">
        <f t="shared" si="88"/>
        <v>593.51433014569966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253.63328955264708</v>
      </c>
      <c r="AA88" s="21">
        <f>EXP(-LN(2)/25)*AA87+(1-EXP(-LN(2)/25))/(LN(2)/25)*Calculateur!V88*Calculateur!X88*VLOOKUP('Données projet'!$B$9,Paramètres!$A$1:$I$89,3,0)*0.475*44/12</f>
        <v>21.427059495870107</v>
      </c>
      <c r="AB88" s="21">
        <f>EXP(-LN(2)/2)*AB87+(1-EXP(-LN(2)/2))/(LN(2)/2)*V88*Y88*VLOOKUP('Données projet'!$B$9,Paramètres!$A$1:$I$89,3,0)*0.475*44/12</f>
        <v>1.9214100670071885E-2</v>
      </c>
      <c r="AC88" s="22">
        <f t="shared" si="57"/>
        <v>275.07956314918727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-3.4106051316484809E-13</v>
      </c>
      <c r="O89" s="13">
        <f>N89*VLOOKUP('Données projet'!$B$9,Paramètres!$A$1:$I$89,3,0)*VLOOKUP('Données projet'!$B$9,Paramètres!$A$1:$I$89,5,0)</f>
        <v>-1.9065282685915009E-13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486.22495915819474</v>
      </c>
      <c r="T89" s="59">
        <f t="shared" si="88"/>
        <v>593.51433014569966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248.65969544555085</v>
      </c>
      <c r="AA89" s="21">
        <f>EXP(-LN(2)/25)*AA88+(1-EXP(-LN(2)/25))/(LN(2)/25)*Calculateur!V89*Calculateur!X89*VLOOKUP('Données projet'!$B$9,Paramètres!$A$1:$I$89,3,0)*0.475*44/12</f>
        <v>20.841135427155454</v>
      </c>
      <c r="AB89" s="21">
        <f>EXP(-LN(2)/2)*AB88+(1-EXP(-LN(2)/2))/(LN(2)/2)*V89*Y89*VLOOKUP('Données projet'!$B$9,Paramètres!$A$1:$I$89,3,0)*0.475*44/12</f>
        <v>1.3586420878208817E-2</v>
      </c>
      <c r="AC89" s="22">
        <f t="shared" si="57"/>
        <v>269.51441729358453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-3.4106051316484809E-13</v>
      </c>
      <c r="O90" s="13">
        <f>N90*VLOOKUP('Données projet'!$B$9,Paramètres!$A$1:$I$89,3,0)*VLOOKUP('Données projet'!$B$9,Paramètres!$A$1:$I$89,5,0)</f>
        <v>-1.9065282685915009E-13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486.22495915819474</v>
      </c>
      <c r="T90" s="59">
        <f t="shared" si="88"/>
        <v>593.51433014569966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243.7836304853019</v>
      </c>
      <c r="AA90" s="21">
        <f>EXP(-LN(2)/25)*AA89+(1-EXP(-LN(2)/25))/(LN(2)/25)*Calculateur!V90*Calculateur!X90*VLOOKUP('Données projet'!$B$9,Paramètres!$A$1:$I$89,3,0)*0.475*44/12</f>
        <v>20.271233482912209</v>
      </c>
      <c r="AB90" s="21">
        <f>EXP(-LN(2)/2)*AB89+(1-EXP(-LN(2)/2))/(LN(2)/2)*V90*Y90*VLOOKUP('Données projet'!$B$9,Paramètres!$A$1:$I$89,3,0)*0.475*44/12</f>
        <v>9.6070503350359424E-3</v>
      </c>
      <c r="AC90" s="22">
        <f t="shared" si="57"/>
        <v>264.06447101854917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-3.4106051316484809E-13</v>
      </c>
      <c r="O91" s="13">
        <f>N91*VLOOKUP('Données projet'!$B$9,Paramètres!$A$1:$I$89,3,0)*VLOOKUP('Données projet'!$B$9,Paramètres!$A$1:$I$89,5,0)</f>
        <v>-1.9065282685915009E-13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486.22495915819474</v>
      </c>
      <c r="T91" s="59">
        <f t="shared" si="88"/>
        <v>593.51433014569966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239.00318218481749</v>
      </c>
      <c r="AA91" s="21">
        <f>EXP(-LN(2)/25)*AA90+(1-EXP(-LN(2)/25))/(LN(2)/25)*Calculateur!V91*Calculateur!X91*VLOOKUP('Données projet'!$B$9,Paramètres!$A$1:$I$89,3,0)*0.475*44/12</f>
        <v>19.716915537304136</v>
      </c>
      <c r="AB91" s="21">
        <f>EXP(-LN(2)/2)*AB90+(1-EXP(-LN(2)/2))/(LN(2)/2)*V91*Y91*VLOOKUP('Données projet'!$B$9,Paramètres!$A$1:$I$89,3,0)*0.475*44/12</f>
        <v>6.7932104391044083E-3</v>
      </c>
      <c r="AC91" s="22">
        <f t="shared" si="57"/>
        <v>258.72689093256076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-3.4106051316484809E-13</v>
      </c>
      <c r="O92" s="13">
        <f>N92*VLOOKUP('Données projet'!$B$9,Paramètres!$A$1:$I$89,3,0)*VLOOKUP('Données projet'!$B$9,Paramètres!$A$1:$I$89,5,0)</f>
        <v>-1.9065282685915009E-13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486.22495915819474</v>
      </c>
      <c r="T92" s="59">
        <f t="shared" si="88"/>
        <v>593.51433014569966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234.31647555972</v>
      </c>
      <c r="AA92" s="21">
        <f>EXP(-LN(2)/25)*AA91+(1-EXP(-LN(2)/25))/(LN(2)/25)*Calculateur!V92*Calculateur!X92*VLOOKUP('Données projet'!$B$9,Paramètres!$A$1:$I$89,3,0)*0.475*44/12</f>
        <v>19.177755445069028</v>
      </c>
      <c r="AB92" s="21">
        <f>EXP(-LN(2)/2)*AB91+(1-EXP(-LN(2)/2))/(LN(2)/2)*V92*Y92*VLOOKUP('Données projet'!$B$9,Paramètres!$A$1:$I$89,3,0)*0.475*44/12</f>
        <v>4.8035251675179712E-3</v>
      </c>
      <c r="AC92" s="22">
        <f t="shared" si="57"/>
        <v>253.49903452995656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-3.4106051316484809E-13</v>
      </c>
      <c r="O93" s="13">
        <f>N93*VLOOKUP('Données projet'!$B$9,Paramètres!$A$1:$I$89,3,0)*VLOOKUP('Données projet'!$B$9,Paramètres!$A$1:$I$89,5,0)</f>
        <v>-1.9065282685915009E-13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486.22495915819474</v>
      </c>
      <c r="T93" s="59">
        <f t="shared" si="88"/>
        <v>593.51433014569966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229.72167239293191</v>
      </c>
      <c r="AA93" s="21">
        <f>EXP(-LN(2)/25)*AA92+(1-EXP(-LN(2)/25))/(LN(2)/25)*Calculateur!V93*Calculateur!X93*VLOOKUP('Données projet'!$B$9,Paramètres!$A$1:$I$89,3,0)*0.475*44/12</f>
        <v>18.653338713909289</v>
      </c>
      <c r="AB93" s="21">
        <f>EXP(-LN(2)/2)*AB92+(1-EXP(-LN(2)/2))/(LN(2)/2)*V93*Y93*VLOOKUP('Données projet'!$B$9,Paramètres!$A$1:$I$89,3,0)*0.475*44/12</f>
        <v>3.3966052195522041E-3</v>
      </c>
      <c r="AC93" s="22">
        <f t="shared" si="57"/>
        <v>248.37840771206075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-3.4106051316484809E-13</v>
      </c>
      <c r="O94" s="13">
        <f>N94*VLOOKUP('Données projet'!$B$9,Paramètres!$A$1:$I$89,3,0)*VLOOKUP('Données projet'!$B$9,Paramètres!$A$1:$I$89,5,0)</f>
        <v>-1.9065282685915009E-13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486.22495915819474</v>
      </c>
      <c r="T94" s="59">
        <f t="shared" si="88"/>
        <v>593.51433014569966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225.21697051369134</v>
      </c>
      <c r="AA94" s="21">
        <f>EXP(-LN(2)/25)*AA93+(1-EXP(-LN(2)/25))/(LN(2)/25)*Calculateur!V94*Calculateur!X94*VLOOKUP('Données projet'!$B$9,Paramètres!$A$1:$I$89,3,0)*0.475*44/12</f>
        <v>18.143262185840989</v>
      </c>
      <c r="AB94" s="21">
        <f>EXP(-LN(2)/2)*AB93+(1-EXP(-LN(2)/2))/(LN(2)/2)*V94*Y94*VLOOKUP('Données projet'!$B$9,Paramètres!$A$1:$I$89,3,0)*0.475*44/12</f>
        <v>2.4017625837589856E-3</v>
      </c>
      <c r="AC94" s="22">
        <f t="shared" si="57"/>
        <v>243.36263446211609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-3.4106051316484809E-13</v>
      </c>
      <c r="O95" s="13">
        <f>N95*VLOOKUP('Données projet'!$B$9,Paramètres!$A$1:$I$89,3,0)*VLOOKUP('Données projet'!$B$9,Paramètres!$A$1:$I$89,5,0)</f>
        <v>-1.9065282685915009E-13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486.22495915819474</v>
      </c>
      <c r="T95" s="59">
        <f t="shared" si="88"/>
        <v>593.51433014569966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220.80060309070583</v>
      </c>
      <c r="AA95" s="21">
        <f>EXP(-LN(2)/25)*AA94+(1-EXP(-LN(2)/25))/(LN(2)/25)*Calculateur!V95*Calculateur!X95*VLOOKUP('Données projet'!$B$9,Paramètres!$A$1:$I$89,3,0)*0.475*44/12</f>
        <v>17.647133727256474</v>
      </c>
      <c r="AB95" s="21">
        <f>EXP(-LN(2)/2)*AB94+(1-EXP(-LN(2)/2))/(LN(2)/2)*V95*Y95*VLOOKUP('Données projet'!$B$9,Paramètres!$A$1:$I$89,3,0)*0.475*44/12</f>
        <v>1.6983026097761021E-3</v>
      </c>
      <c r="AC95" s="22">
        <f t="shared" si="57"/>
        <v>238.4494351205721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-3.4106051316484809E-13</v>
      </c>
      <c r="O96" s="13">
        <f>N96*VLOOKUP('Données projet'!$B$9,Paramètres!$A$1:$I$89,3,0)*VLOOKUP('Données projet'!$B$9,Paramètres!$A$1:$I$89,5,0)</f>
        <v>-1.9065282685915009E-13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486.22495915819474</v>
      </c>
      <c r="T96" s="59">
        <f t="shared" si="88"/>
        <v>593.51433014569966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216.47083793916693</v>
      </c>
      <c r="AA96" s="21">
        <f>EXP(-LN(2)/25)*AA95+(1-EXP(-LN(2)/25))/(LN(2)/25)*Calculateur!V96*Calculateur!X96*VLOOKUP('Données projet'!$B$9,Paramètres!$A$1:$I$89,3,0)*0.475*44/12</f>
        <v>17.164571927462216</v>
      </c>
      <c r="AB96" s="21">
        <f>EXP(-LN(2)/2)*AB95+(1-EXP(-LN(2)/2))/(LN(2)/2)*V96*Y96*VLOOKUP('Données projet'!$B$9,Paramètres!$A$1:$I$89,3,0)*0.475*44/12</f>
        <v>1.2008812918794928E-3</v>
      </c>
      <c r="AC96" s="22">
        <f t="shared" si="57"/>
        <v>233.63661074792103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-3.4106051316484809E-13</v>
      </c>
      <c r="O97" s="13">
        <f>N97*VLOOKUP('Données projet'!$B$9,Paramètres!$A$1:$I$89,3,0)*VLOOKUP('Données projet'!$B$9,Paramètres!$A$1:$I$89,5,0)</f>
        <v>-1.9065282685915009E-13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486.22495915819474</v>
      </c>
      <c r="T97" s="59">
        <f t="shared" si="88"/>
        <v>593.51433014569966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212.22597684135371</v>
      </c>
      <c r="AA97" s="21">
        <f>EXP(-LN(2)/25)*AA96+(1-EXP(-LN(2)/25))/(LN(2)/25)*Calculateur!V97*Calculateur!X97*VLOOKUP('Données projet'!$B$9,Paramètres!$A$1:$I$89,3,0)*0.475*44/12</f>
        <v>16.695205805460155</v>
      </c>
      <c r="AB97" s="21">
        <f>EXP(-LN(2)/2)*AB96+(1-EXP(-LN(2)/2))/(LN(2)/2)*V97*Y97*VLOOKUP('Données projet'!$B$9,Paramètres!$A$1:$I$89,3,0)*0.475*44/12</f>
        <v>8.4915130488805103E-4</v>
      </c>
      <c r="AC97" s="22">
        <f t="shared" si="57"/>
        <v>228.92203179811875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-3.4106051316484809E-13</v>
      </c>
      <c r="O98" s="13">
        <f>N98*VLOOKUP('Données projet'!$B$9,Paramètres!$A$1:$I$89,3,0)*VLOOKUP('Données projet'!$B$9,Paramètres!$A$1:$I$89,5,0)</f>
        <v>-1.9065282685915009E-13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486.22495915819474</v>
      </c>
      <c r="T98" s="59">
        <f t="shared" si="88"/>
        <v>593.51433014569966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208.06435488055899</v>
      </c>
      <c r="AA98" s="21">
        <f>EXP(-LN(2)/25)*AA97+(1-EXP(-LN(2)/25))/(LN(2)/25)*Calculateur!V98*Calculateur!X98*VLOOKUP('Données projet'!$B$9,Paramètres!$A$1:$I$89,3,0)*0.475*44/12</f>
        <v>16.238674524747132</v>
      </c>
      <c r="AB98" s="21">
        <f>EXP(-LN(2)/2)*AB97+(1-EXP(-LN(2)/2))/(LN(2)/2)*V98*Y98*VLOOKUP('Données projet'!$B$9,Paramètres!$A$1:$I$89,3,0)*0.475*44/12</f>
        <v>6.004406459397464E-4</v>
      </c>
      <c r="AC98" s="22">
        <f t="shared" si="57"/>
        <v>224.30362984595206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-3.4106051316484809E-13</v>
      </c>
      <c r="O99" s="13">
        <f>N99*VLOOKUP('Données projet'!$B$9,Paramètres!$A$1:$I$89,3,0)*VLOOKUP('Données projet'!$B$9,Paramètres!$A$1:$I$89,5,0)</f>
        <v>-1.9065282685915009E-13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486.22495915819474</v>
      </c>
      <c r="T99" s="59">
        <f t="shared" si="88"/>
        <v>593.51433014569966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203.98433978807671</v>
      </c>
      <c r="AA99" s="21">
        <f>EXP(-LN(2)/25)*AA98+(1-EXP(-LN(2)/25))/(LN(2)/25)*Calculateur!V99*Calculateur!X99*VLOOKUP('Données projet'!$B$9,Paramètres!$A$1:$I$89,3,0)*0.475*44/12</f>
        <v>15.794627115913142</v>
      </c>
      <c r="AB99" s="21">
        <f>EXP(-LN(2)/2)*AB98+(1-EXP(-LN(2)/2))/(LN(2)/2)*V99*Y99*VLOOKUP('Données projet'!$B$9,Paramètres!$A$1:$I$89,3,0)*0.475*44/12</f>
        <v>4.2457565244402552E-4</v>
      </c>
      <c r="AC99" s="22">
        <f t="shared" si="57"/>
        <v>219.77939147964227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-3.4106051316484809E-13</v>
      </c>
      <c r="O100" s="13">
        <f>N100*VLOOKUP('Données projet'!$B$9,Paramètres!$A$1:$I$89,3,0)*VLOOKUP('Données projet'!$B$9,Paramètres!$A$1:$I$89,5,0)</f>
        <v>-1.9065282685915009E-13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486.22495915819474</v>
      </c>
      <c r="T100" s="59">
        <f t="shared" si="88"/>
        <v>593.51433014569966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199.98433130299452</v>
      </c>
      <c r="AA100" s="21">
        <f>EXP(-LN(2)/25)*AA99+(1-EXP(-LN(2)/25))/(LN(2)/25)*Calculateur!V100*Calculateur!X100*VLOOKUP('Données projet'!$B$9,Paramètres!$A$1:$I$89,3,0)*0.475*44/12</f>
        <v>15.362722206825156</v>
      </c>
      <c r="AB100" s="21">
        <f>EXP(-LN(2)/2)*AB99+(1-EXP(-LN(2)/2))/(LN(2)/2)*V100*Y100*VLOOKUP('Données projet'!$B$9,Paramètres!$A$1:$I$89,3,0)*0.475*44/12</f>
        <v>3.002203229698732E-4</v>
      </c>
      <c r="AC100" s="22">
        <f t="shared" si="57"/>
        <v>215.34735373014266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-3.4106051316484809E-13</v>
      </c>
      <c r="O101" s="13">
        <f>N101*VLOOKUP('Données projet'!$B$9,Paramètres!$A$1:$I$89,3,0)*VLOOKUP('Données projet'!$B$9,Paramètres!$A$1:$I$89,5,0)</f>
        <v>-1.9065282685915009E-13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486.22495915819474</v>
      </c>
      <c r="T101" s="59">
        <f t="shared" si="88"/>
        <v>593.51433014569966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196.06276054454054</v>
      </c>
      <c r="AA101" s="21">
        <f>EXP(-LN(2)/25)*AA100+(1-EXP(-LN(2)/25))/(LN(2)/25)*Calculateur!V101*Calculateur!X101*VLOOKUP('Données projet'!$B$9,Paramètres!$A$1:$I$89,3,0)*0.475*44/12</f>
        <v>14.942627760189072</v>
      </c>
      <c r="AB101" s="21">
        <f>EXP(-LN(2)/2)*AB100+(1-EXP(-LN(2)/2))/(LN(2)/2)*V101*Y101*VLOOKUP('Données projet'!$B$9,Paramètres!$A$1:$I$89,3,0)*0.475*44/12</f>
        <v>2.1228782622201276E-4</v>
      </c>
      <c r="AC101" s="22">
        <f t="shared" si="57"/>
        <v>211.00560059255585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-3.4106051316484809E-13</v>
      </c>
      <c r="O102" s="13">
        <f>N102*VLOOKUP('Données projet'!$B$9,Paramètres!$A$1:$I$89,3,0)*VLOOKUP('Données projet'!$B$9,Paramètres!$A$1:$I$89,5,0)</f>
        <v>-1.9065282685915009E-13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486.22495915819474</v>
      </c>
      <c r="T102" s="59">
        <f t="shared" si="88"/>
        <v>593.51433014569966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192.21808939673784</v>
      </c>
      <c r="AA102" s="21">
        <f>EXP(-LN(2)/25)*AA101+(1-EXP(-LN(2)/25))/(LN(2)/25)*Calculateur!V102*Calculateur!X102*VLOOKUP('Données projet'!$B$9,Paramètres!$A$1:$I$89,3,0)*0.475*44/12</f>
        <v>14.534020818288059</v>
      </c>
      <c r="AB102" s="21">
        <f>EXP(-LN(2)/2)*AB101+(1-EXP(-LN(2)/2))/(LN(2)/2)*V102*Y102*VLOOKUP('Données projet'!$B$9,Paramètres!$A$1:$I$89,3,0)*0.475*44/12</f>
        <v>1.501101614849366E-4</v>
      </c>
      <c r="AC102" s="22">
        <f t="shared" si="57"/>
        <v>206.75226032518739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-3.4106051316484809E-13</v>
      </c>
      <c r="O103" s="13">
        <f>N103*VLOOKUP('Données projet'!$B$9,Paramètres!$A$1:$I$89,3,0)*VLOOKUP('Données projet'!$B$9,Paramètres!$A$1:$I$89,5,0)</f>
        <v>-1.9065282685915009E-13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486.22495915819474</v>
      </c>
      <c r="T103" s="59">
        <f t="shared" si="88"/>
        <v>593.51433014569966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188.4488099051257</v>
      </c>
      <c r="AA103" s="21">
        <f>EXP(-LN(2)/25)*AA102+(1-EXP(-LN(2)/25))/(LN(2)/25)*Calculateur!V103*Calculateur!X103*VLOOKUP('Données projet'!$B$9,Paramètres!$A$1:$I$89,3,0)*0.475*44/12</f>
        <v>14.136587254701036</v>
      </c>
      <c r="AB103" s="21">
        <f>EXP(-LN(2)/2)*AB102+(1-EXP(-LN(2)/2))/(LN(2)/2)*V103*Y103*VLOOKUP('Données projet'!$B$9,Paramètres!$A$1:$I$89,3,0)*0.475*44/12</f>
        <v>1.0614391311100638E-4</v>
      </c>
      <c r="AC103" s="22">
        <f t="shared" si="57"/>
        <v>202.58550330373984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-3.4106051316484809E-13</v>
      </c>
      <c r="O104" s="13">
        <f>N104*VLOOKUP('Données projet'!$B$9,Paramètres!$A$1:$I$89,3,0)*VLOOKUP('Données projet'!$B$9,Paramètres!$A$1:$I$89,5,0)</f>
        <v>-1.9065282685915009E-13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486.22495915819474</v>
      </c>
      <c r="T104" s="59">
        <f t="shared" si="88"/>
        <v>593.51433014569966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184.7534436853106</v>
      </c>
      <c r="AA104" s="21">
        <f>EXP(-LN(2)/25)*AA103+(1-EXP(-LN(2)/25))/(LN(2)/25)*Calculateur!V104*Calculateur!X104*VLOOKUP('Données projet'!$B$9,Paramètres!$A$1:$I$89,3,0)*0.475*44/12</f>
        <v>13.750021532810422</v>
      </c>
      <c r="AB104" s="21">
        <f>EXP(-LN(2)/2)*AB103+(1-EXP(-LN(2)/2))/(LN(2)/2)*V104*Y104*VLOOKUP('Données projet'!$B$9,Paramètres!$A$1:$I$89,3,0)*0.475*44/12</f>
        <v>7.50550807424683E-5</v>
      </c>
      <c r="AC104" s="22">
        <f t="shared" si="57"/>
        <v>198.50354027320176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-3.4106051316484809E-13</v>
      </c>
      <c r="O105" s="13">
        <f>N105*VLOOKUP('Données projet'!$B$9,Paramètres!$A$1:$I$89,3,0)*VLOOKUP('Données projet'!$B$9,Paramètres!$A$1:$I$89,5,0)</f>
        <v>-1.9065282685915009E-13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486.22495915819474</v>
      </c>
      <c r="T105" s="59">
        <f t="shared" si="88"/>
        <v>593.51433014569966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181.13054134311525</v>
      </c>
      <c r="AA105" s="21">
        <f>EXP(-LN(2)/25)*AA104+(1-EXP(-LN(2)/25))/(LN(2)/25)*Calculateur!V105*Calculateur!X105*VLOOKUP('Données projet'!$B$9,Paramètres!$A$1:$I$89,3,0)*0.475*44/12</f>
        <v>13.374026470913515</v>
      </c>
      <c r="AB105" s="21">
        <f>EXP(-LN(2)/2)*AB104+(1-EXP(-LN(2)/2))/(LN(2)/2)*V105*Y105*VLOOKUP('Données projet'!$B$9,Paramètres!$A$1:$I$89,3,0)*0.475*44/12</f>
        <v>5.307195655550319E-5</v>
      </c>
      <c r="AC105" s="22">
        <f t="shared" si="57"/>
        <v>194.50462088598533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-3.4106051316484809E-13</v>
      </c>
      <c r="O106" s="13">
        <f>N106*VLOOKUP('Données projet'!$B$9,Paramètres!$A$1:$I$89,3,0)*VLOOKUP('Données projet'!$B$9,Paramètres!$A$1:$I$89,5,0)</f>
        <v>-1.9065282685915009E-13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486.22495915819474</v>
      </c>
      <c r="T106" s="59">
        <f t="shared" si="88"/>
        <v>593.51433014569966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177.57868190609813</v>
      </c>
      <c r="AA106" s="21">
        <f>EXP(-LN(2)/25)*AA105+(1-EXP(-LN(2)/25))/(LN(2)/25)*Calculateur!V106*Calculateur!X106*VLOOKUP('Données projet'!$B$9,Paramètres!$A$1:$I$89,3,0)*0.475*44/12</f>
        <v>13.008313013756899</v>
      </c>
      <c r="AB106" s="21">
        <f>EXP(-LN(2)/2)*AB105+(1-EXP(-LN(2)/2))/(LN(2)/2)*V106*Y106*VLOOKUP('Données projet'!$B$9,Paramètres!$A$1:$I$89,3,0)*0.475*44/12</f>
        <v>3.752754037123415E-5</v>
      </c>
      <c r="AC106" s="22">
        <f t="shared" si="57"/>
        <v>190.58703244739539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-3.4106051316484809E-13</v>
      </c>
      <c r="O107" s="13">
        <f>N107*VLOOKUP('Données projet'!$B$9,Paramètres!$A$1:$I$89,3,0)*VLOOKUP('Données projet'!$B$9,Paramètres!$A$1:$I$89,5,0)</f>
        <v>-1.9065282685915009E-13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486.22495915819474</v>
      </c>
      <c r="T107" s="59">
        <f t="shared" si="88"/>
        <v>593.51433014569966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174.09647226622056</v>
      </c>
      <c r="AA107" s="21">
        <f>EXP(-LN(2)/25)*AA106+(1-EXP(-LN(2)/25))/(LN(2)/25)*Calculateur!V107*Calculateur!X107*VLOOKUP('Données projet'!$B$9,Paramètres!$A$1:$I$89,3,0)*0.475*44/12</f>
        <v>12.652600010318267</v>
      </c>
      <c r="AB107" s="21">
        <f>EXP(-LN(2)/2)*AB106+(1-EXP(-LN(2)/2))/(LN(2)/2)*V107*Y107*VLOOKUP('Données projet'!$B$9,Paramètres!$A$1:$I$89,3,0)*0.475*44/12</f>
        <v>2.6535978277751595E-5</v>
      </c>
      <c r="AC107" s="22">
        <f t="shared" si="57"/>
        <v>186.74909881251708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-3.4106051316484809E-13</v>
      </c>
      <c r="O108" s="13">
        <f>N108*VLOOKUP('Données projet'!$B$9,Paramètres!$A$1:$I$89,3,0)*VLOOKUP('Données projet'!$B$9,Paramètres!$A$1:$I$89,5,0)</f>
        <v>-1.9065282685915009E-13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486.22495915819474</v>
      </c>
      <c r="T108" s="59">
        <f t="shared" si="88"/>
        <v>593.51433014569966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170.68254663344283</v>
      </c>
      <c r="AA108" s="21">
        <f>EXP(-LN(2)/25)*AA107+(1-EXP(-LN(2)/25))/(LN(2)/25)*Calculateur!V108*Calculateur!X108*VLOOKUP('Données projet'!$B$9,Paramètres!$A$1:$I$89,3,0)*0.475*44/12</f>
        <v>12.306613997664797</v>
      </c>
      <c r="AB108" s="21">
        <f>EXP(-LN(2)/2)*AB107+(1-EXP(-LN(2)/2))/(LN(2)/2)*V108*Y108*VLOOKUP('Données projet'!$B$9,Paramètres!$A$1:$I$89,3,0)*0.475*44/12</f>
        <v>1.8763770185617075E-5</v>
      </c>
      <c r="AC108" s="22">
        <f t="shared" si="57"/>
        <v>182.98917939487779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-3.4106051316484809E-13</v>
      </c>
      <c r="O109" s="13">
        <f>N109*VLOOKUP('Données projet'!$B$9,Paramètres!$A$1:$I$89,3,0)*VLOOKUP('Données projet'!$B$9,Paramètres!$A$1:$I$89,5,0)</f>
        <v>-1.9065282685915009E-13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486.22495915819474</v>
      </c>
      <c r="T109" s="59">
        <f t="shared" si="88"/>
        <v>593.51433014569966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167.33556600003485</v>
      </c>
      <c r="AA109" s="21">
        <f>EXP(-LN(2)/25)*AA108+(1-EXP(-LN(2)/25))/(LN(2)/25)*Calculateur!V109*Calculateur!X109*VLOOKUP('Données projet'!$B$9,Paramètres!$A$1:$I$89,3,0)*0.475*44/12</f>
        <v>11.970088990721951</v>
      </c>
      <c r="AB109" s="21">
        <f>EXP(-LN(2)/2)*AB108+(1-EXP(-LN(2)/2))/(LN(2)/2)*V109*Y109*VLOOKUP('Données projet'!$B$9,Paramètres!$A$1:$I$89,3,0)*0.475*44/12</f>
        <v>1.3267989138875797E-5</v>
      </c>
      <c r="AC109" s="22">
        <f t="shared" si="57"/>
        <v>179.30566825874595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-3.4106051316484809E-13</v>
      </c>
      <c r="O110" s="13">
        <f>N110*VLOOKUP('Données projet'!$B$9,Paramètres!$A$1:$I$89,3,0)*VLOOKUP('Données projet'!$B$9,Paramètres!$A$1:$I$89,5,0)</f>
        <v>-1.9065282685915009E-13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486.22495915819474</v>
      </c>
      <c r="T110" s="59">
        <f t="shared" si="88"/>
        <v>593.51433014569966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164.05421761539137</v>
      </c>
      <c r="AA110" s="21">
        <f>EXP(-LN(2)/25)*AA109+(1-EXP(-LN(2)/25))/(LN(2)/25)*Calculateur!V110*Calculateur!X110*VLOOKUP('Données projet'!$B$9,Paramètres!$A$1:$I$89,3,0)*0.475*44/12</f>
        <v>11.642766277791038</v>
      </c>
      <c r="AB110" s="21">
        <f>EXP(-LN(2)/2)*AB109+(1-EXP(-LN(2)/2))/(LN(2)/2)*V110*Y110*VLOOKUP('Données projet'!$B$9,Paramètres!$A$1:$I$89,3,0)*0.475*44/12</f>
        <v>9.3818850928085375E-6</v>
      </c>
      <c r="AC110" s="22">
        <f t="shared" si="57"/>
        <v>175.69699327506748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-3.4106051316484809E-13</v>
      </c>
      <c r="O111" s="13">
        <f>N111*VLOOKUP('Données projet'!$B$9,Paramètres!$A$1:$I$89,3,0)*VLOOKUP('Données projet'!$B$9,Paramètres!$A$1:$I$89,5,0)</f>
        <v>-1.9065282685915009E-13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486.22495915819474</v>
      </c>
      <c r="T111" s="59">
        <f t="shared" si="88"/>
        <v>593.51433014569966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160.83721447114587</v>
      </c>
      <c r="AA111" s="21">
        <f>EXP(-LN(2)/25)*AA110+(1-EXP(-LN(2)/25))/(LN(2)/25)*Calculateur!V111*Calculateur!X111*VLOOKUP('Données projet'!$B$9,Paramètres!$A$1:$I$89,3,0)*0.475*44/12</f>
        <v>11.324394221658373</v>
      </c>
      <c r="AB111" s="21">
        <f>EXP(-LN(2)/2)*AB110+(1-EXP(-LN(2)/2))/(LN(2)/2)*V111*Y111*VLOOKUP('Données projet'!$B$9,Paramètres!$A$1:$I$89,3,0)*0.475*44/12</f>
        <v>6.6339945694378987E-6</v>
      </c>
      <c r="AC111" s="22">
        <f t="shared" si="57"/>
        <v>172.1616153267988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-3.4106051316484809E-13</v>
      </c>
      <c r="O112" s="13">
        <f>N112*VLOOKUP('Données projet'!$B$9,Paramètres!$A$1:$I$89,3,0)*VLOOKUP('Données projet'!$B$9,Paramètres!$A$1:$I$89,5,0)</f>
        <v>-1.9065282685915009E-13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486.22495915819474</v>
      </c>
      <c r="T112" s="59">
        <f t="shared" si="88"/>
        <v>593.51433014569966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157.68329479638086</v>
      </c>
      <c r="AA112" s="21">
        <f>EXP(-LN(2)/25)*AA111+(1-EXP(-LN(2)/25))/(LN(2)/25)*Calculateur!V112*Calculateur!X112*VLOOKUP('Données projet'!$B$9,Paramètres!$A$1:$I$89,3,0)*0.475*44/12</f>
        <v>11.014728066143116</v>
      </c>
      <c r="AB112" s="21">
        <f>EXP(-LN(2)/2)*AB111+(1-EXP(-LN(2)/2))/(LN(2)/2)*V112*Y112*VLOOKUP('Données projet'!$B$9,Paramètres!$A$1:$I$89,3,0)*0.475*44/12</f>
        <v>4.6909425464042687E-6</v>
      </c>
      <c r="AC112" s="22">
        <f t="shared" si="57"/>
        <v>168.69802755346652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-3.4106051316484809E-13</v>
      </c>
      <c r="O113" s="13">
        <f>N113*VLOOKUP('Données projet'!$B$9,Paramètres!$A$1:$I$89,3,0)*VLOOKUP('Données projet'!$B$9,Paramètres!$A$1:$I$89,5,0)</f>
        <v>-1.9065282685915009E-13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486.22495915819474</v>
      </c>
      <c r="T113" s="59">
        <f t="shared" si="88"/>
        <v>593.51433014569966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154.59122156273693</v>
      </c>
      <c r="AA113" s="21">
        <f>EXP(-LN(2)/25)*AA112+(1-EXP(-LN(2)/25))/(LN(2)/25)*Calculateur!V113*Calculateur!X113*VLOOKUP('Données projet'!$B$9,Paramètres!$A$1:$I$89,3,0)*0.475*44/12</f>
        <v>10.713529747935057</v>
      </c>
      <c r="AB113" s="21">
        <f>EXP(-LN(2)/2)*AB112+(1-EXP(-LN(2)/2))/(LN(2)/2)*V113*Y113*VLOOKUP('Données projet'!$B$9,Paramètres!$A$1:$I$89,3,0)*0.475*44/12</f>
        <v>3.3169972847189493E-6</v>
      </c>
      <c r="AC113" s="22">
        <f t="shared" si="57"/>
        <v>165.3047546276693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-3.4106051316484809E-13</v>
      </c>
      <c r="O114" s="13">
        <f>N114*VLOOKUP('Données projet'!$B$9,Paramètres!$A$1:$I$89,3,0)*VLOOKUP('Données projet'!$B$9,Paramètres!$A$1:$I$89,5,0)</f>
        <v>-1.9065282685915009E-13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486.22495915819474</v>
      </c>
      <c r="T114" s="59">
        <f t="shared" si="88"/>
        <v>593.51433014569966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151.55978199922632</v>
      </c>
      <c r="AA114" s="21">
        <f>EXP(-LN(2)/25)*AA113+(1-EXP(-LN(2)/25))/(LN(2)/25)*Calculateur!V114*Calculateur!X114*VLOOKUP('Données projet'!$B$9,Paramètres!$A$1:$I$89,3,0)*0.475*44/12</f>
        <v>10.42056771357773</v>
      </c>
      <c r="AB114" s="21">
        <f>EXP(-LN(2)/2)*AB113+(1-EXP(-LN(2)/2))/(LN(2)/2)*V114*Y114*VLOOKUP('Données projet'!$B$9,Paramètres!$A$1:$I$89,3,0)*0.475*44/12</f>
        <v>2.3454712732021344E-6</v>
      </c>
      <c r="AC114" s="22">
        <f t="shared" si="57"/>
        <v>161.98035205827532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-3.4106051316484809E-13</v>
      </c>
      <c r="O115" s="13">
        <f>N115*VLOOKUP('Données projet'!$B$9,Paramètres!$A$1:$I$89,3,0)*VLOOKUP('Données projet'!$B$9,Paramètres!$A$1:$I$89,5,0)</f>
        <v>-1.9065282685915009E-13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486.22495915819474</v>
      </c>
      <c r="T115" s="59">
        <f t="shared" si="88"/>
        <v>593.51433014569966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148.58778711656058</v>
      </c>
      <c r="AA115" s="21">
        <f>EXP(-LN(2)/25)*AA114+(1-EXP(-LN(2)/25))/(LN(2)/25)*Calculateur!V115*Calculateur!X115*VLOOKUP('Données projet'!$B$9,Paramètres!$A$1:$I$89,3,0)*0.475*44/12</f>
        <v>10.135616741456108</v>
      </c>
      <c r="AB115" s="21">
        <f>EXP(-LN(2)/2)*AB114+(1-EXP(-LN(2)/2))/(LN(2)/2)*V115*Y115*VLOOKUP('Données projet'!$B$9,Paramètres!$A$1:$I$89,3,0)*0.475*44/12</f>
        <v>1.6584986423594747E-6</v>
      </c>
      <c r="AC115" s="22">
        <f t="shared" si="57"/>
        <v>158.72340551651533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-3.4106051316484809E-13</v>
      </c>
      <c r="O116" s="13">
        <f>N116*VLOOKUP('Données projet'!$B$9,Paramètres!$A$1:$I$89,3,0)*VLOOKUP('Données projet'!$B$9,Paramètres!$A$1:$I$89,5,0)</f>
        <v>-1.9065282685915009E-13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486.22495915819474</v>
      </c>
      <c r="T116" s="59">
        <f t="shared" si="88"/>
        <v>593.51433014569966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145.67407124080603</v>
      </c>
      <c r="AA116" s="21">
        <f>EXP(-LN(2)/25)*AA115+(1-EXP(-LN(2)/25))/(LN(2)/25)*Calculateur!V116*Calculateur!X116*VLOOKUP('Données projet'!$B$9,Paramètres!$A$1:$I$89,3,0)*0.475*44/12</f>
        <v>9.8584577686520714</v>
      </c>
      <c r="AB116" s="21">
        <f>EXP(-LN(2)/2)*AB115+(1-EXP(-LN(2)/2))/(LN(2)/2)*V116*Y116*VLOOKUP('Données projet'!$B$9,Paramètres!$A$1:$I$89,3,0)*0.475*44/12</f>
        <v>1.1727356366010672E-6</v>
      </c>
      <c r="AC116" s="22">
        <f t="shared" si="57"/>
        <v>155.53253018219374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-3.4106051316484809E-13</v>
      </c>
      <c r="O117" s="13">
        <f>N117*VLOOKUP('Données projet'!$B$9,Paramètres!$A$1:$I$89,3,0)*VLOOKUP('Données projet'!$B$9,Paramètres!$A$1:$I$89,5,0)</f>
        <v>-1.9065282685915009E-13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486.22495915819474</v>
      </c>
      <c r="T117" s="59">
        <f t="shared" si="88"/>
        <v>593.51433014569966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142.81749155618382</v>
      </c>
      <c r="AA117" s="21">
        <f>EXP(-LN(2)/25)*AA116+(1-EXP(-LN(2)/25))/(LN(2)/25)*Calculateur!V117*Calculateur!X117*VLOOKUP('Données projet'!$B$9,Paramètres!$A$1:$I$89,3,0)*0.475*44/12</f>
        <v>9.5888777225345176</v>
      </c>
      <c r="AB117" s="21">
        <f>EXP(-LN(2)/2)*AB116+(1-EXP(-LN(2)/2))/(LN(2)/2)*V117*Y117*VLOOKUP('Données projet'!$B$9,Paramètres!$A$1:$I$89,3,0)*0.475*44/12</f>
        <v>8.2924932117973734E-7</v>
      </c>
      <c r="AC117" s="22">
        <f t="shared" si="57"/>
        <v>152.40637010796766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-3.4106051316484809E-13</v>
      </c>
      <c r="O118" s="13">
        <f>N118*VLOOKUP('Données projet'!$B$9,Paramètres!$A$1:$I$89,3,0)*VLOOKUP('Données projet'!$B$9,Paramètres!$A$1:$I$89,5,0)</f>
        <v>-1.9065282685915009E-13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486.22495915819474</v>
      </c>
      <c r="T118" s="59">
        <f t="shared" si="88"/>
        <v>593.51433014569966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140.01692765683549</v>
      </c>
      <c r="AA118" s="21">
        <f>EXP(-LN(2)/25)*AA117+(1-EXP(-LN(2)/25))/(LN(2)/25)*Calculateur!V118*Calculateur!X118*VLOOKUP('Données projet'!$B$9,Paramètres!$A$1:$I$89,3,0)*0.475*44/12</f>
        <v>9.3266693569546479</v>
      </c>
      <c r="AB118" s="21">
        <f>EXP(-LN(2)/2)*AB117+(1-EXP(-LN(2)/2))/(LN(2)/2)*V118*Y118*VLOOKUP('Données projet'!$B$9,Paramètres!$A$1:$I$89,3,0)*0.475*44/12</f>
        <v>5.8636781830053359E-7</v>
      </c>
      <c r="AC118" s="22">
        <f t="shared" si="57"/>
        <v>149.34359760015798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-3.4106051316484809E-13</v>
      </c>
      <c r="O119" s="13">
        <f>N119*VLOOKUP('Données projet'!$B$9,Paramètres!$A$1:$I$89,3,0)*VLOOKUP('Données projet'!$B$9,Paramètres!$A$1:$I$89,5,0)</f>
        <v>-1.9065282685915009E-13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486.22495915819474</v>
      </c>
      <c r="T119" s="59">
        <f t="shared" si="88"/>
        <v>593.51433014569966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137.27128110737809</v>
      </c>
      <c r="AA119" s="21">
        <f>EXP(-LN(2)/25)*AA118+(1-EXP(-LN(2)/25))/(LN(2)/25)*Calculateur!V119*Calculateur!X119*VLOOKUP('Données projet'!$B$9,Paramètres!$A$1:$I$89,3,0)*0.475*44/12</f>
        <v>9.071631092920498</v>
      </c>
      <c r="AB119" s="21">
        <f>EXP(-LN(2)/2)*AB118+(1-EXP(-LN(2)/2))/(LN(2)/2)*V119*Y119*VLOOKUP('Données projet'!$B$9,Paramètres!$A$1:$I$89,3,0)*0.475*44/12</f>
        <v>4.1462466058986867E-7</v>
      </c>
      <c r="AC119" s="22">
        <f t="shared" si="57"/>
        <v>146.34291261492325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-3.4106051316484809E-13</v>
      </c>
      <c r="O120" s="13">
        <f>N120*VLOOKUP('Données projet'!$B$9,Paramètres!$A$1:$I$89,3,0)*VLOOKUP('Données projet'!$B$9,Paramètres!$A$1:$I$89,5,0)</f>
        <v>-1.9065282685915009E-13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486.22495915819474</v>
      </c>
      <c r="T120" s="59">
        <f t="shared" si="88"/>
        <v>593.51433014569966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134.5794750120765</v>
      </c>
      <c r="AA120" s="21">
        <f>EXP(-LN(2)/25)*AA119+(1-EXP(-LN(2)/25))/(LN(2)/25)*Calculateur!V120*Calculateur!X120*VLOOKUP('Données projet'!$B$9,Paramètres!$A$1:$I$89,3,0)*0.475*44/12</f>
        <v>8.8235668636282405</v>
      </c>
      <c r="AB120" s="21">
        <f>EXP(-LN(2)/2)*AB119+(1-EXP(-LN(2)/2))/(LN(2)/2)*V120*Y120*VLOOKUP('Données projet'!$B$9,Paramètres!$A$1:$I$89,3,0)*0.475*44/12</f>
        <v>2.931839091502668E-7</v>
      </c>
      <c r="AC120" s="22">
        <f t="shared" si="57"/>
        <v>143.40304216888865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-3.4106051316484809E-13</v>
      </c>
      <c r="O121" s="13">
        <f>N121*VLOOKUP('Données projet'!$B$9,Paramètres!$A$1:$I$89,3,0)*VLOOKUP('Données projet'!$B$9,Paramètres!$A$1:$I$89,5,0)</f>
        <v>-1.9065282685915009E-13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486.22495915819474</v>
      </c>
      <c r="T121" s="59">
        <f t="shared" si="88"/>
        <v>593.51433014569966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131.94045359246417</v>
      </c>
      <c r="AA121" s="21">
        <f>EXP(-LN(2)/25)*AA120+(1-EXP(-LN(2)/25))/(LN(2)/25)*Calculateur!V121*Calculateur!X121*VLOOKUP('Données projet'!$B$9,Paramètres!$A$1:$I$89,3,0)*0.475*44/12</f>
        <v>8.5822859637311115</v>
      </c>
      <c r="AB121" s="21">
        <f>EXP(-LN(2)/2)*AB120+(1-EXP(-LN(2)/2))/(LN(2)/2)*V121*Y121*VLOOKUP('Données projet'!$B$9,Paramètres!$A$1:$I$89,3,0)*0.475*44/12</f>
        <v>2.0731233029493433E-7</v>
      </c>
      <c r="AC121" s="22">
        <f t="shared" si="57"/>
        <v>140.52273976350762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-3.4106051316484809E-13</v>
      </c>
      <c r="O122" s="13">
        <f>N122*VLOOKUP('Données projet'!$B$9,Paramètres!$A$1:$I$89,3,0)*VLOOKUP('Données projet'!$B$9,Paramètres!$A$1:$I$89,5,0)</f>
        <v>-1.9065282685915009E-13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486.22495915819474</v>
      </c>
      <c r="T122" s="59">
        <f t="shared" si="88"/>
        <v>593.51433014569966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129.35318177324632</v>
      </c>
      <c r="AA122" s="21">
        <f>EXP(-LN(2)/25)*AA121+(1-EXP(-LN(2)/25))/(LN(2)/25)*Calculateur!V122*Calculateur!X122*VLOOKUP('Données projet'!$B$9,Paramètres!$A$1:$I$89,3,0)*0.475*44/12</f>
        <v>8.3476029027300811</v>
      </c>
      <c r="AB122" s="21">
        <f>EXP(-LN(2)/2)*AB121+(1-EXP(-LN(2)/2))/(LN(2)/2)*V122*Y122*VLOOKUP('Données projet'!$B$9,Paramètres!$A$1:$I$89,3,0)*0.475*44/12</f>
        <v>1.465919545751334E-7</v>
      </c>
      <c r="AC122" s="22">
        <f t="shared" si="57"/>
        <v>137.70078482256835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-3.4106051316484809E-13</v>
      </c>
      <c r="O123" s="13">
        <f>N123*VLOOKUP('Données projet'!$B$9,Paramètres!$A$1:$I$89,3,0)*VLOOKUP('Données projet'!$B$9,Paramètres!$A$1:$I$89,5,0)</f>
        <v>-1.9065282685915009E-13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486.22495915819474</v>
      </c>
      <c r="T123" s="59">
        <f t="shared" si="88"/>
        <v>593.51433014569966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126.81664477632334</v>
      </c>
      <c r="AA123" s="21">
        <f>EXP(-LN(2)/25)*AA122+(1-EXP(-LN(2)/25))/(LN(2)/25)*Calculateur!V123*Calculateur!X123*VLOOKUP('Données projet'!$B$9,Paramètres!$A$1:$I$89,3,0)*0.475*44/12</f>
        <v>8.1193372623735698</v>
      </c>
      <c r="AB123" s="21">
        <f>EXP(-LN(2)/2)*AB122+(1-EXP(-LN(2)/2))/(LN(2)/2)*V123*Y123*VLOOKUP('Données projet'!$B$9,Paramètres!$A$1:$I$89,3,0)*0.475*44/12</f>
        <v>1.0365616514746717E-7</v>
      </c>
      <c r="AC123" s="22">
        <f t="shared" si="57"/>
        <v>134.93598214235308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-1.9065282685915009E-13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486.22495915819474</v>
      </c>
      <c r="T124" s="59">
        <f t="shared" si="88"/>
        <v>593.51433014569966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124.32984772277523</v>
      </c>
      <c r="AA124" s="21">
        <f>EXP(-LN(2)/25)*AA123+(1-EXP(-LN(2)/25))/(LN(2)/25)*Calculateur!V124*Calculateur!X124*VLOOKUP('Données projet'!$B$9,Paramètres!$A$1:$I$89,3,0)*0.475*44/12</f>
        <v>7.8973135579565747</v>
      </c>
      <c r="AB124" s="21">
        <f>EXP(-LN(2)/2)*AB123+(1-EXP(-LN(2)/2))/(LN(2)/2)*V124*Y124*VLOOKUP('Données projet'!$B$9,Paramètres!$A$1:$I$89,3,0)*0.475*44/12</f>
        <v>7.3295977287566699E-8</v>
      </c>
      <c r="AC124" s="22">
        <f t="shared" si="57"/>
        <v>132.22716135402777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-1.9065282685915009E-13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486.22495915819474</v>
      </c>
      <c r="T125" s="59">
        <f t="shared" si="88"/>
        <v>593.51433014569966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121.89181524265076</v>
      </c>
      <c r="AA125" s="21">
        <f>EXP(-LN(2)/25)*AA124+(1-EXP(-LN(2)/25))/(LN(2)/25)*Calculateur!V125*Calculateur!X125*VLOOKUP('Données projet'!$B$9,Paramètres!$A$1:$I$89,3,0)*0.475*44/12</f>
        <v>7.6813611034125815</v>
      </c>
      <c r="AB125" s="21">
        <f>EXP(-LN(2)/2)*AB124+(1-EXP(-LN(2)/2))/(LN(2)/2)*V125*Y125*VLOOKUP('Données projet'!$B$9,Paramètres!$A$1:$I$89,3,0)*0.475*44/12</f>
        <v>5.1828082573733584E-8</v>
      </c>
      <c r="AC125" s="22">
        <f t="shared" si="57"/>
        <v>129.57317639789144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-1.9065282685915009E-13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486.22495915819474</v>
      </c>
      <c r="T126" s="59">
        <f t="shared" si="88"/>
        <v>593.51433014569966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119.50159109240856</v>
      </c>
      <c r="AA126" s="21">
        <f>EXP(-LN(2)/25)*AA125+(1-EXP(-LN(2)/25))/(LN(2)/25)*Calculateur!V126*Calculateur!X126*VLOOKUP('Données projet'!$B$9,Paramètres!$A$1:$I$89,3,0)*0.475*44/12</f>
        <v>7.4713138800945398</v>
      </c>
      <c r="AB126" s="21">
        <f>EXP(-LN(2)/2)*AB125+(1-EXP(-LN(2)/2))/(LN(2)/2)*V126*Y126*VLOOKUP('Données projet'!$B$9,Paramètres!$A$1:$I$89,3,0)*0.475*44/12</f>
        <v>3.6647988643783349E-8</v>
      </c>
      <c r="AC126" s="22">
        <f t="shared" si="57"/>
        <v>126.97290500915109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-1.9065282685915009E-13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486.22495915819474</v>
      </c>
      <c r="T127" s="59">
        <f t="shared" si="88"/>
        <v>593.51433014569966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117.15823777985983</v>
      </c>
      <c r="AA127" s="21">
        <f>EXP(-LN(2)/25)*AA126+(1-EXP(-LN(2)/25))/(LN(2)/25)*Calculateur!V127*Calculateur!X127*VLOOKUP('Données projet'!$B$9,Paramètres!$A$1:$I$89,3,0)*0.475*44/12</f>
        <v>7.2670104091440333</v>
      </c>
      <c r="AB127" s="21">
        <f>EXP(-LN(2)/2)*AB126+(1-EXP(-LN(2)/2))/(LN(2)/2)*V127*Y127*VLOOKUP('Données projet'!$B$9,Paramètres!$A$1:$I$89,3,0)*0.475*44/12</f>
        <v>2.5914041286866792E-8</v>
      </c>
      <c r="AC127" s="22">
        <f t="shared" si="57"/>
        <v>124.42524821491791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-1.9065282685915009E-13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486.22495915819474</v>
      </c>
      <c r="T128" s="59">
        <f t="shared" si="88"/>
        <v>593.51433014569966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114.86083619646578</v>
      </c>
      <c r="AA128" s="21">
        <f>EXP(-LN(2)/25)*AA127+(1-EXP(-LN(2)/25))/(LN(2)/25)*Calculateur!V128*Calculateur!X128*VLOOKUP('Données projet'!$B$9,Paramètres!$A$1:$I$89,3,0)*0.475*44/12</f>
        <v>7.0682936273505215</v>
      </c>
      <c r="AB128" s="21">
        <f>EXP(-LN(2)/2)*AB127+(1-EXP(-LN(2)/2))/(LN(2)/2)*V128*Y128*VLOOKUP('Données projet'!$B$9,Paramètres!$A$1:$I$89,3,0)*0.475*44/12</f>
        <v>1.8323994321891675E-8</v>
      </c>
      <c r="AC128" s="22">
        <f t="shared" si="57"/>
        <v>121.9291298421403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-1.9065282685915009E-13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486.22495915819474</v>
      </c>
      <c r="T129" s="59">
        <f t="shared" si="88"/>
        <v>593.51433014569966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112.6084852568455</v>
      </c>
      <c r="AA129" s="21">
        <f>EXP(-LN(2)/25)*AA128+(1-EXP(-LN(2)/25))/(LN(2)/25)*Calculateur!V129*Calculateur!X129*VLOOKUP('Données projet'!$B$9,Paramètres!$A$1:$I$89,3,0)*0.475*44/12</f>
        <v>6.8750107664052145</v>
      </c>
      <c r="AB129" s="21">
        <f>EXP(-LN(2)/2)*AB128+(1-EXP(-LN(2)/2))/(LN(2)/2)*V129*Y129*VLOOKUP('Données projet'!$B$9,Paramètres!$A$1:$I$89,3,0)*0.475*44/12</f>
        <v>1.2957020643433396E-8</v>
      </c>
      <c r="AC129" s="22">
        <f t="shared" si="57"/>
        <v>119.48349603620773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-1.9065282685915009E-13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486.22495915819474</v>
      </c>
      <c r="T130" s="59">
        <f t="shared" si="88"/>
        <v>593.51433014569966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110.40030154535275</v>
      </c>
      <c r="AA130" s="21">
        <f>EXP(-LN(2)/25)*AA129+(1-EXP(-LN(2)/25))/(LN(2)/25)*Calculateur!V130*Calculateur!X130*VLOOKUP('Données projet'!$B$9,Paramètres!$A$1:$I$89,3,0)*0.475*44/12</f>
        <v>6.6870132354567611</v>
      </c>
      <c r="AB130" s="21">
        <f>EXP(-LN(2)/2)*AB129+(1-EXP(-LN(2)/2))/(LN(2)/2)*V130*Y130*VLOOKUP('Données projet'!$B$9,Paramètres!$A$1:$I$89,3,0)*0.475*44/12</f>
        <v>9.1619971609458374E-9</v>
      </c>
      <c r="AC130" s="22">
        <f t="shared" si="57"/>
        <v>117.0873147899715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-1.9065282685915009E-13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486.22495915819474</v>
      </c>
      <c r="T131" s="59">
        <f t="shared" si="88"/>
        <v>593.51433014569966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108.23541896958329</v>
      </c>
      <c r="AA131" s="21">
        <f>EXP(-LN(2)/25)*AA130+(1-EXP(-LN(2)/25))/(LN(2)/25)*Calculateur!V131*Calculateur!X131*VLOOKUP('Données projet'!$B$9,Paramètres!$A$1:$I$89,3,0)*0.475*44/12</f>
        <v>6.504156506878453</v>
      </c>
      <c r="AB131" s="21">
        <f>EXP(-LN(2)/2)*AB130+(1-EXP(-LN(2)/2))/(LN(2)/2)*V131*Y131*VLOOKUP('Données projet'!$B$9,Paramètres!$A$1:$I$89,3,0)*0.475*44/12</f>
        <v>6.4785103217166979E-9</v>
      </c>
      <c r="AC131" s="22">
        <f t="shared" si="57"/>
        <v>114.73957548294027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-1.9065282685915009E-13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486.22495915819474</v>
      </c>
      <c r="T132" s="59">
        <f t="shared" si="88"/>
        <v>593.51433014569966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106.11298842067669</v>
      </c>
      <c r="AA132" s="21">
        <f>EXP(-LN(2)/25)*AA131+(1-EXP(-LN(2)/25))/(LN(2)/25)*Calculateur!V132*Calculateur!X132*VLOOKUP('Données projet'!$B$9,Paramètres!$A$1:$I$89,3,0)*0.475*44/12</f>
        <v>6.3263000051591369</v>
      </c>
      <c r="AB132" s="21">
        <f>EXP(-LN(2)/2)*AB131+(1-EXP(-LN(2)/2))/(LN(2)/2)*V132*Y132*VLOOKUP('Données projet'!$B$9,Paramètres!$A$1:$I$89,3,0)*0.475*44/12</f>
        <v>4.5809985804729187E-9</v>
      </c>
      <c r="AC132" s="22">
        <f t="shared" ref="AC132:AC153" si="111">SUM(Z132:AB132)</f>
        <v>112.43928843041682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-1.9065282685915009E-13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486.22495915819474</v>
      </c>
      <c r="T133" s="59">
        <f t="shared" ref="T133:T196" si="142">$T$3</f>
        <v>593.51433014569966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104.03217744027933</v>
      </c>
      <c r="AA133" s="21">
        <f>EXP(-LN(2)/25)*AA132+(1-EXP(-LN(2)/25))/(LN(2)/25)*Calculateur!V133*Calculateur!X133*VLOOKUP('Données projet'!$B$9,Paramètres!$A$1:$I$89,3,0)*0.475*44/12</f>
        <v>6.1533069988324023</v>
      </c>
      <c r="AB133" s="21">
        <f>EXP(-LN(2)/2)*AB132+(1-EXP(-LN(2)/2))/(LN(2)/2)*V133*Y133*VLOOKUP('Données projet'!$B$9,Paramètres!$A$1:$I$89,3,0)*0.475*44/12</f>
        <v>3.239255160858349E-9</v>
      </c>
      <c r="AC133" s="22">
        <f t="shared" si="111"/>
        <v>110.18548444235098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-1.9065282685915009E-13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486.22495915819474</v>
      </c>
      <c r="T134" s="59">
        <f t="shared" si="142"/>
        <v>593.51433014569966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101.99216989403818</v>
      </c>
      <c r="AA134" s="21">
        <f>EXP(-LN(2)/25)*AA133+(1-EXP(-LN(2)/25))/(LN(2)/25)*Calculateur!V134*Calculateur!X134*VLOOKUP('Données projet'!$B$9,Paramètres!$A$1:$I$89,3,0)*0.475*44/12</f>
        <v>5.9850444953609792</v>
      </c>
      <c r="AB134" s="21">
        <f>EXP(-LN(2)/2)*AB133+(1-EXP(-LN(2)/2))/(LN(2)/2)*V134*Y134*VLOOKUP('Données projet'!$B$9,Paramètres!$A$1:$I$89,3,0)*0.475*44/12</f>
        <v>2.2904992902364593E-9</v>
      </c>
      <c r="AC134" s="22">
        <f t="shared" si="111"/>
        <v>107.97721439168967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-1.9065282685915009E-13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486.22495915819474</v>
      </c>
      <c r="T135" s="59">
        <f t="shared" si="142"/>
        <v>593.51433014569966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99.992165651497089</v>
      </c>
      <c r="AA135" s="21">
        <f>EXP(-LN(2)/25)*AA134+(1-EXP(-LN(2)/25))/(LN(2)/25)*Calculateur!V135*Calculateur!X135*VLOOKUP('Données projet'!$B$9,Paramètres!$A$1:$I$89,3,0)*0.475*44/12</f>
        <v>5.8213831388955226</v>
      </c>
      <c r="AB135" s="21">
        <f>EXP(-LN(2)/2)*AB134+(1-EXP(-LN(2)/2))/(LN(2)/2)*V135*Y135*VLOOKUP('Données projet'!$B$9,Paramètres!$A$1:$I$89,3,0)*0.475*44/12</f>
        <v>1.6196275804291745E-9</v>
      </c>
      <c r="AC135" s="22">
        <f t="shared" si="111"/>
        <v>105.81354879201224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-1.9065282685915009E-13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486.22495915819474</v>
      </c>
      <c r="T136" s="59">
        <f t="shared" si="142"/>
        <v>593.51433014569966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98.031380272270098</v>
      </c>
      <c r="AA136" s="21">
        <f>EXP(-LN(2)/25)*AA135+(1-EXP(-LN(2)/25))/(LN(2)/25)*Calculateur!V136*Calculateur!X136*VLOOKUP('Données projet'!$B$9,Paramètres!$A$1:$I$89,3,0)*0.475*44/12</f>
        <v>5.6621971108291902</v>
      </c>
      <c r="AB136" s="21">
        <f>EXP(-LN(2)/2)*AB135+(1-EXP(-LN(2)/2))/(LN(2)/2)*V136*Y136*VLOOKUP('Données projet'!$B$9,Paramètres!$A$1:$I$89,3,0)*0.475*44/12</f>
        <v>1.1452496451182297E-9</v>
      </c>
      <c r="AC136" s="22">
        <f t="shared" si="111"/>
        <v>103.69357738424455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-1.9065282685915009E-13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486.22495915819474</v>
      </c>
      <c r="T137" s="59">
        <f t="shared" si="142"/>
        <v>593.51433014569966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96.109044698368763</v>
      </c>
      <c r="AA137" s="21">
        <f>EXP(-LN(2)/25)*AA136+(1-EXP(-LN(2)/25))/(LN(2)/25)*Calculateur!V137*Calculateur!X137*VLOOKUP('Données projet'!$B$9,Paramètres!$A$1:$I$89,3,0)*0.475*44/12</f>
        <v>5.5073640330715614</v>
      </c>
      <c r="AB137" s="21">
        <f>EXP(-LN(2)/2)*AB136+(1-EXP(-LN(2)/2))/(LN(2)/2)*V137*Y137*VLOOKUP('Données projet'!$B$9,Paramètres!$A$1:$I$89,3,0)*0.475*44/12</f>
        <v>8.0981379021458724E-10</v>
      </c>
      <c r="AC137" s="22">
        <f t="shared" si="111"/>
        <v>101.61640873225015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-1.9065282685915009E-13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486.22495915819474</v>
      </c>
      <c r="T138" s="59">
        <f t="shared" si="142"/>
        <v>593.51433014569966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94.224404952562708</v>
      </c>
      <c r="AA138" s="21">
        <f>EXP(-LN(2)/25)*AA137+(1-EXP(-LN(2)/25))/(LN(2)/25)*Calculateur!V138*Calculateur!X138*VLOOKUP('Données projet'!$B$9,Paramètres!$A$1:$I$89,3,0)*0.475*44/12</f>
        <v>5.3567648739675322</v>
      </c>
      <c r="AB138" s="21">
        <f>EXP(-LN(2)/2)*AB137+(1-EXP(-LN(2)/2))/(LN(2)/2)*V138*Y138*VLOOKUP('Données projet'!$B$9,Paramètres!$A$1:$I$89,3,0)*0.475*44/12</f>
        <v>5.7262482255911484E-10</v>
      </c>
      <c r="AC138" s="22">
        <f t="shared" si="111"/>
        <v>99.581169827102869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-1.9065282685915009E-13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486.22495915819474</v>
      </c>
      <c r="T139" s="59">
        <f t="shared" si="142"/>
        <v>593.51433014569966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92.376721842655158</v>
      </c>
      <c r="AA139" s="21">
        <f>EXP(-LN(2)/25)*AA138+(1-EXP(-LN(2)/25))/(LN(2)/25)*Calculateur!V139*Calculateur!X139*VLOOKUP('Données projet'!$B$9,Paramètres!$A$1:$I$89,3,0)*0.475*44/12</f>
        <v>5.2102838567888687</v>
      </c>
      <c r="AB139" s="21">
        <f>EXP(-LN(2)/2)*AB138+(1-EXP(-LN(2)/2))/(LN(2)/2)*V139*Y139*VLOOKUP('Données projet'!$B$9,Paramètres!$A$1:$I$89,3,0)*0.475*44/12</f>
        <v>4.0490689510729362E-10</v>
      </c>
      <c r="AC139" s="22">
        <f t="shared" si="111"/>
        <v>97.58700569984893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-1.9065282685915009E-13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486.22495915819474</v>
      </c>
      <c r="T140" s="59">
        <f t="shared" si="142"/>
        <v>593.51433014569966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90.565270671557485</v>
      </c>
      <c r="AA140" s="21">
        <f>EXP(-LN(2)/25)*AA139+(1-EXP(-LN(2)/25))/(LN(2)/25)*Calculateur!V140*Calculateur!X140*VLOOKUP('Données projet'!$B$9,Paramètres!$A$1:$I$89,3,0)*0.475*44/12</f>
        <v>5.0678083707280575</v>
      </c>
      <c r="AB140" s="21">
        <f>EXP(-LN(2)/2)*AB139+(1-EXP(-LN(2)/2))/(LN(2)/2)*V140*Y140*VLOOKUP('Données projet'!$B$9,Paramètres!$A$1:$I$89,3,0)*0.475*44/12</f>
        <v>2.8631241127955742E-10</v>
      </c>
      <c r="AC140" s="22">
        <f t="shared" si="111"/>
        <v>95.63307904257185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-1.9065282685915009E-13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486.22495915819474</v>
      </c>
      <c r="T141" s="59">
        <f t="shared" si="142"/>
        <v>593.51433014569966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88.789340953048921</v>
      </c>
      <c r="AA141" s="21">
        <f>EXP(-LN(2)/25)*AA140+(1-EXP(-LN(2)/25))/(LN(2)/25)*Calculateur!V141*Calculateur!X141*VLOOKUP('Données projet'!$B$9,Paramètres!$A$1:$I$89,3,0)*0.475*44/12</f>
        <v>4.9292288843260392</v>
      </c>
      <c r="AB141" s="21">
        <f>EXP(-LN(2)/2)*AB140+(1-EXP(-LN(2)/2))/(LN(2)/2)*V141*Y141*VLOOKUP('Données projet'!$B$9,Paramètres!$A$1:$I$89,3,0)*0.475*44/12</f>
        <v>2.0245344755364681E-10</v>
      </c>
      <c r="AC141" s="22">
        <f t="shared" si="111"/>
        <v>93.718569837577405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-1.9065282685915009E-13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486.22495915819474</v>
      </c>
      <c r="T142" s="59">
        <f t="shared" si="142"/>
        <v>593.51433014569966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87.048236133110137</v>
      </c>
      <c r="AA142" s="21">
        <f>EXP(-LN(2)/25)*AA141+(1-EXP(-LN(2)/25))/(LN(2)/25)*Calculateur!V142*Calculateur!X142*VLOOKUP('Données projet'!$B$9,Paramètres!$A$1:$I$89,3,0)*0.475*44/12</f>
        <v>4.7944388612672624</v>
      </c>
      <c r="AB142" s="21">
        <f>EXP(-LN(2)/2)*AB141+(1-EXP(-LN(2)/2))/(LN(2)/2)*V142*Y142*VLOOKUP('Données projet'!$B$9,Paramètres!$A$1:$I$89,3,0)*0.475*44/12</f>
        <v>1.4315620563977871E-10</v>
      </c>
      <c r="AC142" s="22">
        <f t="shared" si="111"/>
        <v>91.842674994520564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-1.9065282685915009E-13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486.22495915819474</v>
      </c>
      <c r="T143" s="59">
        <f t="shared" si="142"/>
        <v>593.51433014569966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85.341273316721271</v>
      </c>
      <c r="AA143" s="21">
        <f>EXP(-LN(2)/25)*AA142+(1-EXP(-LN(2)/25))/(LN(2)/25)*Calculateur!V143*Calculateur!X143*VLOOKUP('Données projet'!$B$9,Paramètres!$A$1:$I$89,3,0)*0.475*44/12</f>
        <v>4.6633346784773275</v>
      </c>
      <c r="AB143" s="21">
        <f>EXP(-LN(2)/2)*AB142+(1-EXP(-LN(2)/2))/(LN(2)/2)*V143*Y143*VLOOKUP('Données projet'!$B$9,Paramètres!$A$1:$I$89,3,0)*0.475*44/12</f>
        <v>1.0122672377682341E-10</v>
      </c>
      <c r="AC143" s="22">
        <f t="shared" si="111"/>
        <v>90.004607995299821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-1.9065282685915009E-13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486.22495915819474</v>
      </c>
      <c r="T144" s="59">
        <f t="shared" si="142"/>
        <v>593.51433014569966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83.66778300001728</v>
      </c>
      <c r="AA144" s="21">
        <f>EXP(-LN(2)/25)*AA143+(1-EXP(-LN(2)/25))/(LN(2)/25)*Calculateur!V144*Calculateur!X144*VLOOKUP('Données projet'!$B$9,Paramètres!$A$1:$I$89,3,0)*0.475*44/12</f>
        <v>4.5358155464602525</v>
      </c>
      <c r="AB144" s="21">
        <f>EXP(-LN(2)/2)*AB143+(1-EXP(-LN(2)/2))/(LN(2)/2)*V144*Y144*VLOOKUP('Données projet'!$B$9,Paramètres!$A$1:$I$89,3,0)*0.475*44/12</f>
        <v>7.1578102819889354E-11</v>
      </c>
      <c r="AC144" s="22">
        <f t="shared" si="111"/>
        <v>88.203598546549117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-1.9065282685915009E-13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486.22495915819474</v>
      </c>
      <c r="T145" s="59">
        <f t="shared" si="142"/>
        <v>593.51433014569966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82.027108807695555</v>
      </c>
      <c r="AA145" s="21">
        <f>EXP(-LN(2)/25)*AA144+(1-EXP(-LN(2)/25))/(LN(2)/25)*Calculateur!V145*Calculateur!X145*VLOOKUP('Données projet'!$B$9,Paramètres!$A$1:$I$89,3,0)*0.475*44/12</f>
        <v>4.4117834318141238</v>
      </c>
      <c r="AB145" s="21">
        <f>EXP(-LN(2)/2)*AB144+(1-EXP(-LN(2)/2))/(LN(2)/2)*V145*Y145*VLOOKUP('Données projet'!$B$9,Paramètres!$A$1:$I$89,3,0)*0.475*44/12</f>
        <v>5.0613361888411703E-11</v>
      </c>
      <c r="AC145" s="22">
        <f t="shared" si="111"/>
        <v>86.438892239560303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-1.9065282685915009E-13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486.22495915819474</v>
      </c>
      <c r="T146" s="59">
        <f t="shared" si="142"/>
        <v>593.51433014569966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80.418607235572807</v>
      </c>
      <c r="AA146" s="21">
        <f>EXP(-LN(2)/25)*AA145+(1-EXP(-LN(2)/25))/(LN(2)/25)*Calculateur!V146*Calculateur!X146*VLOOKUP('Données projet'!$B$9,Paramètres!$A$1:$I$89,3,0)*0.475*44/12</f>
        <v>4.2911429818655593</v>
      </c>
      <c r="AB146" s="21">
        <f>EXP(-LN(2)/2)*AB145+(1-EXP(-LN(2)/2))/(LN(2)/2)*V146*Y146*VLOOKUP('Données projet'!$B$9,Paramètres!$A$1:$I$89,3,0)*0.475*44/12</f>
        <v>3.5789051409944677E-11</v>
      </c>
      <c r="AC146" s="22">
        <f t="shared" si="111"/>
        <v>84.709750217474152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-1.9065282685915009E-13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486.22495915819474</v>
      </c>
      <c r="T147" s="59">
        <f t="shared" si="142"/>
        <v>593.51433014569966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78.841647398190304</v>
      </c>
      <c r="AA147" s="21">
        <f>EXP(-LN(2)/25)*AA146+(1-EXP(-LN(2)/25))/(LN(2)/25)*Calculateur!V147*Calculateur!X147*VLOOKUP('Données projet'!$B$9,Paramètres!$A$1:$I$89,3,0)*0.475*44/12</f>
        <v>4.1738014513650441</v>
      </c>
      <c r="AB147" s="21">
        <f>EXP(-LN(2)/2)*AB146+(1-EXP(-LN(2)/2))/(LN(2)/2)*V147*Y147*VLOOKUP('Données projet'!$B$9,Paramètres!$A$1:$I$89,3,0)*0.475*44/12</f>
        <v>2.5306680944205851E-11</v>
      </c>
      <c r="AC147" s="22">
        <f t="shared" si="111"/>
        <v>83.015448849580665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-1.9065282685915009E-13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486.22495915819474</v>
      </c>
      <c r="T148" s="59">
        <f t="shared" si="142"/>
        <v>593.51433014569966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77.295610781368339</v>
      </c>
      <c r="AA148" s="21">
        <f>EXP(-LN(2)/25)*AA147+(1-EXP(-LN(2)/25))/(LN(2)/25)*Calculateur!V148*Calculateur!X148*VLOOKUP('Données projet'!$B$9,Paramètres!$A$1:$I$89,3,0)*0.475*44/12</f>
        <v>4.0596686311867876</v>
      </c>
      <c r="AB148" s="21">
        <f>EXP(-LN(2)/2)*AB147+(1-EXP(-LN(2)/2))/(LN(2)/2)*V148*Y148*VLOOKUP('Données projet'!$B$9,Paramètres!$A$1:$I$89,3,0)*0.475*44/12</f>
        <v>1.7894525704972339E-11</v>
      </c>
      <c r="AC148" s="22">
        <f t="shared" si="111"/>
        <v>81.355279412573012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-1.9065282685915009E-13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486.22495915819474</v>
      </c>
      <c r="T149" s="59">
        <f t="shared" si="142"/>
        <v>593.51433014569966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75.779890999613031</v>
      </c>
      <c r="AA149" s="21">
        <f>EXP(-LN(2)/25)*AA148+(1-EXP(-LN(2)/25))/(LN(2)/25)*Calculateur!V149*Calculateur!X149*VLOOKUP('Données projet'!$B$9,Paramètres!$A$1:$I$89,3,0)*0.475*44/12</f>
        <v>3.94865677897829</v>
      </c>
      <c r="AB149" s="21">
        <f>EXP(-LN(2)/2)*AB148+(1-EXP(-LN(2)/2))/(LN(2)/2)*V149*Y149*VLOOKUP('Données projet'!$B$9,Paramètres!$A$1:$I$89,3,0)*0.475*44/12</f>
        <v>1.2653340472102926E-11</v>
      </c>
      <c r="AC149" s="22">
        <f t="shared" si="111"/>
        <v>79.728547778603968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-1.9065282685915009E-13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486.22495915819474</v>
      </c>
      <c r="T150" s="59">
        <f t="shared" si="142"/>
        <v>593.51433014569966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74.293893558280161</v>
      </c>
      <c r="AA150" s="21">
        <f>EXP(-LN(2)/25)*AA149+(1-EXP(-LN(2)/25))/(LN(2)/25)*Calculateur!V150*Calculateur!X150*VLOOKUP('Données projet'!$B$9,Paramètres!$A$1:$I$89,3,0)*0.475*44/12</f>
        <v>3.8406805517062934</v>
      </c>
      <c r="AB150" s="21">
        <f>EXP(-LN(2)/2)*AB149+(1-EXP(-LN(2)/2))/(LN(2)/2)*V150*Y150*VLOOKUP('Données projet'!$B$9,Paramètres!$A$1:$I$89,3,0)*0.475*44/12</f>
        <v>8.9472628524861693E-12</v>
      </c>
      <c r="AC150" s="22">
        <f t="shared" si="111"/>
        <v>78.134574109995413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-1.9065282685915009E-13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486.22495915819474</v>
      </c>
      <c r="T151" s="59">
        <f t="shared" si="142"/>
        <v>593.51433014569966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72.837035620402887</v>
      </c>
      <c r="AA151" s="21">
        <f>EXP(-LN(2)/25)*AA150+(1-EXP(-LN(2)/25))/(LN(2)/25)*Calculateur!V151*Calculateur!X151*VLOOKUP('Données projet'!$B$9,Paramètres!$A$1:$I$89,3,0)*0.475*44/12</f>
        <v>3.7356569400472726</v>
      </c>
      <c r="AB151" s="21">
        <f>EXP(-LN(2)/2)*AB150+(1-EXP(-LN(2)/2))/(LN(2)/2)*V151*Y151*VLOOKUP('Données projet'!$B$9,Paramètres!$A$1:$I$89,3,0)*0.475*44/12</f>
        <v>6.3266702360514628E-12</v>
      </c>
      <c r="AC151" s="22">
        <f t="shared" si="111"/>
        <v>76.572692560456488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-1.9065282685915009E-13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486.22495915819474</v>
      </c>
      <c r="T152" s="59">
        <f t="shared" si="142"/>
        <v>593.51433014569966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71.408745778091784</v>
      </c>
      <c r="AA152" s="21">
        <f>EXP(-LN(2)/25)*AA151+(1-EXP(-LN(2)/25))/(LN(2)/25)*Calculateur!V152*Calculateur!X152*VLOOKUP('Données projet'!$B$9,Paramètres!$A$1:$I$89,3,0)*0.475*44/12</f>
        <v>3.6335052045720193</v>
      </c>
      <c r="AB152" s="21">
        <f>EXP(-LN(2)/2)*AB151+(1-EXP(-LN(2)/2))/(LN(2)/2)*V152*Y152*VLOOKUP('Données projet'!$B$9,Paramètres!$A$1:$I$89,3,0)*0.475*44/12</f>
        <v>4.4736314262430846E-12</v>
      </c>
      <c r="AC152" s="22">
        <f t="shared" si="111"/>
        <v>75.042250982668278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-1.9065282685915009E-13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486.22495915819474</v>
      </c>
      <c r="T153" s="59">
        <f t="shared" si="142"/>
        <v>593.51433014569966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70.008463828417632</v>
      </c>
      <c r="AA153" s="21">
        <f>EXP(-LN(2)/25)*AA152+(1-EXP(-LN(2)/25))/(LN(2)/25)*Calculateur!V153*Calculateur!X153*VLOOKUP('Données projet'!$B$9,Paramètres!$A$1:$I$89,3,0)*0.475*44/12</f>
        <v>3.5341468136752634</v>
      </c>
      <c r="AB153" s="21">
        <f>EXP(-LN(2)/2)*AB152+(1-EXP(-LN(2)/2))/(LN(2)/2)*V153*Y153*VLOOKUP('Données projet'!$B$9,Paramètres!$A$1:$I$89,3,0)*0.475*44/12</f>
        <v>3.1633351180257314E-12</v>
      </c>
      <c r="AC153" s="22">
        <f t="shared" si="111"/>
        <v>73.542610642096065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-1.9065282685915009E-13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486.22495915819474</v>
      </c>
      <c r="T154" s="59">
        <f t="shared" si="142"/>
        <v>593.51433014569966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68.63564055368893</v>
      </c>
      <c r="AA154" s="21">
        <f>EXP(-LN(2)/25)*AA153+(1-EXP(-LN(2)/25))/(LN(2)/25)*Calculateur!V154*Calculateur!X154*VLOOKUP('Données projet'!$B$9,Paramètres!$A$1:$I$89,3,0)*0.475*44/12</f>
        <v>3.4375053832026099</v>
      </c>
      <c r="AB154" s="21">
        <f>EXP(-LN(2)/2)*AB153+(1-EXP(-LN(2)/2))/(LN(2)/2)*V154*Y154*VLOOKUP('Données projet'!$B$9,Paramètres!$A$1:$I$89,3,0)*0.475*44/12</f>
        <v>2.2368157131215423E-12</v>
      </c>
      <c r="AC154" s="22">
        <f t="shared" ref="AC154:AC203" si="163">SUM(Z154:AB154)</f>
        <v>72.073145936893766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-1.9065282685915009E-13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486.22495915819474</v>
      </c>
      <c r="T155" s="59">
        <f t="shared" si="142"/>
        <v>593.51433014569966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67.289737506038136</v>
      </c>
      <c r="AA155" s="21">
        <f>EXP(-LN(2)/25)*AA154+(1-EXP(-LN(2)/25))/(LN(2)/25)*Calculateur!V155*Calculateur!X155*VLOOKUP('Données projet'!$B$9,Paramètres!$A$1:$I$89,3,0)*0.475*44/12</f>
        <v>3.3435066177283828</v>
      </c>
      <c r="AB155" s="21">
        <f>EXP(-LN(2)/2)*AB154+(1-EXP(-LN(2)/2))/(LN(2)/2)*V155*Y155*VLOOKUP('Données projet'!$B$9,Paramètres!$A$1:$I$89,3,0)*0.475*44/12</f>
        <v>1.5816675590128657E-12</v>
      </c>
      <c r="AC155" s="22">
        <f t="shared" si="163"/>
        <v>70.633244123768094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-1.9065282685915009E-13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486.22495915819474</v>
      </c>
      <c r="T156" s="59">
        <f t="shared" si="142"/>
        <v>593.51433014569966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65.970226796231984</v>
      </c>
      <c r="AA156" s="21">
        <f>EXP(-LN(2)/25)*AA155+(1-EXP(-LN(2)/25))/(LN(2)/25)*Calculateur!V156*Calculateur!X156*VLOOKUP('Données projet'!$B$9,Paramètres!$A$1:$I$89,3,0)*0.475*44/12</f>
        <v>3.2520782534392287</v>
      </c>
      <c r="AB156" s="21">
        <f>EXP(-LN(2)/2)*AB155+(1-EXP(-LN(2)/2))/(LN(2)/2)*V156*Y156*VLOOKUP('Données projet'!$B$9,Paramètres!$A$1:$I$89,3,0)*0.475*44/12</f>
        <v>1.1184078565607712E-12</v>
      </c>
      <c r="AC156" s="22">
        <f t="shared" si="163"/>
        <v>69.222305049672329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-1.9065282685915009E-13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486.22495915819474</v>
      </c>
      <c r="T157" s="59">
        <f t="shared" si="142"/>
        <v>593.51433014569966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64.67659088662306</v>
      </c>
      <c r="AA157" s="21">
        <f>EXP(-LN(2)/25)*AA156+(1-EXP(-LN(2)/25))/(LN(2)/25)*Calculateur!V157*Calculateur!X157*VLOOKUP('Données projet'!$B$9,Paramètres!$A$1:$I$89,3,0)*0.475*44/12</f>
        <v>3.1631500025795702</v>
      </c>
      <c r="AB157" s="21">
        <f>EXP(-LN(2)/2)*AB156+(1-EXP(-LN(2)/2))/(LN(2)/2)*V157*Y157*VLOOKUP('Données projet'!$B$9,Paramètres!$A$1:$I$89,3,0)*0.475*44/12</f>
        <v>7.9083377950643285E-13</v>
      </c>
      <c r="AC157" s="22">
        <f t="shared" si="163"/>
        <v>67.839740889203426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-1.9065282685915009E-13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486.22495915819474</v>
      </c>
      <c r="T158" s="59">
        <f t="shared" si="142"/>
        <v>593.51433014569966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63.408322388161572</v>
      </c>
      <c r="AA158" s="21">
        <f>EXP(-LN(2)/25)*AA157+(1-EXP(-LN(2)/25))/(LN(2)/25)*Calculateur!V158*Calculateur!X158*VLOOKUP('Données projet'!$B$9,Paramètres!$A$1:$I$89,3,0)*0.475*44/12</f>
        <v>3.0766534994162029</v>
      </c>
      <c r="AB158" s="21">
        <f>EXP(-LN(2)/2)*AB157+(1-EXP(-LN(2)/2))/(LN(2)/2)*V158*Y158*VLOOKUP('Données projet'!$B$9,Paramètres!$A$1:$I$89,3,0)*0.475*44/12</f>
        <v>5.5920392828038558E-13</v>
      </c>
      <c r="AC158" s="22">
        <f t="shared" si="163"/>
        <v>66.484975887578329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-1.9065282685915009E-13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486.22495915819474</v>
      </c>
      <c r="T159" s="59">
        <f t="shared" si="142"/>
        <v>593.51433014569966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62.164923861387514</v>
      </c>
      <c r="AA159" s="21">
        <f>EXP(-LN(2)/25)*AA158+(1-EXP(-LN(2)/25))/(LN(2)/25)*Calculateur!V159*Calculateur!X159*VLOOKUP('Données projet'!$B$9,Paramètres!$A$1:$I$89,3,0)*0.475*44/12</f>
        <v>2.9925222476804909</v>
      </c>
      <c r="AB159" s="21">
        <f>EXP(-LN(2)/2)*AB158+(1-EXP(-LN(2)/2))/(LN(2)/2)*V159*Y159*VLOOKUP('Données projet'!$B$9,Paramètres!$A$1:$I$89,3,0)*0.475*44/12</f>
        <v>3.9541688975321643E-13</v>
      </c>
      <c r="AC159" s="22">
        <f t="shared" si="163"/>
        <v>65.157446109068403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-1.9065282685915009E-13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486.22495915819474</v>
      </c>
      <c r="T160" s="59">
        <f t="shared" si="142"/>
        <v>593.51433014569966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60.945907621325283</v>
      </c>
      <c r="AA160" s="21">
        <f>EXP(-LN(2)/25)*AA159+(1-EXP(-LN(2)/25))/(LN(2)/25)*Calculateur!V160*Calculateur!X160*VLOOKUP('Données projet'!$B$9,Paramètres!$A$1:$I$89,3,0)*0.475*44/12</f>
        <v>2.9106915694477622</v>
      </c>
      <c r="AB160" s="21">
        <f>EXP(-LN(2)/2)*AB159+(1-EXP(-LN(2)/2))/(LN(2)/2)*V160*Y160*VLOOKUP('Données projet'!$B$9,Paramètres!$A$1:$I$89,3,0)*0.475*44/12</f>
        <v>2.7960196414019279E-13</v>
      </c>
      <c r="AC160" s="22">
        <f t="shared" si="163"/>
        <v>63.856599190773323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-1.9065282685915009E-13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486.22495915819474</v>
      </c>
      <c r="T161" s="59">
        <f t="shared" si="142"/>
        <v>593.51433014569966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59.750795546204181</v>
      </c>
      <c r="AA161" s="21">
        <f>EXP(-LN(2)/25)*AA160+(1-EXP(-LN(2)/25))/(LN(2)/25)*Calculateur!V161*Calculateur!X161*VLOOKUP('Données projet'!$B$9,Paramètres!$A$1:$I$89,3,0)*0.475*44/12</f>
        <v>2.831098555414596</v>
      </c>
      <c r="AB161" s="21">
        <f>EXP(-LN(2)/2)*AB160+(1-EXP(-LN(2)/2))/(LN(2)/2)*V161*Y161*VLOOKUP('Données projet'!$B$9,Paramètres!$A$1:$I$89,3,0)*0.475*44/12</f>
        <v>1.9770844487660821E-13</v>
      </c>
      <c r="AC161" s="22">
        <f t="shared" si="163"/>
        <v>62.581894101618978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-1.9065282685915009E-13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486.22495915819474</v>
      </c>
      <c r="T162" s="59">
        <f t="shared" si="142"/>
        <v>593.51433014569966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58.579118889929816</v>
      </c>
      <c r="AA162" s="21">
        <f>EXP(-LN(2)/25)*AA161+(1-EXP(-LN(2)/25))/(LN(2)/25)*Calculateur!V162*Calculateur!X162*VLOOKUP('Données projet'!$B$9,Paramètres!$A$1:$I$89,3,0)*0.475*44/12</f>
        <v>2.7536820165357816</v>
      </c>
      <c r="AB162" s="21">
        <f>EXP(-LN(2)/2)*AB161+(1-EXP(-LN(2)/2))/(LN(2)/2)*V162*Y162*VLOOKUP('Données projet'!$B$9,Paramètres!$A$1:$I$89,3,0)*0.475*44/12</f>
        <v>1.398009820700964E-13</v>
      </c>
      <c r="AC162" s="22">
        <f t="shared" si="163"/>
        <v>61.332800906465742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-1.9065282685915009E-13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486.22495915819474</v>
      </c>
      <c r="T163" s="59">
        <f t="shared" si="142"/>
        <v>593.51433014569966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57.430418098232799</v>
      </c>
      <c r="AA163" s="21">
        <f>EXP(-LN(2)/25)*AA162+(1-EXP(-LN(2)/25))/(LN(2)/25)*Calculateur!V163*Calculateur!X163*VLOOKUP('Données projet'!$B$9,Paramètres!$A$1:$I$89,3,0)*0.475*44/12</f>
        <v>2.678382436983767</v>
      </c>
      <c r="AB163" s="21">
        <f>EXP(-LN(2)/2)*AB162+(1-EXP(-LN(2)/2))/(LN(2)/2)*V163*Y163*VLOOKUP('Données projet'!$B$9,Paramètres!$A$1:$I$89,3,0)*0.475*44/12</f>
        <v>9.8854222438304107E-14</v>
      </c>
      <c r="AC163" s="22">
        <f t="shared" si="163"/>
        <v>60.108800535216666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-1.9065282685915009E-13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486.22495915819474</v>
      </c>
      <c r="T164" s="59">
        <f t="shared" si="142"/>
        <v>593.51433014569966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56.304242628422656</v>
      </c>
      <c r="AA164" s="21">
        <f>EXP(-LN(2)/25)*AA163+(1-EXP(-LN(2)/25))/(LN(2)/25)*Calculateur!V164*Calculateur!X164*VLOOKUP('Données projet'!$B$9,Paramètres!$A$1:$I$89,3,0)*0.475*44/12</f>
        <v>2.6051419283944353</v>
      </c>
      <c r="AB164" s="21">
        <f>EXP(-LN(2)/2)*AB163+(1-EXP(-LN(2)/2))/(LN(2)/2)*V164*Y164*VLOOKUP('Données projet'!$B$9,Paramètres!$A$1:$I$89,3,0)*0.475*44/12</f>
        <v>6.9900491035048198E-14</v>
      </c>
      <c r="AC164" s="22">
        <f t="shared" si="163"/>
        <v>58.909384556817166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-1.9065282685915009E-13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486.22495915819474</v>
      </c>
      <c r="T165" s="59">
        <f t="shared" si="142"/>
        <v>593.51433014569966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55.200150772676281</v>
      </c>
      <c r="AA165" s="21">
        <f>EXP(-LN(2)/25)*AA164+(1-EXP(-LN(2)/25))/(LN(2)/25)*Calculateur!V165*Calculateur!X165*VLOOKUP('Données projet'!$B$9,Paramètres!$A$1:$I$89,3,0)*0.475*44/12</f>
        <v>2.5339041853640296</v>
      </c>
      <c r="AB165" s="21">
        <f>EXP(-LN(2)/2)*AB164+(1-EXP(-LN(2)/2))/(LN(2)/2)*V165*Y165*VLOOKUP('Données projet'!$B$9,Paramètres!$A$1:$I$89,3,0)*0.475*44/12</f>
        <v>4.9427111219152053E-14</v>
      </c>
      <c r="AC165" s="22">
        <f t="shared" si="163"/>
        <v>57.73405495804036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-1.9065282685915009E-13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486.22495915819474</v>
      </c>
      <c r="T166" s="59">
        <f t="shared" si="142"/>
        <v>593.51433014569966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54.117709484791554</v>
      </c>
      <c r="AA166" s="21">
        <f>EXP(-LN(2)/25)*AA165+(1-EXP(-LN(2)/25))/(LN(2)/25)*Calculateur!V166*Calculateur!X166*VLOOKUP('Données projet'!$B$9,Paramètres!$A$1:$I$89,3,0)*0.475*44/12</f>
        <v>2.4646144421630205</v>
      </c>
      <c r="AB166" s="21">
        <f>EXP(-LN(2)/2)*AB165+(1-EXP(-LN(2)/2))/(LN(2)/2)*V166*Y166*VLOOKUP('Données projet'!$B$9,Paramètres!$A$1:$I$89,3,0)*0.475*44/12</f>
        <v>3.4950245517524099E-14</v>
      </c>
      <c r="AC166" s="22">
        <f t="shared" si="163"/>
        <v>56.582323926954608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-1.9065282685915009E-13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486.22495915819474</v>
      </c>
      <c r="T167" s="59">
        <f t="shared" si="142"/>
        <v>593.51433014569966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53.056494210338258</v>
      </c>
      <c r="AA167" s="21">
        <f>EXP(-LN(2)/25)*AA166+(1-EXP(-LN(2)/25))/(LN(2)/25)*Calculateur!V167*Calculateur!X167*VLOOKUP('Données projet'!$B$9,Paramètres!$A$1:$I$89,3,0)*0.475*44/12</f>
        <v>2.3972194306336321</v>
      </c>
      <c r="AB167" s="21">
        <f>EXP(-LN(2)/2)*AB166+(1-EXP(-LN(2)/2))/(LN(2)/2)*V167*Y167*VLOOKUP('Données projet'!$B$9,Paramètres!$A$1:$I$89,3,0)*0.475*44/12</f>
        <v>2.4713555609576027E-14</v>
      </c>
      <c r="AC167" s="22">
        <f t="shared" si="163"/>
        <v>55.453713640971912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-1.9065282685915009E-13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486.22495915819474</v>
      </c>
      <c r="T168" s="59">
        <f t="shared" si="142"/>
        <v>593.51433014569966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52.016088720139585</v>
      </c>
      <c r="AA168" s="21">
        <f>EXP(-LN(2)/25)*AA167+(1-EXP(-LN(2)/25))/(LN(2)/25)*Calculateur!V168*Calculateur!X168*VLOOKUP('Données projet'!$B$9,Paramètres!$A$1:$I$89,3,0)*0.475*44/12</f>
        <v>2.3316673392386646</v>
      </c>
      <c r="AB168" s="21">
        <f>EXP(-LN(2)/2)*AB167+(1-EXP(-LN(2)/2))/(LN(2)/2)*V168*Y168*VLOOKUP('Données projet'!$B$9,Paramètres!$A$1:$I$89,3,0)*0.475*44/12</f>
        <v>1.7475122758762049E-14</v>
      </c>
      <c r="AC168" s="22">
        <f t="shared" si="163"/>
        <v>54.347756059378263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-1.9065282685915009E-13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486.22495915819474</v>
      </c>
      <c r="T169" s="59">
        <f t="shared" si="142"/>
        <v>593.51433014569966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50.996084947019014</v>
      </c>
      <c r="AA169" s="21">
        <f>EXP(-LN(2)/25)*AA168+(1-EXP(-LN(2)/25))/(LN(2)/25)*Calculateur!V169*Calculateur!X169*VLOOKUP('Données projet'!$B$9,Paramètres!$A$1:$I$89,3,0)*0.475*44/12</f>
        <v>2.2679077732301272</v>
      </c>
      <c r="AB169" s="21">
        <f>EXP(-LN(2)/2)*AB168+(1-EXP(-LN(2)/2))/(LN(2)/2)*V169*Y169*VLOOKUP('Données projet'!$B$9,Paramètres!$A$1:$I$89,3,0)*0.475*44/12</f>
        <v>1.2356777804788013E-14</v>
      </c>
      <c r="AC169" s="22">
        <f t="shared" si="163"/>
        <v>53.263992720249156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-1.9065282685915009E-13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486.22495915819474</v>
      </c>
      <c r="T170" s="59">
        <f t="shared" si="142"/>
        <v>593.51433014569966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49.996082825748474</v>
      </c>
      <c r="AA170" s="21">
        <f>EXP(-LN(2)/25)*AA169+(1-EXP(-LN(2)/25))/(LN(2)/25)*Calculateur!V170*Calculateur!X170*VLOOKUP('Données projet'!$B$9,Paramètres!$A$1:$I$89,3,0)*0.475*44/12</f>
        <v>2.2058917159070628</v>
      </c>
      <c r="AB170" s="21">
        <f>EXP(-LN(2)/2)*AB169+(1-EXP(-LN(2)/2))/(LN(2)/2)*V170*Y170*VLOOKUP('Données projet'!$B$9,Paramètres!$A$1:$I$89,3,0)*0.475*44/12</f>
        <v>8.7375613793810247E-15</v>
      </c>
      <c r="AC170" s="22">
        <f t="shared" si="163"/>
        <v>52.201974541655545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-1.9065282685915009E-13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486.22495915819474</v>
      </c>
      <c r="T171" s="59">
        <f t="shared" si="142"/>
        <v>593.51433014569966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49.015690136134978</v>
      </c>
      <c r="AA171" s="21">
        <f>EXP(-LN(2)/25)*AA170+(1-EXP(-LN(2)/25))/(LN(2)/25)*Calculateur!V171*Calculateur!X171*VLOOKUP('Données projet'!$B$9,Paramètres!$A$1:$I$89,3,0)*0.475*44/12</f>
        <v>2.1455714909327805</v>
      </c>
      <c r="AB171" s="21">
        <f>EXP(-LN(2)/2)*AB170+(1-EXP(-LN(2)/2))/(LN(2)/2)*V171*Y171*VLOOKUP('Données projet'!$B$9,Paramètres!$A$1:$I$89,3,0)*0.475*44/12</f>
        <v>6.1783889023940067E-15</v>
      </c>
      <c r="AC171" s="22">
        <f t="shared" si="163"/>
        <v>51.161261627067766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-1.9065282685915009E-13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486.22495915819474</v>
      </c>
      <c r="T172" s="59">
        <f t="shared" si="142"/>
        <v>593.51433014569966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48.05452234918431</v>
      </c>
      <c r="AA172" s="21">
        <f>EXP(-LN(2)/25)*AA171+(1-EXP(-LN(2)/25))/(LN(2)/25)*Calculateur!V172*Calculateur!X172*VLOOKUP('Données projet'!$B$9,Paramètres!$A$1:$I$89,3,0)*0.475*44/12</f>
        <v>2.0869007256825229</v>
      </c>
      <c r="AB172" s="21">
        <f>EXP(-LN(2)/2)*AB171+(1-EXP(-LN(2)/2))/(LN(2)/2)*V172*Y172*VLOOKUP('Données projet'!$B$9,Paramètres!$A$1:$I$89,3,0)*0.475*44/12</f>
        <v>4.3687806896905124E-15</v>
      </c>
      <c r="AC172" s="22">
        <f t="shared" si="163"/>
        <v>50.141423074866843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-1.9065282685915009E-13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486.22495915819474</v>
      </c>
      <c r="T173" s="59">
        <f t="shared" si="142"/>
        <v>593.51433014569966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47.112202476281283</v>
      </c>
      <c r="AA173" s="21">
        <f>EXP(-LN(2)/25)*AA172+(1-EXP(-LN(2)/25))/(LN(2)/25)*Calculateur!V173*Calculateur!X173*VLOOKUP('Données projet'!$B$9,Paramètres!$A$1:$I$89,3,0)*0.475*44/12</f>
        <v>2.0298343155933947</v>
      </c>
      <c r="AB173" s="21">
        <f>EXP(-LN(2)/2)*AB172+(1-EXP(-LN(2)/2))/(LN(2)/2)*V173*Y173*VLOOKUP('Données projet'!$B$9,Paramètres!$A$1:$I$89,3,0)*0.475*44/12</f>
        <v>3.0891944511970033E-15</v>
      </c>
      <c r="AC173" s="22">
        <f t="shared" si="163"/>
        <v>49.142036791874681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-1.9065282685915009E-13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486.22495915819474</v>
      </c>
      <c r="T174" s="59">
        <f t="shared" si="142"/>
        <v>593.51433014569966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46.188360921327515</v>
      </c>
      <c r="AA174" s="21">
        <f>EXP(-LN(2)/25)*AA173+(1-EXP(-LN(2)/25))/(LN(2)/25)*Calculateur!V174*Calculateur!X174*VLOOKUP('Données projet'!$B$9,Paramètres!$A$1:$I$89,3,0)*0.475*44/12</f>
        <v>1.9743283894891459</v>
      </c>
      <c r="AB174" s="21">
        <f>EXP(-LN(2)/2)*AB173+(1-EXP(-LN(2)/2))/(LN(2)/2)*V174*Y174*VLOOKUP('Données projet'!$B$9,Paramètres!$A$1:$I$89,3,0)*0.475*44/12</f>
        <v>2.1843903448452562E-15</v>
      </c>
      <c r="AC174" s="22">
        <f t="shared" si="163"/>
        <v>48.16268931081666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-1.9065282685915009E-13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486.22495915819474</v>
      </c>
      <c r="T175" s="59">
        <f t="shared" si="142"/>
        <v>593.51433014569966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45.282635335778679</v>
      </c>
      <c r="AA175" s="21">
        <f>EXP(-LN(2)/25)*AA174+(1-EXP(-LN(2)/25))/(LN(2)/25)*Calculateur!V175*Calculateur!X175*VLOOKUP('Données projet'!$B$9,Paramètres!$A$1:$I$89,3,0)*0.475*44/12</f>
        <v>1.9203402758531476</v>
      </c>
      <c r="AB175" s="21">
        <f>EXP(-LN(2)/2)*AB174+(1-EXP(-LN(2)/2))/(LN(2)/2)*V175*Y175*VLOOKUP('Données projet'!$B$9,Paramètres!$A$1:$I$89,3,0)*0.475*44/12</f>
        <v>1.5445972255985017E-15</v>
      </c>
      <c r="AC175" s="22">
        <f t="shared" si="163"/>
        <v>47.202975611631828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-1.9065282685915009E-13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486.22495915819474</v>
      </c>
      <c r="T176" s="59">
        <f t="shared" si="142"/>
        <v>593.51433014569966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44.394670476524396</v>
      </c>
      <c r="AA176" s="21">
        <f>EXP(-LN(2)/25)*AA175+(1-EXP(-LN(2)/25))/(LN(2)/25)*Calculateur!V176*Calculateur!X176*VLOOKUP('Données projet'!$B$9,Paramètres!$A$1:$I$89,3,0)*0.475*44/12</f>
        <v>1.8678284700236372</v>
      </c>
      <c r="AB176" s="21">
        <f>EXP(-LN(2)/2)*AB175+(1-EXP(-LN(2)/2))/(LN(2)/2)*V176*Y176*VLOOKUP('Données projet'!$B$9,Paramètres!$A$1:$I$89,3,0)*0.475*44/12</f>
        <v>1.0921951724226281E-15</v>
      </c>
      <c r="AC176" s="22">
        <f t="shared" si="163"/>
        <v>46.262498946548035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-1.9065282685915009E-13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486.22495915819474</v>
      </c>
      <c r="T177" s="59">
        <f t="shared" si="142"/>
        <v>593.51433014569966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43.524118066555005</v>
      </c>
      <c r="AA177" s="21">
        <f>EXP(-LN(2)/25)*AA176+(1-EXP(-LN(2)/25))/(LN(2)/25)*Calculateur!V177*Calculateur!X177*VLOOKUP('Données projet'!$B$9,Paramètres!$A$1:$I$89,3,0)*0.475*44/12</f>
        <v>1.8167526022860105</v>
      </c>
      <c r="AB177" s="21">
        <f>EXP(-LN(2)/2)*AB176+(1-EXP(-LN(2)/2))/(LN(2)/2)*V177*Y177*VLOOKUP('Données projet'!$B$9,Paramètres!$A$1:$I$89,3,0)*0.475*44/12</f>
        <v>7.7229861279925083E-16</v>
      </c>
      <c r="AC177" s="22">
        <f t="shared" si="163"/>
        <v>45.340870668841013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-1.9065282685915009E-13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486.22495915819474</v>
      </c>
      <c r="T178" s="59">
        <f t="shared" si="142"/>
        <v>593.51433014569966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42.670636658360571</v>
      </c>
      <c r="AA178" s="21">
        <f>EXP(-LN(2)/25)*AA177+(1-EXP(-LN(2)/25))/(LN(2)/25)*Calculateur!V178*Calculateur!X178*VLOOKUP('Données projet'!$B$9,Paramètres!$A$1:$I$89,3,0)*0.475*44/12</f>
        <v>1.7670734068376324</v>
      </c>
      <c r="AB178" s="21">
        <f>EXP(-LN(2)/2)*AB177+(1-EXP(-LN(2)/2))/(LN(2)/2)*V178*Y178*VLOOKUP('Données projet'!$B$9,Paramètres!$A$1:$I$89,3,0)*0.475*44/12</f>
        <v>5.4609758621131404E-16</v>
      </c>
      <c r="AC178" s="22">
        <f t="shared" si="163"/>
        <v>44.437710065198203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-1.9065282685915009E-13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486.22495915819474</v>
      </c>
      <c r="T179" s="59">
        <f t="shared" si="142"/>
        <v>593.51433014569966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41.833891500008576</v>
      </c>
      <c r="AA179" s="21">
        <f>EXP(-LN(2)/25)*AA178+(1-EXP(-LN(2)/25))/(LN(2)/25)*Calculateur!V179*Calculateur!X179*VLOOKUP('Données projet'!$B$9,Paramètres!$A$1:$I$89,3,0)*0.475*44/12</f>
        <v>1.7187526916013056</v>
      </c>
      <c r="AB179" s="21">
        <f>EXP(-LN(2)/2)*AB178+(1-EXP(-LN(2)/2))/(LN(2)/2)*V179*Y179*VLOOKUP('Données projet'!$B$9,Paramètres!$A$1:$I$89,3,0)*0.475*44/12</f>
        <v>3.8614930639962542E-16</v>
      </c>
      <c r="AC179" s="22">
        <f t="shared" si="163"/>
        <v>43.552644191609879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-1.9065282685915009E-13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486.22495915819474</v>
      </c>
      <c r="T180" s="59">
        <f t="shared" si="142"/>
        <v>593.51433014569966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41.013554403847714</v>
      </c>
      <c r="AA180" s="21">
        <f>EXP(-LN(2)/25)*AA179+(1-EXP(-LN(2)/25))/(LN(2)/25)*Calculateur!V180*Calculateur!X180*VLOOKUP('Données projet'!$B$9,Paramètres!$A$1:$I$89,3,0)*0.475*44/12</f>
        <v>1.671753308864192</v>
      </c>
      <c r="AB180" s="21">
        <f>EXP(-LN(2)/2)*AB179+(1-EXP(-LN(2)/2))/(LN(2)/2)*V180*Y180*VLOOKUP('Données projet'!$B$9,Paramètres!$A$1:$I$89,3,0)*0.475*44/12</f>
        <v>2.7304879310565702E-16</v>
      </c>
      <c r="AC180" s="22">
        <f t="shared" si="163"/>
        <v>42.685307712711904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-1.9065282685915009E-13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486.22495915819474</v>
      </c>
      <c r="T181" s="59">
        <f t="shared" si="142"/>
        <v>593.51433014569966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40.20930361778634</v>
      </c>
      <c r="AA181" s="21">
        <f>EXP(-LN(2)/25)*AA180+(1-EXP(-LN(2)/25))/(LN(2)/25)*Calculateur!V181*Calculateur!X181*VLOOKUP('Données projet'!$B$9,Paramètres!$A$1:$I$89,3,0)*0.475*44/12</f>
        <v>1.626039126719615</v>
      </c>
      <c r="AB181" s="21">
        <f>EXP(-LN(2)/2)*AB180+(1-EXP(-LN(2)/2))/(LN(2)/2)*V181*Y181*VLOOKUP('Données projet'!$B$9,Paramètres!$A$1:$I$89,3,0)*0.475*44/12</f>
        <v>1.9307465319981271E-16</v>
      </c>
      <c r="AC181" s="22">
        <f t="shared" si="163"/>
        <v>41.835342744505958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-1.9065282685915009E-13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486.22495915819474</v>
      </c>
      <c r="T182" s="59">
        <f t="shared" si="142"/>
        <v>593.51433014569966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39.420823699095088</v>
      </c>
      <c r="AA182" s="21">
        <f>EXP(-LN(2)/25)*AA181+(1-EXP(-LN(2)/25))/(LN(2)/25)*Calculateur!V182*Calculateur!X182*VLOOKUP('Données projet'!$B$9,Paramètres!$A$1:$I$89,3,0)*0.475*44/12</f>
        <v>1.5815750012897858</v>
      </c>
      <c r="AB182" s="21">
        <f>EXP(-LN(2)/2)*AB181+(1-EXP(-LN(2)/2))/(LN(2)/2)*V182*Y182*VLOOKUP('Données projet'!$B$9,Paramètres!$A$1:$I$89,3,0)*0.475*44/12</f>
        <v>1.3652439655282851E-16</v>
      </c>
      <c r="AC182" s="22">
        <f t="shared" si="163"/>
        <v>41.002398700384873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-1.9065282685915009E-13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486.22495915819474</v>
      </c>
      <c r="T183" s="59">
        <f t="shared" si="142"/>
        <v>593.51433014569966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38.647805390684113</v>
      </c>
      <c r="AA183" s="21">
        <f>EXP(-LN(2)/25)*AA182+(1-EXP(-LN(2)/25))/(LN(2)/25)*Calculateur!V183*Calculateur!X183*VLOOKUP('Données projet'!$B$9,Paramètres!$A$1:$I$89,3,0)*0.475*44/12</f>
        <v>1.5383267497081021</v>
      </c>
      <c r="AB183" s="21">
        <f>EXP(-LN(2)/2)*AB182+(1-EXP(-LN(2)/2))/(LN(2)/2)*V183*Y183*VLOOKUP('Données projet'!$B$9,Paramètres!$A$1:$I$89,3,0)*0.475*44/12</f>
        <v>9.6537326599906354E-17</v>
      </c>
      <c r="AC183" s="22">
        <f t="shared" si="163"/>
        <v>40.186132140392218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-1.9065282685915009E-13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486.22495915819474</v>
      </c>
      <c r="T184" s="59">
        <f t="shared" si="142"/>
        <v>593.51433014569966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37.889945499806458</v>
      </c>
      <c r="AA184" s="21">
        <f>EXP(-LN(2)/25)*AA183+(1-EXP(-LN(2)/25))/(LN(2)/25)*Calculateur!V184*Calculateur!X184*VLOOKUP('Données projet'!$B$9,Paramètres!$A$1:$I$89,3,0)*0.475*44/12</f>
        <v>1.4962611238402461</v>
      </c>
      <c r="AB184" s="21">
        <f>EXP(-LN(2)/2)*AB183+(1-EXP(-LN(2)/2))/(LN(2)/2)*V184*Y184*VLOOKUP('Données projet'!$B$9,Paramètres!$A$1:$I$89,3,0)*0.475*44/12</f>
        <v>6.8262198276414256E-17</v>
      </c>
      <c r="AC184" s="22">
        <f t="shared" si="163"/>
        <v>39.386206623646707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-1.9065282685915009E-13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486.22495915819474</v>
      </c>
      <c r="T185" s="59">
        <f t="shared" si="142"/>
        <v>593.51433014569966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37.146946779140031</v>
      </c>
      <c r="AA185" s="21">
        <f>EXP(-LN(2)/25)*AA184+(1-EXP(-LN(2)/25))/(LN(2)/25)*Calculateur!V185*Calculateur!X185*VLOOKUP('Données projet'!$B$9,Paramètres!$A$1:$I$89,3,0)*0.475*44/12</f>
        <v>1.4553457847238818</v>
      </c>
      <c r="AB185" s="21">
        <f>EXP(-LN(2)/2)*AB184+(1-EXP(-LN(2)/2))/(LN(2)/2)*V185*Y185*VLOOKUP('Données projet'!$B$9,Paramètres!$A$1:$I$89,3,0)*0.475*44/12</f>
        <v>4.8268663299953177E-17</v>
      </c>
      <c r="AC185" s="22">
        <f t="shared" si="163"/>
        <v>38.602292563863912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-1.9065282685915009E-13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486.22495915819474</v>
      </c>
      <c r="T186" s="59">
        <f t="shared" si="142"/>
        <v>593.51433014569966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36.418517810201401</v>
      </c>
      <c r="AA186" s="21">
        <f>EXP(-LN(2)/25)*AA185+(1-EXP(-LN(2)/25))/(LN(2)/25)*Calculateur!V186*Calculateur!X186*VLOOKUP('Données projet'!$B$9,Paramètres!$A$1:$I$89,3,0)*0.475*44/12</f>
        <v>1.4155492777072987</v>
      </c>
      <c r="AB186" s="21">
        <f>EXP(-LN(2)/2)*AB185+(1-EXP(-LN(2)/2))/(LN(2)/2)*V186*Y186*VLOOKUP('Données projet'!$B$9,Paramètres!$A$1:$I$89,3,0)*0.475*44/12</f>
        <v>3.4131099138207128E-17</v>
      </c>
      <c r="AC186" s="22">
        <f t="shared" si="163"/>
        <v>37.8340670879087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-1.9065282685915009E-13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486.22495915819474</v>
      </c>
      <c r="T187" s="59">
        <f t="shared" si="142"/>
        <v>593.51433014569966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35.704372889045857</v>
      </c>
      <c r="AA187" s="21">
        <f>EXP(-LN(2)/25)*AA186+(1-EXP(-LN(2)/25))/(LN(2)/25)*Calculateur!V187*Calculateur!X187*VLOOKUP('Données projet'!$B$9,Paramètres!$A$1:$I$89,3,0)*0.475*44/12</f>
        <v>1.3768410082678912</v>
      </c>
      <c r="AB187" s="21">
        <f>EXP(-LN(2)/2)*AB186+(1-EXP(-LN(2)/2))/(LN(2)/2)*V187*Y187*VLOOKUP('Données projet'!$B$9,Paramètres!$A$1:$I$89,3,0)*0.475*44/12</f>
        <v>2.4134331649976589E-17</v>
      </c>
      <c r="AC187" s="22">
        <f t="shared" si="163"/>
        <v>37.081213897313745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-1.9065282685915009E-13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486.22495915819474</v>
      </c>
      <c r="T188" s="59">
        <f t="shared" si="142"/>
        <v>593.51433014569966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35.004231914208781</v>
      </c>
      <c r="AA188" s="21">
        <f>EXP(-LN(2)/25)*AA187+(1-EXP(-LN(2)/25))/(LN(2)/25)*Calculateur!V188*Calculateur!X188*VLOOKUP('Données projet'!$B$9,Paramètres!$A$1:$I$89,3,0)*0.475*44/12</f>
        <v>1.3391912184918839</v>
      </c>
      <c r="AB188" s="21">
        <f>EXP(-LN(2)/2)*AB187+(1-EXP(-LN(2)/2))/(LN(2)/2)*V188*Y188*VLOOKUP('Données projet'!$B$9,Paramètres!$A$1:$I$89,3,0)*0.475*44/12</f>
        <v>1.7065549569103564E-17</v>
      </c>
      <c r="AC188" s="22">
        <f t="shared" si="163"/>
        <v>36.343423132700664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-1.9065282685915009E-13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486.22495915819474</v>
      </c>
      <c r="T189" s="59">
        <f t="shared" si="142"/>
        <v>593.51433014569966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34.317820276844429</v>
      </c>
      <c r="AA189" s="21">
        <f>EXP(-LN(2)/25)*AA188+(1-EXP(-LN(2)/25))/(LN(2)/25)*Calculateur!V189*Calculateur!X189*VLOOKUP('Données projet'!$B$9,Paramètres!$A$1:$I$89,3,0)*0.475*44/12</f>
        <v>1.3025709641972179</v>
      </c>
      <c r="AB189" s="21">
        <f>EXP(-LN(2)/2)*AB188+(1-EXP(-LN(2)/2))/(LN(2)/2)*V189*Y189*VLOOKUP('Données projet'!$B$9,Paramètres!$A$1:$I$89,3,0)*0.475*44/12</f>
        <v>1.2067165824988294E-17</v>
      </c>
      <c r="AC189" s="22">
        <f t="shared" si="163"/>
        <v>35.620391241041645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-1.9065282685915009E-13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486.22495915819474</v>
      </c>
      <c r="T190" s="59">
        <f t="shared" si="142"/>
        <v>593.51433014569966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33.644868753019033</v>
      </c>
      <c r="AA190" s="21">
        <f>EXP(-LN(2)/25)*AA189+(1-EXP(-LN(2)/25))/(LN(2)/25)*Calculateur!V190*Calculateur!X190*VLOOKUP('Données projet'!$B$9,Paramètres!$A$1:$I$89,3,0)*0.475*44/12</f>
        <v>1.266952092682015</v>
      </c>
      <c r="AB190" s="21">
        <f>EXP(-LN(2)/2)*AB189+(1-EXP(-LN(2)/2))/(LN(2)/2)*V190*Y190*VLOOKUP('Données projet'!$B$9,Paramètres!$A$1:$I$89,3,0)*0.475*44/12</f>
        <v>8.5327747845517819E-18</v>
      </c>
      <c r="AC190" s="22">
        <f t="shared" si="163"/>
        <v>34.911820845701051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-1.9065282685915009E-13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486.22495915819474</v>
      </c>
      <c r="T191" s="59">
        <f t="shared" si="142"/>
        <v>593.51433014569966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32.985113398115956</v>
      </c>
      <c r="AA191" s="21">
        <f>EXP(-LN(2)/25)*AA190+(1-EXP(-LN(2)/25))/(LN(2)/25)*Calculateur!V191*Calculateur!X191*VLOOKUP('Données projet'!$B$9,Paramètres!$A$1:$I$89,3,0)*0.475*44/12</f>
        <v>1.2323072210815105</v>
      </c>
      <c r="AB191" s="21">
        <f>EXP(-LN(2)/2)*AB190+(1-EXP(-LN(2)/2))/(LN(2)/2)*V191*Y191*VLOOKUP('Données projet'!$B$9,Paramètres!$A$1:$I$89,3,0)*0.475*44/12</f>
        <v>6.0335829124941471E-18</v>
      </c>
      <c r="AC191" s="22">
        <f t="shared" si="163"/>
        <v>34.217420619197469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-1.9065282685915009E-13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486.22495915819474</v>
      </c>
      <c r="T192" s="59">
        <f t="shared" si="142"/>
        <v>593.51433014569966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32.338295443311495</v>
      </c>
      <c r="AA192" s="21">
        <f>EXP(-LN(2)/25)*AA191+(1-EXP(-LN(2)/25))/(LN(2)/25)*Calculateur!V192*Calculateur!X192*VLOOKUP('Données projet'!$B$9,Paramètres!$A$1:$I$89,3,0)*0.475*44/12</f>
        <v>1.1986097153168163</v>
      </c>
      <c r="AB192" s="21">
        <f>EXP(-LN(2)/2)*AB191+(1-EXP(-LN(2)/2))/(LN(2)/2)*V192*Y192*VLOOKUP('Données projet'!$B$9,Paramètres!$A$1:$I$89,3,0)*0.475*44/12</f>
        <v>4.266387392275891E-18</v>
      </c>
      <c r="AC192" s="22">
        <f t="shared" si="163"/>
        <v>33.536905158628308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-1.9065282685915009E-13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486.22495915819474</v>
      </c>
      <c r="T193" s="59">
        <f t="shared" si="142"/>
        <v>593.51433014569966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31.704161194080754</v>
      </c>
      <c r="AA193" s="21">
        <f>EXP(-LN(2)/25)*AA192+(1-EXP(-LN(2)/25))/(LN(2)/25)*Calculateur!V193*Calculateur!X193*VLOOKUP('Données projet'!$B$9,Paramètres!$A$1:$I$89,3,0)*0.475*44/12</f>
        <v>1.1658336696193325</v>
      </c>
      <c r="AB193" s="21">
        <f>EXP(-LN(2)/2)*AB192+(1-EXP(-LN(2)/2))/(LN(2)/2)*V193*Y193*VLOOKUP('Données projet'!$B$9,Paramètres!$A$1:$I$89,3,0)*0.475*44/12</f>
        <v>3.0167914562470736E-18</v>
      </c>
      <c r="AC193" s="22">
        <f t="shared" si="163"/>
        <v>32.869994863700086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-1.9065282685915009E-13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486.22495915819474</v>
      </c>
      <c r="T194" s="59">
        <f t="shared" si="142"/>
        <v>593.51433014569966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31.082461930693725</v>
      </c>
      <c r="AA194" s="21">
        <f>EXP(-LN(2)/25)*AA193+(1-EXP(-LN(2)/25))/(LN(2)/25)*Calculateur!V194*Calculateur!X194*VLOOKUP('Données projet'!$B$9,Paramètres!$A$1:$I$89,3,0)*0.475*44/12</f>
        <v>1.1339538866150638</v>
      </c>
      <c r="AB194" s="21">
        <f>EXP(-LN(2)/2)*AB193+(1-EXP(-LN(2)/2))/(LN(2)/2)*V194*Y194*VLOOKUP('Données projet'!$B$9,Paramètres!$A$1:$I$89,3,0)*0.475*44/12</f>
        <v>2.1331936961379455E-18</v>
      </c>
      <c r="AC194" s="22">
        <f t="shared" si="163"/>
        <v>32.216415817308786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-1.9065282685915009E-13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486.22495915819474</v>
      </c>
      <c r="T195" s="59">
        <f t="shared" si="142"/>
        <v>593.51433014569966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30.472953810662609</v>
      </c>
      <c r="AA195" s="21">
        <f>EXP(-LN(2)/25)*AA194+(1-EXP(-LN(2)/25))/(LN(2)/25)*Calculateur!V195*Calculateur!X195*VLOOKUP('Données projet'!$B$9,Paramètres!$A$1:$I$89,3,0)*0.475*44/12</f>
        <v>1.1029458579535316</v>
      </c>
      <c r="AB195" s="21">
        <f>EXP(-LN(2)/2)*AB194+(1-EXP(-LN(2)/2))/(LN(2)/2)*V195*Y195*VLOOKUP('Données projet'!$B$9,Paramètres!$A$1:$I$89,3,0)*0.475*44/12</f>
        <v>1.5083957281235368E-18</v>
      </c>
      <c r="AC195" s="22">
        <f t="shared" si="163"/>
        <v>31.575899668616142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-1.9065282685915009E-13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486.22495915819474</v>
      </c>
      <c r="T196" s="59">
        <f t="shared" si="142"/>
        <v>593.51433014569966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29.875397773102058</v>
      </c>
      <c r="AA196" s="21">
        <f>EXP(-LN(2)/25)*AA195+(1-EXP(-LN(2)/25))/(LN(2)/25)*Calculateur!V196*Calculateur!X196*VLOOKUP('Données projet'!$B$9,Paramètres!$A$1:$I$89,3,0)*0.475*44/12</f>
        <v>1.0727857454663905</v>
      </c>
      <c r="AB196" s="21">
        <f>EXP(-LN(2)/2)*AB195+(1-EXP(-LN(2)/2))/(LN(2)/2)*V196*Y196*VLOOKUP('Données projet'!$B$9,Paramètres!$A$1:$I$89,3,0)*0.475*44/12</f>
        <v>1.0665968480689727E-18</v>
      </c>
      <c r="AC196" s="22">
        <f t="shared" si="163"/>
        <v>30.948183518568449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-1.9065282685915009E-13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486.22495915819474</v>
      </c>
      <c r="T197" s="59">
        <f t="shared" ref="T197:T203" si="204">$T$3</f>
        <v>593.51433014569966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29.289559444964876</v>
      </c>
      <c r="AA197" s="21">
        <f>EXP(-LN(2)/25)*AA196+(1-EXP(-LN(2)/25))/(LN(2)/25)*Calculateur!V197*Calculateur!X197*VLOOKUP('Données projet'!$B$9,Paramètres!$A$1:$I$89,3,0)*0.475*44/12</f>
        <v>1.0434503628412615</v>
      </c>
      <c r="AB197" s="21">
        <f>EXP(-LN(2)/2)*AB196+(1-EXP(-LN(2)/2))/(LN(2)/2)*V197*Y197*VLOOKUP('Données projet'!$B$9,Paramètres!$A$1:$I$89,3,0)*0.475*44/12</f>
        <v>7.5419786406176839E-19</v>
      </c>
      <c r="AC197" s="22">
        <f t="shared" si="163"/>
        <v>30.333009807806139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-1.9065282685915009E-13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486.22495915819474</v>
      </c>
      <c r="T198" s="59">
        <f t="shared" si="204"/>
        <v>593.51433014569966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28.715209049116368</v>
      </c>
      <c r="AA198" s="21">
        <f>EXP(-LN(2)/25)*AA197+(1-EXP(-LN(2)/25))/(LN(2)/25)*Calculateur!V198*Calculateur!X198*VLOOKUP('Données projet'!$B$9,Paramètres!$A$1:$I$89,3,0)*0.475*44/12</f>
        <v>1.0149171577966973</v>
      </c>
      <c r="AB198" s="21">
        <f>EXP(-LN(2)/2)*AB197+(1-EXP(-LN(2)/2))/(LN(2)/2)*V198*Y198*VLOOKUP('Données projet'!$B$9,Paramètres!$A$1:$I$89,3,0)*0.475*44/12</f>
        <v>5.3329842403448637E-19</v>
      </c>
      <c r="AC198" s="22">
        <f t="shared" si="163"/>
        <v>29.730126206913067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-1.9065282685915009E-13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486.22495915819474</v>
      </c>
      <c r="T199" s="59">
        <f t="shared" si="204"/>
        <v>593.51433014569966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28.152121314211296</v>
      </c>
      <c r="AA199" s="21">
        <f>EXP(-LN(2)/25)*AA198+(1-EXP(-LN(2)/25))/(LN(2)/25)*Calculateur!V199*Calculateur!X199*VLOOKUP('Données projet'!$B$9,Paramètres!$A$1:$I$89,3,0)*0.475*44/12</f>
        <v>0.98716419474457295</v>
      </c>
      <c r="AB199" s="21">
        <f>EXP(-LN(2)/2)*AB198+(1-EXP(-LN(2)/2))/(LN(2)/2)*V199*Y199*VLOOKUP('Données projet'!$B$9,Paramètres!$A$1:$I$89,3,0)*0.475*44/12</f>
        <v>3.770989320308842E-19</v>
      </c>
      <c r="AC199" s="22">
        <f t="shared" si="163"/>
        <v>29.139285508955869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-1.9065282685915009E-13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486.22495915819474</v>
      </c>
      <c r="T200" s="59">
        <f t="shared" si="204"/>
        <v>593.51433014569966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27.600075386338109</v>
      </c>
      <c r="AA200" s="21">
        <f>EXP(-LN(2)/25)*AA199+(1-EXP(-LN(2)/25))/(LN(2)/25)*Calculateur!V200*Calculateur!X200*VLOOKUP('Données projet'!$B$9,Paramètres!$A$1:$I$89,3,0)*0.475*44/12</f>
        <v>0.9601701379265738</v>
      </c>
      <c r="AB200" s="21">
        <f>EXP(-LN(2)/2)*AB199+(1-EXP(-LN(2)/2))/(LN(2)/2)*V200*Y200*VLOOKUP('Données projet'!$B$9,Paramètres!$A$1:$I$89,3,0)*0.475*44/12</f>
        <v>2.6664921201724319E-19</v>
      </c>
      <c r="AC200" s="22">
        <f t="shared" si="163"/>
        <v>28.560245524264683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-1.9065282685915009E-13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486.22495915819474</v>
      </c>
      <c r="T201" s="59">
        <f t="shared" si="204"/>
        <v>593.51433014569966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27.058854742395745</v>
      </c>
      <c r="AA201" s="21">
        <f>EXP(-LN(2)/25)*AA200+(1-EXP(-LN(2)/25))/(LN(2)/25)*Calculateur!V201*Calculateur!X201*VLOOKUP('Données projet'!$B$9,Paramètres!$A$1:$I$89,3,0)*0.475*44/12</f>
        <v>0.93391423501181858</v>
      </c>
      <c r="AB201" s="21">
        <f>EXP(-LN(2)/2)*AB200+(1-EXP(-LN(2)/2))/(LN(2)/2)*V201*Y201*VLOOKUP('Données projet'!$B$9,Paramètres!$A$1:$I$89,3,0)*0.475*44/12</f>
        <v>1.885494660154421E-19</v>
      </c>
      <c r="AC201" s="22">
        <f t="shared" si="163"/>
        <v>27.992768977407565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-1.9065282685915009E-13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486.22495915819474</v>
      </c>
      <c r="T202" s="59">
        <f t="shared" si="204"/>
        <v>593.51433014569966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26.528247105169097</v>
      </c>
      <c r="AA202" s="21">
        <f>EXP(-LN(2)/25)*AA201+(1-EXP(-LN(2)/25))/(LN(2)/25)*Calculateur!V202*Calculateur!X202*VLOOKUP('Données projet'!$B$9,Paramètres!$A$1:$I$89,3,0)*0.475*44/12</f>
        <v>0.90837630114300527</v>
      </c>
      <c r="AB202" s="21">
        <f>EXP(-LN(2)/2)*AB201+(1-EXP(-LN(2)/2))/(LN(2)/2)*V202*Y202*VLOOKUP('Données projet'!$B$9,Paramètres!$A$1:$I$89,3,0)*0.475*44/12</f>
        <v>1.3332460600862159E-19</v>
      </c>
      <c r="AC202" s="22">
        <f t="shared" si="163"/>
        <v>27.436623406312101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-1.9065282685915009E-13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486.22495915819474</v>
      </c>
      <c r="T203" s="59">
        <f t="shared" si="204"/>
        <v>593.51433014569966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26.008044360069761</v>
      </c>
      <c r="AA203" s="21">
        <f>EXP(-LN(2)/25)*AA202+(1-EXP(-LN(2)/25))/(LN(2)/25)*Calculateur!V203*Calculateur!X203*VLOOKUP('Données projet'!$B$9,Paramètres!$A$1:$I$89,3,0)*0.475*44/12</f>
        <v>0.88353670341881618</v>
      </c>
      <c r="AB203" s="21">
        <f>EXP(-LN(2)/2)*AB202+(1-EXP(-LN(2)/2))/(LN(2)/2)*V203*Y203*VLOOKUP('Données projet'!$B$9,Paramètres!$A$1:$I$89,3,0)*0.475*44/12</f>
        <v>9.4274733007721049E-20</v>
      </c>
      <c r="AC203" s="22">
        <f t="shared" si="163"/>
        <v>26.891581063488577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1.4037863041747067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Douglas</v>
      </c>
      <c r="B6" s="146">
        <f>'Données projet'!D9</f>
        <v>2.76</v>
      </c>
      <c r="C6" s="147">
        <f ca="1">IF(OR('Données projet'!B9="",'Données projet'!C9="",'Données projet'!C9=0%),0,Calculateur!S3)</f>
        <v>486.22495915819474</v>
      </c>
      <c r="D6" s="147">
        <f>IF(OR('Données projet'!B9="",'Données projet'!C9="",'Données projet'!C9=0%),0,Calculateur!T3)</f>
        <v>593.51433014569966</v>
      </c>
      <c r="E6" s="147">
        <f ca="1">MIN(C6,D6)</f>
        <v>486.22495915819474</v>
      </c>
      <c r="F6" s="147">
        <f ca="1">E6*B6</f>
        <v>1341.9808872766173</v>
      </c>
      <c r="G6" s="147">
        <f ca="1">F6*(100%-'Données projet'!$C$24)*(100%-'Données projet'!$C$25)*(100%-'Données projet'!$C$26)*(100%-'Données projet'!$C$27)</f>
        <v>966.22623883916458</v>
      </c>
      <c r="H6" s="148">
        <f>IF(OR('Données projet'!B9="",'Données projet'!C9="",'Données projet'!C9=0%),0,AVERAGE(Calculateur!$AC$3:$AC$33)*B6)</f>
        <v>28.078487669024152</v>
      </c>
      <c r="I6" s="149">
        <f>H6*(100%-'Données projet'!$C$24)*(100%-'Données projet'!$C$25)*(100%-'Données projet'!$C$26)*(100%-'Données projet'!$C$27)</f>
        <v>20.216511121697391</v>
      </c>
      <c r="J6" s="150">
        <f>IF(OR('Données projet'!B9="",'Données projet'!C9="",'Données projet'!C9=0%),0,SUM(Calculateur!$V$3:$V$33)*VLOOKUP('Données projet'!$B$9,Paramètres!$A$1:$I$89,9,0)*B6)</f>
        <v>229.05239999999998</v>
      </c>
      <c r="K6" s="151">
        <f>J6*(100%-'Données projet'!$C$24)*(100%-'Données projet'!$C$25)*(100%-'Données projet'!$C$26)*(100%-'Données projet'!$C$27)</f>
        <v>164.91772800000001</v>
      </c>
      <c r="L6" s="152">
        <f ca="1">G6+I6+K6</f>
        <v>1151.360477960862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1341.9808872766173</v>
      </c>
      <c r="G16" s="166">
        <f t="shared" ca="1" si="3"/>
        <v>966.22623883916458</v>
      </c>
      <c r="H16" s="167">
        <f t="shared" si="3"/>
        <v>28.078487669024152</v>
      </c>
      <c r="I16" s="167">
        <f t="shared" si="3"/>
        <v>20.216511121697391</v>
      </c>
      <c r="J16" s="168">
        <f t="shared" si="3"/>
        <v>229.05239999999998</v>
      </c>
      <c r="K16" s="168">
        <f t="shared" si="3"/>
        <v>164.91772800000001</v>
      </c>
      <c r="L16" s="169">
        <f t="shared" ca="1" si="3"/>
        <v>1151.360477960862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27" zoomScale="56" zoomScaleNormal="80" workbookViewId="0">
      <selection activeCell="C42" sqref="C22:C42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2.76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15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20</v>
      </c>
      <c r="B24" s="181">
        <f>'Données projet'!D37</f>
        <v>43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25</v>
      </c>
      <c r="B25" s="181">
        <f>'Données projet'!D38</f>
        <v>60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0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30</v>
      </c>
      <c r="B26" s="181">
        <f>'Données projet'!D39</f>
        <v>90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n'est pas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35</v>
      </c>
      <c r="B27" s="181">
        <f>'Données projet'!D40</f>
        <v>72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40</v>
      </c>
      <c r="B28" s="181">
        <f>'Données projet'!D41</f>
        <v>77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45</v>
      </c>
      <c r="B29" s="181">
        <f>'Données projet'!D42</f>
        <v>64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50</v>
      </c>
      <c r="B30" s="181">
        <f>'Données projet'!D43</f>
        <v>62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55</v>
      </c>
      <c r="B31" s="181">
        <f>'Données projet'!D44</f>
        <v>46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60</v>
      </c>
      <c r="B32" s="181">
        <f>'Données projet'!D45</f>
        <v>35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65</v>
      </c>
      <c r="B33" s="181">
        <f>'Données projet'!D46</f>
        <v>769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>
        <f>17.5*'Données projet'!E62+13.8*('Données projet'!F62+'Données projet'!G62)+10*'Données projet'!H62</f>
        <v>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>
        <f>17.5*'Données projet'!E63+13.8*('Données projet'!F63+'Données projet'!G63)+10*'Données projet'!H63</f>
        <v>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>
        <f>17.5*'Données projet'!E64+13.8*('Données projet'!F64+'Données projet'!G64)+10*'Données projet'!H64</f>
        <v>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>
        <f>17.5*'Données projet'!E65+13.8*('Données projet'!F65+'Données projet'!G65)+10*'Données projet'!H65</f>
        <v>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>
        <f>17.5*'Données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>
        <f>17.5*'Données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>
        <f>17.5*'Données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>
        <f>17.5*'Données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17.5*'Données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17.5*'Données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17.5*'Données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17.5*'Données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str">
        <f>IF(O98+1&lt;=MIN('Données projet'!$E$9:$E$18),O98+1,"STOP")</f>
        <v>STOP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2024-02-15T14:11:52Z</dcterms:modified>
</cp:coreProperties>
</file>