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019\Z00F4QFU\"/>
    </mc:Choice>
  </mc:AlternateContent>
  <xr:revisionPtr revIDLastSave="0" documentId="13_ncr:1_{86405DF1-CAB6-4A9C-9DEC-79B4CC3ACEEF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10" i="6"/>
  <c r="E79" i="6"/>
  <c r="E48" i="6"/>
  <c r="E17" i="6"/>
  <c r="D95" i="1"/>
  <c r="D94" i="1"/>
  <c r="D93" i="1"/>
  <c r="D92" i="1"/>
  <c r="D91" i="1"/>
  <c r="D90" i="1"/>
  <c r="D89" i="1"/>
  <c r="D88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B161" i="2"/>
  <c r="HG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C82" i="2" a="1"/>
  <c r="BC82" i="2" s="1"/>
  <c r="BC83" i="2" a="1"/>
  <c r="BC83" i="2" s="1"/>
  <c r="BC164" i="2" a="1"/>
  <c r="BC164" i="2" s="1"/>
  <c r="BC7" i="2" a="1"/>
  <c r="BC7" i="2" s="1"/>
  <c r="BC185" i="2" a="1"/>
  <c r="BC185" i="2" s="1"/>
  <c r="BC192" i="2" a="1"/>
  <c r="BC192" i="2" s="1"/>
  <c r="BC68" i="2" a="1"/>
  <c r="BC68" i="2" s="1"/>
  <c r="BC58" i="2" a="1"/>
  <c r="BC58" i="2" s="1"/>
  <c r="BC34" i="2" a="1"/>
  <c r="BC34" i="2" s="1"/>
  <c r="BC31" i="2" a="1"/>
  <c r="BC31" i="2" s="1"/>
  <c r="BC65" i="2" a="1"/>
  <c r="BC65" i="2" s="1"/>
  <c r="BC151" i="2" a="1"/>
  <c r="BC151" i="2" s="1"/>
  <c r="BC55" i="2" a="1"/>
  <c r="BC55" i="2" s="1"/>
  <c r="BC130" i="2" a="1"/>
  <c r="BC130" i="2" s="1"/>
  <c r="BC143" i="2" a="1"/>
  <c r="BC143" i="2" s="1"/>
  <c r="BC18" i="2" a="1"/>
  <c r="BC18" i="2" s="1"/>
  <c r="BC84" i="2" a="1"/>
  <c r="BC84" i="2" s="1"/>
  <c r="BC114" i="2" a="1"/>
  <c r="BC114" i="2" s="1"/>
  <c r="BC47" i="2" a="1"/>
  <c r="BC47" i="2" s="1"/>
  <c r="BC117" i="2" a="1"/>
  <c r="BC117" i="2" s="1"/>
  <c r="BC181" i="2" a="1"/>
  <c r="BC181" i="2" s="1"/>
  <c r="BC38" i="2" a="1"/>
  <c r="BC38" i="2" s="1"/>
  <c r="BC32" i="2" a="1"/>
  <c r="BC32" i="2" s="1"/>
  <c r="BC126" i="2" a="1"/>
  <c r="BC126" i="2" s="1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<sst xmlns="http://schemas.openxmlformats.org/spreadsheetml/2006/main" count="1173" uniqueCount="324">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</sst>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5" zoomScale="80" zoomScaleNormal="80" workbookViewId="0">
      <selection activeCell="F130" sqref="F13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2.31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0.3</v>
      </c>
      <c r="D9" s="33">
        <f t="shared" ref="D9:D18" si="0">C9*$C$5</f>
        <v>0.69299999999999995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0.2</v>
      </c>
      <c r="D10" s="33">
        <f t="shared" si="0"/>
        <v>0.46200000000000002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0.3</v>
      </c>
      <c r="D11" s="33">
        <f t="shared" si="0"/>
        <v>0.69299999999999995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23</v>
      </c>
      <c r="C12" s="32">
        <v>0.2</v>
      </c>
      <c r="D12" s="33">
        <f t="shared" si="0"/>
        <v>0.46200000000000002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2.31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f>62+D36</f>
        <v>70</v>
      </c>
      <c r="C36" s="60">
        <v>1</v>
      </c>
      <c r="D36" s="60">
        <v>8</v>
      </c>
      <c r="E36" s="51">
        <v>0.2</v>
      </c>
      <c r="F36" s="51">
        <v>0.2</v>
      </c>
      <c r="G36" s="51">
        <v>0.6</v>
      </c>
      <c r="H36" s="51"/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f>76+D37</f>
        <v>97</v>
      </c>
      <c r="C37" s="60">
        <v>2</v>
      </c>
      <c r="D37" s="60">
        <v>21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f>95+D38</f>
        <v>116</v>
      </c>
      <c r="C38" s="60">
        <v>3</v>
      </c>
      <c r="D38" s="60">
        <v>21</v>
      </c>
      <c r="E38" s="51"/>
      <c r="F38" s="51"/>
      <c r="G38" s="51"/>
      <c r="H38" s="51"/>
      <c r="I38" s="53">
        <f t="shared" si="1"/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f>116+D39</f>
        <v>137</v>
      </c>
      <c r="C39" s="60">
        <v>4</v>
      </c>
      <c r="D39" s="60">
        <v>21</v>
      </c>
      <c r="E39" s="51"/>
      <c r="F39" s="51"/>
      <c r="G39" s="51"/>
      <c r="H39" s="51"/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45</v>
      </c>
      <c r="B40" s="60">
        <f>137+D40</f>
        <v>158</v>
      </c>
      <c r="C40" s="60">
        <v>5</v>
      </c>
      <c r="D40" s="60">
        <v>21</v>
      </c>
      <c r="E40" s="51"/>
      <c r="F40" s="51"/>
      <c r="G40" s="51"/>
      <c r="H40" s="51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50</v>
      </c>
      <c r="B41" s="60">
        <f>157+D41</f>
        <v>178</v>
      </c>
      <c r="C41" s="60">
        <v>6</v>
      </c>
      <c r="D41" s="60">
        <v>21</v>
      </c>
      <c r="E41" s="51"/>
      <c r="F41" s="51"/>
      <c r="G41" s="51"/>
      <c r="H41" s="51"/>
      <c r="I41" s="53">
        <f t="shared" si="1"/>
        <v>8.1999999999999993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55</v>
      </c>
      <c r="B42" s="60">
        <f>176+D42</f>
        <v>197</v>
      </c>
      <c r="C42" s="60">
        <v>7</v>
      </c>
      <c r="D42" s="60">
        <v>21</v>
      </c>
      <c r="E42" s="51"/>
      <c r="F42" s="51"/>
      <c r="G42" s="51"/>
      <c r="H42" s="51"/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60</v>
      </c>
      <c r="B43" s="60">
        <f>193+D43</f>
        <v>214</v>
      </c>
      <c r="C43" s="60">
        <v>8</v>
      </c>
      <c r="D43" s="60">
        <v>21</v>
      </c>
      <c r="E43" s="51"/>
      <c r="F43" s="51"/>
      <c r="G43" s="51"/>
      <c r="H43" s="51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65</v>
      </c>
      <c r="B44" s="60">
        <f>208+D44</f>
        <v>229</v>
      </c>
      <c r="C44" s="60">
        <v>9</v>
      </c>
      <c r="D44" s="60">
        <v>21</v>
      </c>
      <c r="E44" s="51"/>
      <c r="F44" s="51"/>
      <c r="G44" s="51"/>
      <c r="H44" s="51"/>
      <c r="I44" s="49">
        <f t="shared" si="1"/>
        <v>7.2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70</v>
      </c>
      <c r="B45" s="60">
        <f>221+D45</f>
        <v>242</v>
      </c>
      <c r="C45" s="60">
        <v>10</v>
      </c>
      <c r="D45" s="60">
        <v>21</v>
      </c>
      <c r="E45" s="51"/>
      <c r="F45" s="51"/>
      <c r="G45" s="51"/>
      <c r="H45" s="51"/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75</v>
      </c>
      <c r="B46" s="60">
        <f>231+D46</f>
        <v>252</v>
      </c>
      <c r="C46" s="60">
        <v>11</v>
      </c>
      <c r="D46" s="60">
        <v>21</v>
      </c>
      <c r="E46" s="51"/>
      <c r="F46" s="51"/>
      <c r="G46" s="51"/>
      <c r="H46" s="51"/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80</v>
      </c>
      <c r="B47" s="60">
        <f>240+D47</f>
        <v>261</v>
      </c>
      <c r="C47" s="60">
        <v>12</v>
      </c>
      <c r="D47" s="60">
        <v>21</v>
      </c>
      <c r="E47" s="51"/>
      <c r="F47" s="51"/>
      <c r="G47" s="51"/>
      <c r="H47" s="51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85</v>
      </c>
      <c r="B48" s="60">
        <f>248+D48</f>
        <v>269</v>
      </c>
      <c r="C48" s="60">
        <v>13</v>
      </c>
      <c r="D48" s="60">
        <v>21</v>
      </c>
      <c r="E48" s="51"/>
      <c r="F48" s="51"/>
      <c r="G48" s="51"/>
      <c r="H48" s="51"/>
      <c r="I48" s="49">
        <f t="shared" si="1"/>
        <v>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90</v>
      </c>
      <c r="B49" s="60">
        <f>254+D49</f>
        <v>275</v>
      </c>
      <c r="C49" s="60">
        <v>14</v>
      </c>
      <c r="D49" s="60">
        <v>21</v>
      </c>
      <c r="E49" s="51"/>
      <c r="F49" s="51"/>
      <c r="G49" s="51"/>
      <c r="H49" s="51"/>
      <c r="I49" s="49">
        <f t="shared" si="1"/>
        <v>5.4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95</v>
      </c>
      <c r="B50" s="50">
        <f>258+D50</f>
        <v>279</v>
      </c>
      <c r="C50" s="50">
        <v>15</v>
      </c>
      <c r="D50" s="50">
        <v>21</v>
      </c>
      <c r="E50" s="51"/>
      <c r="F50" s="51"/>
      <c r="G50" s="51"/>
      <c r="H50" s="51"/>
      <c r="I50" s="49">
        <f t="shared" si="1"/>
        <v>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100</v>
      </c>
      <c r="B51" s="50">
        <f>261+D50</f>
        <v>282</v>
      </c>
      <c r="C51" s="50">
        <v>16</v>
      </c>
      <c r="D51" s="50">
        <v>282</v>
      </c>
      <c r="E51" s="51"/>
      <c r="F51" s="51"/>
      <c r="G51" s="51"/>
      <c r="H51" s="51"/>
      <c r="I51" s="49">
        <f t="shared" si="1"/>
        <v>4.8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f>62+D62</f>
        <v>70</v>
      </c>
      <c r="C62" s="60">
        <v>1</v>
      </c>
      <c r="D62" s="60">
        <v>8</v>
      </c>
      <c r="E62" s="51">
        <v>0.2</v>
      </c>
      <c r="F62" s="51">
        <v>0.2</v>
      </c>
      <c r="G62" s="51">
        <v>0.6</v>
      </c>
      <c r="H62" s="51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76+D63</f>
        <v>97</v>
      </c>
      <c r="C63" s="60">
        <v>2</v>
      </c>
      <c r="D63" s="60">
        <v>21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35</v>
      </c>
      <c r="B64" s="60">
        <f>95+D64</f>
        <v>116</v>
      </c>
      <c r="C64" s="60">
        <v>3</v>
      </c>
      <c r="D64" s="60">
        <v>21</v>
      </c>
      <c r="E64" s="51"/>
      <c r="F64" s="51"/>
      <c r="G64" s="51"/>
      <c r="H64" s="51"/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f>116+D65</f>
        <v>137</v>
      </c>
      <c r="C65" s="60">
        <v>4</v>
      </c>
      <c r="D65" s="60">
        <v>21</v>
      </c>
      <c r="E65" s="51"/>
      <c r="F65" s="51"/>
      <c r="G65" s="51"/>
      <c r="H65" s="51"/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45</v>
      </c>
      <c r="B66" s="60">
        <f>137+D66</f>
        <v>158</v>
      </c>
      <c r="C66" s="60">
        <v>5</v>
      </c>
      <c r="D66" s="60">
        <v>21</v>
      </c>
      <c r="E66" s="51"/>
      <c r="F66" s="51"/>
      <c r="G66" s="51"/>
      <c r="H66" s="51"/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50</v>
      </c>
      <c r="B67" s="60">
        <f>157+D67</f>
        <v>178</v>
      </c>
      <c r="C67" s="60">
        <v>6</v>
      </c>
      <c r="D67" s="60">
        <v>21</v>
      </c>
      <c r="E67" s="51"/>
      <c r="F67" s="51"/>
      <c r="G67" s="51"/>
      <c r="H67" s="51"/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55</v>
      </c>
      <c r="B68" s="60">
        <f>176+D68</f>
        <v>197</v>
      </c>
      <c r="C68" s="60">
        <v>7</v>
      </c>
      <c r="D68" s="60">
        <v>21</v>
      </c>
      <c r="E68" s="51"/>
      <c r="F68" s="51"/>
      <c r="G68" s="51"/>
      <c r="H68" s="51"/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f>193+D69</f>
        <v>214</v>
      </c>
      <c r="C69" s="50">
        <v>8</v>
      </c>
      <c r="D69" s="50">
        <v>21</v>
      </c>
      <c r="E69" s="51"/>
      <c r="F69" s="51"/>
      <c r="G69" s="51"/>
      <c r="H69" s="51"/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65</v>
      </c>
      <c r="B70" s="50">
        <f>208+D70</f>
        <v>229</v>
      </c>
      <c r="C70" s="50">
        <v>9</v>
      </c>
      <c r="D70" s="50">
        <v>21</v>
      </c>
      <c r="E70" s="51"/>
      <c r="F70" s="51"/>
      <c r="G70" s="51"/>
      <c r="H70" s="51"/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70</v>
      </c>
      <c r="B71" s="50">
        <f>221+D71</f>
        <v>242</v>
      </c>
      <c r="C71" s="50">
        <v>10</v>
      </c>
      <c r="D71" s="50">
        <v>21</v>
      </c>
      <c r="E71" s="51"/>
      <c r="F71" s="51"/>
      <c r="G71" s="51"/>
      <c r="H71" s="51"/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75</v>
      </c>
      <c r="B72" s="50">
        <f>231+D72</f>
        <v>252</v>
      </c>
      <c r="C72" s="50">
        <v>11</v>
      </c>
      <c r="D72" s="50">
        <v>21</v>
      </c>
      <c r="E72" s="51"/>
      <c r="F72" s="51"/>
      <c r="G72" s="51"/>
      <c r="H72" s="51"/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80</v>
      </c>
      <c r="B73" s="50">
        <f>240+D73</f>
        <v>261</v>
      </c>
      <c r="C73" s="50">
        <v>12</v>
      </c>
      <c r="D73" s="50">
        <v>21</v>
      </c>
      <c r="E73" s="51"/>
      <c r="F73" s="51"/>
      <c r="G73" s="51"/>
      <c r="H73" s="51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85</v>
      </c>
      <c r="B74" s="50">
        <f>248+D74</f>
        <v>269</v>
      </c>
      <c r="C74" s="50">
        <v>13</v>
      </c>
      <c r="D74" s="50">
        <v>21</v>
      </c>
      <c r="E74" s="51"/>
      <c r="F74" s="51"/>
      <c r="G74" s="51"/>
      <c r="H74" s="51"/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90</v>
      </c>
      <c r="B75" s="50">
        <f>254+D75</f>
        <v>275</v>
      </c>
      <c r="C75" s="50">
        <v>14</v>
      </c>
      <c r="D75" s="50">
        <v>21</v>
      </c>
      <c r="E75" s="51"/>
      <c r="F75" s="51"/>
      <c r="G75" s="51"/>
      <c r="H75" s="51"/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95</v>
      </c>
      <c r="B76" s="50">
        <v>279</v>
      </c>
      <c r="C76" s="50">
        <v>15</v>
      </c>
      <c r="D76" s="50">
        <v>21</v>
      </c>
      <c r="E76" s="51"/>
      <c r="F76" s="51"/>
      <c r="G76" s="51"/>
      <c r="H76" s="51"/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100</v>
      </c>
      <c r="B77" s="50">
        <v>282</v>
      </c>
      <c r="C77" s="50">
        <v>16</v>
      </c>
      <c r="D77" s="50">
        <v>282</v>
      </c>
      <c r="E77" s="51"/>
      <c r="F77" s="51"/>
      <c r="G77" s="51"/>
      <c r="H77" s="51"/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158</v>
      </c>
      <c r="C88" s="60">
        <v>1</v>
      </c>
      <c r="D88" s="60">
        <f>B88*25%</f>
        <v>39.5</v>
      </c>
      <c r="E88" s="51">
        <v>0.2</v>
      </c>
      <c r="F88" s="51">
        <v>0.2</v>
      </c>
      <c r="G88" s="51">
        <v>0.6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210.5</v>
      </c>
      <c r="C89" s="60">
        <v>2</v>
      </c>
      <c r="D89" s="60">
        <f>6.7*10</f>
        <v>67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243.5</v>
      </c>
      <c r="C90" s="60">
        <v>3</v>
      </c>
      <c r="D90" s="60">
        <f>7*10</f>
        <v>70</v>
      </c>
      <c r="E90" s="87"/>
      <c r="F90" s="87"/>
      <c r="G90" s="87"/>
      <c r="H90" s="87"/>
      <c r="I90" s="53">
        <f t="shared" si="3"/>
        <v>10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288.5</v>
      </c>
      <c r="C91" s="60">
        <v>4</v>
      </c>
      <c r="D91" s="60">
        <f>7.5*10</f>
        <v>75</v>
      </c>
      <c r="E91" s="87"/>
      <c r="F91" s="87"/>
      <c r="G91" s="87"/>
      <c r="H91" s="87"/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348.5</v>
      </c>
      <c r="C92" s="60">
        <v>5</v>
      </c>
      <c r="D92" s="60">
        <f>8*10</f>
        <v>80</v>
      </c>
      <c r="E92" s="87"/>
      <c r="F92" s="87"/>
      <c r="G92" s="87"/>
      <c r="H92" s="87"/>
      <c r="I92" s="53">
        <f t="shared" si="3"/>
        <v>13.5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423.5</v>
      </c>
      <c r="C93" s="60">
        <v>6</v>
      </c>
      <c r="D93" s="60">
        <f>8.7*10</f>
        <v>87</v>
      </c>
      <c r="E93" s="87"/>
      <c r="F93" s="87"/>
      <c r="G93" s="87"/>
      <c r="H93" s="87"/>
      <c r="I93" s="53">
        <f t="shared" si="3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506.5</v>
      </c>
      <c r="C94" s="60">
        <v>7</v>
      </c>
      <c r="D94" s="60">
        <f>9.3*10</f>
        <v>93</v>
      </c>
      <c r="E94" s="87"/>
      <c r="F94" s="87"/>
      <c r="G94" s="87"/>
      <c r="H94" s="87"/>
      <c r="I94" s="53">
        <f t="shared" si="3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588.5</v>
      </c>
      <c r="C95" s="60">
        <v>8</v>
      </c>
      <c r="D95" s="60">
        <f>9.8*10</f>
        <v>98</v>
      </c>
      <c r="E95" s="87"/>
      <c r="F95" s="87"/>
      <c r="G95" s="87"/>
      <c r="H95" s="87"/>
      <c r="I95" s="53">
        <f t="shared" si="3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675.5</v>
      </c>
      <c r="C96" s="60">
        <v>9</v>
      </c>
      <c r="D96" s="60">
        <v>675.5</v>
      </c>
      <c r="E96" s="87"/>
      <c r="F96" s="87"/>
      <c r="G96" s="87"/>
      <c r="H96" s="87"/>
      <c r="I96" s="53">
        <f t="shared" si="3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37</v>
      </c>
      <c r="C114" s="50">
        <v>1</v>
      </c>
      <c r="D114" s="60">
        <v>15</v>
      </c>
      <c r="E114" s="51"/>
      <c r="F114" s="51">
        <v>0.3</v>
      </c>
      <c r="G114" s="51">
        <v>0.7</v>
      </c>
      <c r="H114" s="87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80</v>
      </c>
      <c r="C115" s="50">
        <v>2</v>
      </c>
      <c r="D115" s="60">
        <v>28</v>
      </c>
      <c r="E115" s="51">
        <v>0.2</v>
      </c>
      <c r="F115" s="51">
        <v>0.2</v>
      </c>
      <c r="G115" s="51">
        <v>0.6</v>
      </c>
      <c r="H115" s="87">
        <v>0.4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115</v>
      </c>
      <c r="C116" s="50">
        <v>3</v>
      </c>
      <c r="D116" s="60">
        <v>28</v>
      </c>
      <c r="E116" s="51">
        <v>0.2</v>
      </c>
      <c r="F116" s="87">
        <v>0.2</v>
      </c>
      <c r="G116" s="87">
        <v>0.6</v>
      </c>
      <c r="H116" s="87">
        <v>0.3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146</v>
      </c>
      <c r="C117" s="50">
        <v>4</v>
      </c>
      <c r="D117" s="60">
        <v>28</v>
      </c>
      <c r="E117" s="51">
        <v>0.3</v>
      </c>
      <c r="F117" s="51">
        <v>0.4</v>
      </c>
      <c r="G117" s="51">
        <v>0.3</v>
      </c>
      <c r="H117" s="51"/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172</v>
      </c>
      <c r="C118" s="50">
        <v>5</v>
      </c>
      <c r="D118" s="60">
        <v>28</v>
      </c>
      <c r="E118" s="51"/>
      <c r="F118" s="51"/>
      <c r="G118" s="51"/>
      <c r="H118" s="51"/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192</v>
      </c>
      <c r="C119" s="50">
        <v>6</v>
      </c>
      <c r="D119" s="60">
        <v>28</v>
      </c>
      <c r="E119" s="51"/>
      <c r="F119" s="51"/>
      <c r="G119" s="51"/>
      <c r="H119" s="51"/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205</v>
      </c>
      <c r="C120" s="60">
        <v>7</v>
      </c>
      <c r="D120" s="60">
        <v>22</v>
      </c>
      <c r="E120" s="87"/>
      <c r="F120" s="87"/>
      <c r="G120" s="87"/>
      <c r="H120" s="87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219</v>
      </c>
      <c r="C121" s="60">
        <v>8</v>
      </c>
      <c r="D121" s="60">
        <v>17</v>
      </c>
      <c r="E121" s="87"/>
      <c r="F121" s="87"/>
      <c r="G121" s="87"/>
      <c r="H121" s="87"/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232</v>
      </c>
      <c r="C122" s="60">
        <v>9</v>
      </c>
      <c r="D122" s="60">
        <v>13</v>
      </c>
      <c r="E122" s="87"/>
      <c r="F122" s="87"/>
      <c r="G122" s="87"/>
      <c r="H122" s="87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245</v>
      </c>
      <c r="C123" s="60">
        <v>10</v>
      </c>
      <c r="D123" s="60">
        <v>12</v>
      </c>
      <c r="E123" s="87"/>
      <c r="F123" s="87"/>
      <c r="G123" s="87"/>
      <c r="H123" s="87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255</v>
      </c>
      <c r="C124" s="60">
        <v>11</v>
      </c>
      <c r="D124" s="60">
        <v>11</v>
      </c>
      <c r="E124" s="87"/>
      <c r="F124" s="87"/>
      <c r="G124" s="87"/>
      <c r="H124" s="87"/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v>263</v>
      </c>
      <c r="C125" s="60">
        <v>12</v>
      </c>
      <c r="D125" s="60">
        <v>10</v>
      </c>
      <c r="E125" s="87"/>
      <c r="F125" s="87"/>
      <c r="G125" s="87"/>
      <c r="H125" s="87"/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75</v>
      </c>
      <c r="B126" s="60">
        <v>270</v>
      </c>
      <c r="C126" s="60">
        <v>13</v>
      </c>
      <c r="D126" s="60">
        <v>9</v>
      </c>
      <c r="E126" s="65"/>
      <c r="F126" s="65"/>
      <c r="G126" s="65"/>
      <c r="H126" s="65"/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80</v>
      </c>
      <c r="B127" s="60">
        <v>275</v>
      </c>
      <c r="C127" s="60">
        <v>14</v>
      </c>
      <c r="D127" s="60">
        <v>275</v>
      </c>
      <c r="E127" s="65"/>
      <c r="F127" s="65"/>
      <c r="G127" s="65"/>
      <c r="H127" s="65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237.64646718446005</v>
      </c>
      <c r="T3" s="59">
        <f>IF('Données projet'!E9&gt;30,$R$33-$H$33,LOOKUP('Données projet'!$E$9,$A$3:$A$203,R3:R203)-LOOKUP('Données projet'!$E$9,$A$3:$A$203,$H$3:$H$203))</f>
        <v>156.67965022779907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272.93635583300755</v>
      </c>
      <c r="AO3" s="59">
        <f>IF('Données projet'!E10&gt;30,$AM$33-$H$33,LOOKUP('Données projet'!$E$10,$A$3:$A$203,AM3:AM203)-LOOKUP('Données projet'!$E$10,$A$3:$A$203,$H$3:$H$203))</f>
        <v>179.56041631665812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226.0452828290525</v>
      </c>
      <c r="BJ3" s="59">
        <f>IF('Données projet'!E11&gt;30,$BH$33-$H$33,LOOKUP('Données projet'!$E$11,$A$3:$A$203,BH3:BH203)-LOOKUP('Données projet'!$E$11,$A$3:$A$203,$H$3:$H$203))</f>
        <v>179.89696397462069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219.43439115440339</v>
      </c>
      <c r="CE3" s="59">
        <f>IF('Données projet'!E12&gt;30,$CC$33-$H$33,LOOKUP('Données projet'!$E$12,$A$3:$A$203,CC3:CC203)-LOOKUP('Données projet'!$E$12,$A$3:$A$203,$H$3:$H$203))</f>
        <v>217.8880462742099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296.05486389783243</v>
      </c>
      <c r="S4" s="59">
        <f ca="1">AVERAGE(OFFSET($R$3,0,0,'Données projet'!$E$9+1,1))-AVERAGE(OFFSET($H$3,0,0,'Données projet'!$E$9+1,1))</f>
        <v>237.64646718446005</v>
      </c>
      <c r="T4" s="59">
        <f>$T$3</f>
        <v>156.67965022779907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1.2018267787257499</v>
      </c>
      <c r="AK4" s="13">
        <f>EXP(-1.0587+0.8836*LN(AJ4)+0.284)</f>
        <v>0.5421261382842083</v>
      </c>
      <c r="AL4" s="20">
        <f t="shared" ref="AL4:AL67" si="4">(AJ4+AK4)*0.475*44/12</f>
        <v>3.0373846637923445</v>
      </c>
      <c r="AM4" s="59">
        <f t="shared" ref="AM4:AM67" si="5">AL4+(AD4+AE4)*44/12</f>
        <v>296.37071799712567</v>
      </c>
      <c r="AN4" s="59">
        <f ca="1">AVERAGE(OFFSET($AM$3,0,0,'Données projet'!$E$10+1,1))-AVERAGE(OFFSET($H$3,0,0,'Données projet'!$E$10+1,1))</f>
        <v>272.93635583300755</v>
      </c>
      <c r="AO4" s="59">
        <f>$AO$3</f>
        <v>179.56041631665812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226.0452828290525</v>
      </c>
      <c r="BJ4" s="59">
        <f>$BJ$3</f>
        <v>179.89696397462069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295.90738624248479</v>
      </c>
      <c r="CD4" s="59">
        <f ca="1">AVERAGE(OFFSET($CC$3,0,0,'Données projet'!$E$12+1,1))-AVERAGE(OFFSET($H$3,0,0,'Données projet'!$E$12+1,1))</f>
        <v>219.43439115440339</v>
      </c>
      <c r="CE4" s="59">
        <f>$CE$3</f>
        <v>217.8880462742099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296.53916254699658</v>
      </c>
      <c r="S5" s="59">
        <f ca="1">AVERAGE(OFFSET($R$3,0,0,'Données projet'!$E$9+1,1))-AVERAGE(OFFSET($H$3,0,0,'Données projet'!$E$9+1,1))</f>
        <v>237.64646718446005</v>
      </c>
      <c r="T5" s="59">
        <f t="shared" ref="T5:T68" si="34">$T$3</f>
        <v>156.67965022779907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1.4244453708701312</v>
      </c>
      <c r="AK5" s="13">
        <f t="shared" ref="AK5:AK68" si="35">EXP(-1.0587+0.8836*LN(AJ5)+0.284)</f>
        <v>0.62996075113518346</v>
      </c>
      <c r="AL5" s="20">
        <f t="shared" si="4"/>
        <v>3.5780906624925897</v>
      </c>
      <c r="AM5" s="59">
        <f t="shared" si="5"/>
        <v>296.91142399582588</v>
      </c>
      <c r="AN5" s="59">
        <f ca="1">AVERAGE(OFFSET($AM$3,0,0,'Données projet'!$E$10+1,1))-AVERAGE(OFFSET($H$3,0,0,'Données projet'!$E$10+1,1))</f>
        <v>272.93635583300755</v>
      </c>
      <c r="AO5" s="59">
        <f t="shared" ref="AO5:AO68" si="36">$AO$3</f>
        <v>179.56041631665812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226.0452828290525</v>
      </c>
      <c r="BJ5" s="59">
        <f t="shared" ref="BJ5:BJ68" si="38">$BJ$3</f>
        <v>179.89696397462069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296.57946149872157</v>
      </c>
      <c r="CD5" s="59">
        <f ca="1">AVERAGE(OFFSET($CC$3,0,0,'Données projet'!$E$12+1,1))-AVERAGE(OFFSET($H$3,0,0,'Données projet'!$E$12+1,1))</f>
        <v>219.43439115440339</v>
      </c>
      <c r="CE5" s="59">
        <f t="shared" ref="CE5:CE68" si="40">$CE$3</f>
        <v>217.8880462742099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297.10995832109523</v>
      </c>
      <c r="S6" s="59">
        <f ca="1">AVERAGE(OFFSET($R$3,0,0,'Données projet'!$E$9+1,1))-AVERAGE(OFFSET($H$3,0,0,'Données projet'!$E$9+1,1))</f>
        <v>237.64646718446005</v>
      </c>
      <c r="T6" s="59">
        <f t="shared" si="34"/>
        <v>156.67965022779907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1.6883003861377279</v>
      </c>
      <c r="AK6" s="13">
        <f t="shared" si="35"/>
        <v>0.7320262203678447</v>
      </c>
      <c r="AL6" s="20">
        <f t="shared" si="4"/>
        <v>4.215402172997206</v>
      </c>
      <c r="AM6" s="59">
        <f t="shared" si="5"/>
        <v>297.5487355063305</v>
      </c>
      <c r="AN6" s="59">
        <f ca="1">AVERAGE(OFFSET($AM$3,0,0,'Données projet'!$E$10+1,1))-AVERAGE(OFFSET($H$3,0,0,'Données projet'!$E$10+1,1))</f>
        <v>272.93635583300755</v>
      </c>
      <c r="AO6" s="59">
        <f t="shared" si="36"/>
        <v>179.56041631665812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226.0452828290525</v>
      </c>
      <c r="BJ6" s="59">
        <f t="shared" si="38"/>
        <v>179.89696397462069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297.4276995177708</v>
      </c>
      <c r="CD6" s="59">
        <f ca="1">AVERAGE(OFFSET($CC$3,0,0,'Données projet'!$E$12+1,1))-AVERAGE(OFFSET($H$3,0,0,'Données projet'!$E$12+1,1))</f>
        <v>219.43439115440339</v>
      </c>
      <c r="CE6" s="59">
        <f t="shared" si="40"/>
        <v>217.8880462742099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297.78275310926512</v>
      </c>
      <c r="S7" s="59">
        <f ca="1">AVERAGE(OFFSET($R$3,0,0,'Données projet'!$E$9+1,1))-AVERAGE(OFFSET($H$3,0,0,'Données projet'!$E$9+1,1))</f>
        <v>237.64646718446005</v>
      </c>
      <c r="T7" s="59">
        <f t="shared" si="34"/>
        <v>156.67965022779907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2.001030191906652</v>
      </c>
      <c r="AK7" s="13">
        <f t="shared" si="35"/>
        <v>0.85062821190115911</v>
      </c>
      <c r="AL7" s="20">
        <f t="shared" si="4"/>
        <v>4.9666383866319377</v>
      </c>
      <c r="AM7" s="59">
        <f t="shared" si="5"/>
        <v>298.29997171996524</v>
      </c>
      <c r="AN7" s="59">
        <f ca="1">AVERAGE(OFFSET($AM$3,0,0,'Données projet'!$E$10+1,1))-AVERAGE(OFFSET($H$3,0,0,'Données projet'!$E$10+1,1))</f>
        <v>272.93635583300755</v>
      </c>
      <c r="AO7" s="59">
        <f t="shared" si="36"/>
        <v>179.56041631665812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226.0452828290525</v>
      </c>
      <c r="BJ7" s="59">
        <f t="shared" si="38"/>
        <v>179.89696397462069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298.49844528615546</v>
      </c>
      <c r="CD7" s="59">
        <f ca="1">AVERAGE(OFFSET($CC$3,0,0,'Données projet'!$E$12+1,1))-AVERAGE(OFFSET($H$3,0,0,'Données projet'!$E$12+1,1))</f>
        <v>219.43439115440339</v>
      </c>
      <c r="CE7" s="59">
        <f t="shared" si="40"/>
        <v>217.8880462742099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298.57583597534989</v>
      </c>
      <c r="S8" s="59">
        <f ca="1">AVERAGE(OFFSET($R$3,0,0,'Données projet'!$E$9+1,1))-AVERAGE(OFFSET($H$3,0,0,'Données projet'!$E$9+1,1))</f>
        <v>237.64646718446005</v>
      </c>
      <c r="T8" s="59">
        <f t="shared" si="34"/>
        <v>156.67965022779907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2.3716880371520133</v>
      </c>
      <c r="AK8" s="13">
        <f t="shared" si="35"/>
        <v>0.98844595282197545</v>
      </c>
      <c r="AL8" s="20">
        <f t="shared" si="4"/>
        <v>5.8522333658713634</v>
      </c>
      <c r="AM8" s="59">
        <f t="shared" si="5"/>
        <v>299.18556669920468</v>
      </c>
      <c r="AN8" s="59">
        <f ca="1">AVERAGE(OFFSET($AM$3,0,0,'Données projet'!$E$10+1,1))-AVERAGE(OFFSET($H$3,0,0,'Données projet'!$E$10+1,1))</f>
        <v>272.93635583300755</v>
      </c>
      <c r="AO8" s="59">
        <f t="shared" si="36"/>
        <v>179.56041631665812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226.0452828290525</v>
      </c>
      <c r="BJ8" s="59">
        <f t="shared" si="38"/>
        <v>179.89696397462069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299.85027799944623</v>
      </c>
      <c r="CD8" s="59">
        <f ca="1">AVERAGE(OFFSET($CC$3,0,0,'Données projet'!$E$12+1,1))-AVERAGE(OFFSET($H$3,0,0,'Données projet'!$E$12+1,1))</f>
        <v>219.43439115440339</v>
      </c>
      <c r="CE8" s="59">
        <f t="shared" si="40"/>
        <v>217.8880462742099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299.51078577874068</v>
      </c>
      <c r="S9" s="59">
        <f ca="1">AVERAGE(OFFSET($R$3,0,0,'Données projet'!$E$9+1,1))-AVERAGE(OFFSET($H$3,0,0,'Données projet'!$E$9+1,1))</f>
        <v>237.64646718446005</v>
      </c>
      <c r="T9" s="59">
        <f t="shared" si="34"/>
        <v>156.67965022779907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2.8110041359297839</v>
      </c>
      <c r="AK9" s="13">
        <f t="shared" si="35"/>
        <v>1.1485927553078508</v>
      </c>
      <c r="AL9" s="20">
        <f t="shared" si="4"/>
        <v>6.8962979189055469</v>
      </c>
      <c r="AM9" s="59">
        <f t="shared" si="5"/>
        <v>300.22963125223885</v>
      </c>
      <c r="AN9" s="59">
        <f ca="1">AVERAGE(OFFSET($AM$3,0,0,'Données projet'!$E$10+1,1))-AVERAGE(OFFSET($H$3,0,0,'Données projet'!$E$10+1,1))</f>
        <v>272.93635583300755</v>
      </c>
      <c r="AO9" s="59">
        <f t="shared" si="36"/>
        <v>179.56041631665812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226.0452828290525</v>
      </c>
      <c r="BJ9" s="59">
        <f t="shared" si="38"/>
        <v>179.89696397462069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301.55725090153209</v>
      </c>
      <c r="CD9" s="59">
        <f ca="1">AVERAGE(OFFSET($CC$3,0,0,'Données projet'!$E$12+1,1))-AVERAGE(OFFSET($H$3,0,0,'Données projet'!$E$12+1,1))</f>
        <v>219.43439115440339</v>
      </c>
      <c r="CE9" s="59">
        <f t="shared" si="40"/>
        <v>217.8880462742099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300.61306468469917</v>
      </c>
      <c r="S10" s="59">
        <f ca="1">AVERAGE(OFFSET($R$3,0,0,'Données projet'!$E$9+1,1))-AVERAGE(OFFSET($H$3,0,0,'Données projet'!$E$9+1,1))</f>
        <v>237.64646718446005</v>
      </c>
      <c r="T10" s="59">
        <f t="shared" si="34"/>
        <v>156.67965022779907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3.3316962975041937</v>
      </c>
      <c r="AK10" s="13">
        <f t="shared" si="35"/>
        <v>1.3346863465617191</v>
      </c>
      <c r="AL10" s="20">
        <f t="shared" si="4"/>
        <v>8.1272831050814656</v>
      </c>
      <c r="AM10" s="59">
        <f t="shared" si="5"/>
        <v>301.46061643841477</v>
      </c>
      <c r="AN10" s="59">
        <f ca="1">AVERAGE(OFFSET($AM$3,0,0,'Données projet'!$E$10+1,1))-AVERAGE(OFFSET($H$3,0,0,'Données projet'!$E$10+1,1))</f>
        <v>272.93635583300755</v>
      </c>
      <c r="AO10" s="59">
        <f t="shared" si="36"/>
        <v>179.56041631665812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226.0452828290525</v>
      </c>
      <c r="BJ10" s="59">
        <f t="shared" si="38"/>
        <v>179.89696397462069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303.71299159350212</v>
      </c>
      <c r="CD10" s="59">
        <f ca="1">AVERAGE(OFFSET($CC$3,0,0,'Données projet'!$E$12+1,1))-AVERAGE(OFFSET($H$3,0,0,'Données projet'!$E$12+1,1))</f>
        <v>219.43439115440339</v>
      </c>
      <c r="CE10" s="59">
        <f t="shared" si="40"/>
        <v>217.8880462742099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301.91271904143355</v>
      </c>
      <c r="S11" s="59">
        <f ca="1">AVERAGE(OFFSET($R$3,0,0,'Données projet'!$E$9+1,1))-AVERAGE(OFFSET($H$3,0,0,'Données projet'!$E$9+1,1))</f>
        <v>237.64646718446005</v>
      </c>
      <c r="T11" s="59">
        <f t="shared" si="34"/>
        <v>156.67965022779907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3.9488380955837998</v>
      </c>
      <c r="AK11" s="13">
        <f t="shared" si="35"/>
        <v>1.5509305935164246</v>
      </c>
      <c r="AL11" s="20">
        <f t="shared" si="4"/>
        <v>9.578763800182891</v>
      </c>
      <c r="AM11" s="59">
        <f t="shared" si="5"/>
        <v>302.91209713351623</v>
      </c>
      <c r="AN11" s="59">
        <f ca="1">AVERAGE(OFFSET($AM$3,0,0,'Données projet'!$E$10+1,1))-AVERAGE(OFFSET($H$3,0,0,'Données projet'!$E$10+1,1))</f>
        <v>272.93635583300755</v>
      </c>
      <c r="AO11" s="59">
        <f t="shared" si="36"/>
        <v>179.56041631665812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226.0452828290525</v>
      </c>
      <c r="BJ11" s="59">
        <f t="shared" si="38"/>
        <v>179.89696397462069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306.43589195388444</v>
      </c>
      <c r="CD11" s="59">
        <f ca="1">AVERAGE(OFFSET($CC$3,0,0,'Données projet'!$E$12+1,1))-AVERAGE(OFFSET($H$3,0,0,'Données projet'!$E$12+1,1))</f>
        <v>219.43439115440339</v>
      </c>
      <c r="CE11" s="59">
        <f t="shared" si="40"/>
        <v>217.8880462742099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303.44520709525847</v>
      </c>
      <c r="S12" s="59">
        <f ca="1">AVERAGE(OFFSET($R$3,0,0,'Données projet'!$E$9+1,1))-AVERAGE(OFFSET($H$3,0,0,'Données projet'!$E$9+1,1))</f>
        <v>237.64646718446005</v>
      </c>
      <c r="T12" s="59">
        <f t="shared" si="34"/>
        <v>156.67965022779907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4.6802952348372813</v>
      </c>
      <c r="AK12" s="13">
        <f t="shared" si="35"/>
        <v>1.8022104684757689</v>
      </c>
      <c r="AL12" s="20">
        <f t="shared" si="4"/>
        <v>11.290364099936896</v>
      </c>
      <c r="AM12" s="59">
        <f t="shared" si="5"/>
        <v>304.62369743327019</v>
      </c>
      <c r="AN12" s="59">
        <f ca="1">AVERAGE(OFFSET($AM$3,0,0,'Données projet'!$E$10+1,1))-AVERAGE(OFFSET($H$3,0,0,'Données projet'!$E$10+1,1))</f>
        <v>272.93635583300755</v>
      </c>
      <c r="AO12" s="59">
        <f t="shared" si="36"/>
        <v>179.56041631665812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226.0452828290525</v>
      </c>
      <c r="BJ12" s="59">
        <f t="shared" si="38"/>
        <v>179.89696397462069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309.87567798011776</v>
      </c>
      <c r="CD12" s="59">
        <f ca="1">AVERAGE(OFFSET($CC$3,0,0,'Données projet'!$E$12+1,1))-AVERAGE(OFFSET($H$3,0,0,'Données projet'!$E$12+1,1))</f>
        <v>219.43439115440339</v>
      </c>
      <c r="CE12" s="59">
        <f t="shared" si="40"/>
        <v>217.8880462742099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305.2523765544172</v>
      </c>
      <c r="S13" s="59">
        <f ca="1">AVERAGE(OFFSET($R$3,0,0,'Données projet'!$E$9+1,1))-AVERAGE(OFFSET($H$3,0,0,'Données projet'!$E$9+1,1))</f>
        <v>237.64646718446005</v>
      </c>
      <c r="T13" s="59">
        <f t="shared" si="34"/>
        <v>156.67965022779907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5.5472427471104222</v>
      </c>
      <c r="AK13" s="13">
        <f t="shared" si="35"/>
        <v>2.0942024009724034</v>
      </c>
      <c r="AL13" s="20">
        <f t="shared" si="4"/>
        <v>13.308850299577585</v>
      </c>
      <c r="AM13" s="59">
        <f t="shared" si="5"/>
        <v>306.64218363291093</v>
      </c>
      <c r="AN13" s="59">
        <f ca="1">AVERAGE(OFFSET($AM$3,0,0,'Données projet'!$E$10+1,1))-AVERAGE(OFFSET($H$3,0,0,'Données projet'!$E$10+1,1))</f>
        <v>272.93635583300755</v>
      </c>
      <c r="AO13" s="59">
        <f t="shared" si="36"/>
        <v>179.56041631665812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226.0452828290525</v>
      </c>
      <c r="BJ13" s="59">
        <f t="shared" si="38"/>
        <v>179.89696397462069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314.22172739361849</v>
      </c>
      <c r="CD13" s="59">
        <f ca="1">AVERAGE(OFFSET($CC$3,0,0,'Données projet'!$E$12+1,1))-AVERAGE(OFFSET($H$3,0,0,'Données projet'!$E$12+1,1))</f>
        <v>219.43439115440339</v>
      </c>
      <c r="CE13" s="59">
        <f t="shared" si="40"/>
        <v>217.8880462742099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307.38361919604188</v>
      </c>
      <c r="S14" s="59">
        <f ca="1">AVERAGE(OFFSET($R$3,0,0,'Données projet'!$E$9+1,1))-AVERAGE(OFFSET($H$3,0,0,'Données projet'!$E$9+1,1))</f>
        <v>237.64646718446005</v>
      </c>
      <c r="T14" s="59">
        <f t="shared" si="34"/>
        <v>156.67965022779907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6.5747779897135095</v>
      </c>
      <c r="AK14" s="13">
        <f t="shared" si="35"/>
        <v>2.4335025086985533</v>
      </c>
      <c r="AL14" s="20">
        <f t="shared" si="4"/>
        <v>15.689421868067676</v>
      </c>
      <c r="AM14" s="59">
        <f t="shared" si="5"/>
        <v>309.02275520140097</v>
      </c>
      <c r="AN14" s="59">
        <f ca="1">AVERAGE(OFFSET($AM$3,0,0,'Données projet'!$E$10+1,1))-AVERAGE(OFFSET($H$3,0,0,'Données projet'!$E$10+1,1))</f>
        <v>272.93635583300755</v>
      </c>
      <c r="AO14" s="59">
        <f t="shared" si="36"/>
        <v>179.56041631665812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226.0452828290525</v>
      </c>
      <c r="BJ14" s="59">
        <f t="shared" si="38"/>
        <v>179.89696397462069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319.71360113428284</v>
      </c>
      <c r="CD14" s="59">
        <f ca="1">AVERAGE(OFFSET($CC$3,0,0,'Données projet'!$E$12+1,1))-AVERAGE(OFFSET($H$3,0,0,'Données projet'!$E$12+1,1))</f>
        <v>219.43439115440339</v>
      </c>
      <c r="CE14" s="59">
        <f t="shared" si="40"/>
        <v>217.8880462742099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309.89723465691981</v>
      </c>
      <c r="S15" s="59">
        <f ca="1">AVERAGE(OFFSET($R$3,0,0,'Données projet'!$E$9+1,1))-AVERAGE(OFFSET($H$3,0,0,'Données projet'!$E$9+1,1))</f>
        <v>237.64646718446005</v>
      </c>
      <c r="T15" s="59">
        <f t="shared" si="34"/>
        <v>156.67965022779907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7.7926471915328897</v>
      </c>
      <c r="AK15" s="13">
        <f t="shared" si="35"/>
        <v>2.827775604255069</v>
      </c>
      <c r="AL15" s="20">
        <f t="shared" si="4"/>
        <v>18.497236369330697</v>
      </c>
      <c r="AM15" s="59">
        <f t="shared" si="5"/>
        <v>311.83056970266404</v>
      </c>
      <c r="AN15" s="59">
        <f ca="1">AVERAGE(OFFSET($AM$3,0,0,'Données projet'!$E$10+1,1))-AVERAGE(OFFSET($H$3,0,0,'Données projet'!$E$10+1,1))</f>
        <v>272.93635583300755</v>
      </c>
      <c r="AO15" s="59">
        <f t="shared" si="36"/>
        <v>179.56041631665812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226.0452828290525</v>
      </c>
      <c r="BJ15" s="59">
        <f t="shared" si="38"/>
        <v>179.89696397462069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326.65437946934281</v>
      </c>
      <c r="CD15" s="59">
        <f ca="1">AVERAGE(OFFSET($CC$3,0,0,'Données projet'!$E$12+1,1))-AVERAGE(OFFSET($H$3,0,0,'Données projet'!$E$12+1,1))</f>
        <v>219.43439115440339</v>
      </c>
      <c r="CE15" s="59">
        <f t="shared" si="40"/>
        <v>217.8880462742099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312.86204139635657</v>
      </c>
      <c r="S16" s="59">
        <f ca="1">AVERAGE(OFFSET($R$3,0,0,'Données projet'!$E$9+1,1))-AVERAGE(OFFSET($H$3,0,0,'Données projet'!$E$9+1,1))</f>
        <v>237.64646718446005</v>
      </c>
      <c r="T16" s="59">
        <f t="shared" si="34"/>
        <v>156.67965022779907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9.2361065798286326</v>
      </c>
      <c r="AK16" s="13">
        <f t="shared" si="35"/>
        <v>3.2859283437914253</v>
      </c>
      <c r="AL16" s="20">
        <f t="shared" si="4"/>
        <v>21.809210825304934</v>
      </c>
      <c r="AM16" s="59">
        <f t="shared" si="5"/>
        <v>315.14254415863826</v>
      </c>
      <c r="AN16" s="59">
        <f ca="1">AVERAGE(OFFSET($AM$3,0,0,'Données projet'!$E$10+1,1))-AVERAGE(OFFSET($H$3,0,0,'Données projet'!$E$10+1,1))</f>
        <v>272.93635583300755</v>
      </c>
      <c r="AO16" s="59">
        <f t="shared" si="36"/>
        <v>179.56041631665812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226.0452828290525</v>
      </c>
      <c r="BJ16" s="59">
        <f t="shared" si="38"/>
        <v>179.89696397462069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335.42755141558786</v>
      </c>
      <c r="CD16" s="59">
        <f ca="1">AVERAGE(OFFSET($CC$3,0,0,'Données projet'!$E$12+1,1))-AVERAGE(OFFSET($H$3,0,0,'Données projet'!$E$12+1,1))</f>
        <v>219.43439115440339</v>
      </c>
      <c r="CE16" s="59">
        <f t="shared" si="40"/>
        <v>217.8880462742099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316.35927973306929</v>
      </c>
      <c r="S17" s="59">
        <f ca="1">AVERAGE(OFFSET($R$3,0,0,'Données projet'!$E$9+1,1))-AVERAGE(OFFSET($H$3,0,0,'Données projet'!$E$9+1,1))</f>
        <v>237.64646718446005</v>
      </c>
      <c r="T17" s="59">
        <f t="shared" si="34"/>
        <v>156.67965022779907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10.946943016571158</v>
      </c>
      <c r="AK17" s="13">
        <f t="shared" si="35"/>
        <v>3.8183104289762917</v>
      </c>
      <c r="AL17" s="20">
        <f t="shared" si="4"/>
        <v>25.71614975099514</v>
      </c>
      <c r="AM17" s="59">
        <f t="shared" si="5"/>
        <v>319.04948308432847</v>
      </c>
      <c r="AN17" s="59">
        <f ca="1">AVERAGE(OFFSET($AM$3,0,0,'Données projet'!$E$10+1,1))-AVERAGE(OFFSET($H$3,0,0,'Données projet'!$E$10+1,1))</f>
        <v>272.93635583300755</v>
      </c>
      <c r="AO17" s="59">
        <f t="shared" si="36"/>
        <v>179.56041631665812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226.0452828290525</v>
      </c>
      <c r="BJ17" s="59">
        <f t="shared" si="38"/>
        <v>179.89696397462069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346.51840647945551</v>
      </c>
      <c r="CD17" s="59">
        <f ca="1">AVERAGE(OFFSET($CC$3,0,0,'Données projet'!$E$12+1,1))-AVERAGE(OFFSET($H$3,0,0,'Données projet'!$E$12+1,1))</f>
        <v>219.43439115440339</v>
      </c>
      <c r="CE17" s="59">
        <f t="shared" si="40"/>
        <v>217.8880462742099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320.48486003238384</v>
      </c>
      <c r="S18" s="59">
        <f ca="1">AVERAGE(OFFSET($R$3,0,0,'Données projet'!$E$9+1,1))-AVERAGE(OFFSET($H$3,0,0,'Données projet'!$E$9+1,1))</f>
        <v>237.64646718446005</v>
      </c>
      <c r="T18" s="59">
        <f t="shared" si="34"/>
        <v>156.67965022779907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12.974683690828462</v>
      </c>
      <c r="AK18" s="13">
        <f t="shared" si="35"/>
        <v>4.4369484074648931</v>
      </c>
      <c r="AL18" s="20">
        <f t="shared" si="4"/>
        <v>30.325259237860919</v>
      </c>
      <c r="AM18" s="59">
        <f t="shared" si="5"/>
        <v>323.65859257119422</v>
      </c>
      <c r="AN18" s="59">
        <f ca="1">AVERAGE(OFFSET($AM$3,0,0,'Données projet'!$E$10+1,1))-AVERAGE(OFFSET($H$3,0,0,'Données projet'!$E$10+1,1))</f>
        <v>272.93635583300755</v>
      </c>
      <c r="AO18" s="59">
        <f t="shared" si="36"/>
        <v>179.56041631665812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226.0452828290525</v>
      </c>
      <c r="BJ18" s="59">
        <f t="shared" si="38"/>
        <v>179.89696397462069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360.54113172026808</v>
      </c>
      <c r="CD18" s="59">
        <f ca="1">AVERAGE(OFFSET($CC$3,0,0,'Données projet'!$E$12+1,1))-AVERAGE(OFFSET($H$3,0,0,'Données projet'!$E$12+1,1))</f>
        <v>219.43439115440339</v>
      </c>
      <c r="CE18" s="59">
        <f t="shared" si="40"/>
        <v>217.8880462742099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0.159</v>
      </c>
      <c r="CJ18" s="16">
        <f>IF(ISNA(VLOOKUP(A18,'Données projet'!$A$113:$I$133,7,0)),0%,VLOOKUP(A18,'Données projet'!$A$113:$I$133,7,0))</f>
        <v>0.7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2.0893774831225831</v>
      </c>
      <c r="CM18" s="21">
        <f>EXP(-LN(2)/2)*CM17+(1-EXP(-LN(2)/2))/(LN(2)/2)*CG18*CJ18*VLOOKUP('Données projet'!$B$12,Paramètres!$A$1:$I$89,3,0)*0.475*44/12</f>
        <v>7.8820351392304921</v>
      </c>
      <c r="CN18" s="22">
        <f t="shared" si="12"/>
        <v>9.9714126223530748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325.35201878534463</v>
      </c>
      <c r="S19" s="59">
        <f ca="1">AVERAGE(OFFSET($R$3,0,0,'Données projet'!$E$9+1,1))-AVERAGE(OFFSET($H$3,0,0,'Données projet'!$E$9+1,1))</f>
        <v>237.64646718446005</v>
      </c>
      <c r="T19" s="59">
        <f t="shared" si="34"/>
        <v>156.67965022779907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15.378029886719814</v>
      </c>
      <c r="AK19" s="13">
        <f t="shared" si="35"/>
        <v>5.1558173534317051</v>
      </c>
      <c r="AL19" s="20">
        <f t="shared" si="4"/>
        <v>35.763117276597228</v>
      </c>
      <c r="AM19" s="59">
        <f t="shared" si="5"/>
        <v>329.09645060993057</v>
      </c>
      <c r="AN19" s="59">
        <f ca="1">AVERAGE(OFFSET($AM$3,0,0,'Données projet'!$E$10+1,1))-AVERAGE(OFFSET($H$3,0,0,'Données projet'!$E$10+1,1))</f>
        <v>272.93635583300755</v>
      </c>
      <c r="AO19" s="59">
        <f t="shared" si="36"/>
        <v>179.56041631665812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226.0452828290525</v>
      </c>
      <c r="BJ19" s="59">
        <f t="shared" si="38"/>
        <v>179.89696397462069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354.52858650746725</v>
      </c>
      <c r="CD19" s="59">
        <f ca="1">AVERAGE(OFFSET($CC$3,0,0,'Données projet'!$E$12+1,1))-AVERAGE(OFFSET($H$3,0,0,'Données projet'!$E$12+1,1))</f>
        <v>219.43439115440339</v>
      </c>
      <c r="CE19" s="59">
        <f t="shared" si="40"/>
        <v>217.8880462742099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2.0322433459710094</v>
      </c>
      <c r="CM19" s="21">
        <f>EXP(-LN(2)/2)*CM18+(1-EXP(-LN(2)/2))/(LN(2)/2)*CG19*CJ19*VLOOKUP('Données projet'!$B$12,Paramètres!$A$1:$I$89,3,0)*0.475*44/12</f>
        <v>5.5734404965005346</v>
      </c>
      <c r="CN19" s="22">
        <f t="shared" si="12"/>
        <v>7.6056838424715441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331.09445675010153</v>
      </c>
      <c r="S20" s="59">
        <f ca="1">AVERAGE(OFFSET($R$3,0,0,'Données projet'!$E$9+1,1))-AVERAGE(OFFSET($H$3,0,0,'Données projet'!$E$9+1,1))</f>
        <v>237.64646718446005</v>
      </c>
      <c r="T20" s="59">
        <f t="shared" si="34"/>
        <v>156.67965022779907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18.226556333239429</v>
      </c>
      <c r="AK20" s="13">
        <f t="shared" si="35"/>
        <v>5.9911565654502983</v>
      </c>
      <c r="AL20" s="20">
        <f t="shared" si="4"/>
        <v>42.179183298551266</v>
      </c>
      <c r="AM20" s="59">
        <f t="shared" si="5"/>
        <v>335.51251663188458</v>
      </c>
      <c r="AN20" s="59">
        <f ca="1">AVERAGE(OFFSET($AM$3,0,0,'Données projet'!$E$10+1,1))-AVERAGE(OFFSET($H$3,0,0,'Données projet'!$E$10+1,1))</f>
        <v>272.93635583300755</v>
      </c>
      <c r="AO20" s="59">
        <f t="shared" si="36"/>
        <v>179.56041631665812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226.0452828290525</v>
      </c>
      <c r="BJ20" s="59">
        <f t="shared" si="38"/>
        <v>179.89696397462069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374.98740496255414</v>
      </c>
      <c r="CD20" s="59">
        <f ca="1">AVERAGE(OFFSET($CC$3,0,0,'Données projet'!$E$12+1,1))-AVERAGE(OFFSET($H$3,0,0,'Données projet'!$E$12+1,1))</f>
        <v>219.43439115440339</v>
      </c>
      <c r="CE20" s="59">
        <f t="shared" si="40"/>
        <v>217.8880462742099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1.9766715448043994</v>
      </c>
      <c r="CM20" s="21">
        <f>EXP(-LN(2)/2)*CM19+(1-EXP(-LN(2)/2))/(LN(2)/2)*CG20*CJ20*VLOOKUP('Données projet'!$B$12,Paramètres!$A$1:$I$89,3,0)*0.475*44/12</f>
        <v>3.9410175696152465</v>
      </c>
      <c r="CN20" s="22">
        <f t="shared" si="12"/>
        <v>5.9176891144196464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337.87004684039579</v>
      </c>
      <c r="S21" s="59">
        <f ca="1">AVERAGE(OFFSET($R$3,0,0,'Données projet'!$E$9+1,1))-AVERAGE(OFFSET($H$3,0,0,'Données projet'!$E$9+1,1))</f>
        <v>237.64646718446005</v>
      </c>
      <c r="T21" s="59">
        <f t="shared" si="34"/>
        <v>156.67965022779907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21.602725330612</v>
      </c>
      <c r="AK21" s="13">
        <f t="shared" si="35"/>
        <v>6.9618364133568926</v>
      </c>
      <c r="AL21" s="20">
        <f t="shared" si="4"/>
        <v>49.749945037412488</v>
      </c>
      <c r="AM21" s="59">
        <f t="shared" si="5"/>
        <v>343.0832783707458</v>
      </c>
      <c r="AN21" s="59">
        <f ca="1">AVERAGE(OFFSET($AM$3,0,0,'Données projet'!$E$10+1,1))-AVERAGE(OFFSET($H$3,0,0,'Données projet'!$E$10+1,1))</f>
        <v>272.93635583300755</v>
      </c>
      <c r="AO21" s="59">
        <f t="shared" si="36"/>
        <v>179.56041631665812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226.0452828290525</v>
      </c>
      <c r="BJ21" s="59">
        <f t="shared" si="38"/>
        <v>179.89696397462069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395.315649192786</v>
      </c>
      <c r="CD21" s="59">
        <f ca="1">AVERAGE(OFFSET($CC$3,0,0,'Données projet'!$E$12+1,1))-AVERAGE(OFFSET($H$3,0,0,'Données projet'!$E$12+1,1))</f>
        <v>219.43439115440339</v>
      </c>
      <c r="CE21" s="59">
        <f t="shared" si="40"/>
        <v>217.8880462742099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1.9226193574630843</v>
      </c>
      <c r="CM21" s="21">
        <f>EXP(-LN(2)/2)*CM20+(1-EXP(-LN(2)/2))/(LN(2)/2)*CG21*CJ21*VLOOKUP('Données projet'!$B$12,Paramètres!$A$1:$I$89,3,0)*0.475*44/12</f>
        <v>2.7867202482502678</v>
      </c>
      <c r="CN21" s="22">
        <f t="shared" si="12"/>
        <v>4.7093396057133523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345.86521542740547</v>
      </c>
      <c r="S22" s="59">
        <f ca="1">AVERAGE(OFFSET($R$3,0,0,'Données projet'!$E$9+1,1))-AVERAGE(OFFSET($H$3,0,0,'Données projet'!$E$9+1,1))</f>
        <v>237.64646718446005</v>
      </c>
      <c r="T22" s="59">
        <f t="shared" si="34"/>
        <v>156.67965022779907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25.604273960341793</v>
      </c>
      <c r="AK22" s="13">
        <f t="shared" si="35"/>
        <v>8.0897846211934414</v>
      </c>
      <c r="AL22" s="20">
        <f t="shared" si="4"/>
        <v>58.683818696173859</v>
      </c>
      <c r="AM22" s="59">
        <f t="shared" si="5"/>
        <v>352.0171520295072</v>
      </c>
      <c r="AN22" s="59">
        <f ca="1">AVERAGE(OFFSET($AM$3,0,0,'Données projet'!$E$10+1,1))-AVERAGE(OFFSET($H$3,0,0,'Données projet'!$E$10+1,1))</f>
        <v>272.93635583300755</v>
      </c>
      <c r="AO22" s="59">
        <f t="shared" si="36"/>
        <v>179.56041631665812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226.0452828290525</v>
      </c>
      <c r="BJ22" s="59">
        <f t="shared" si="38"/>
        <v>179.89696397462069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415.54321006216128</v>
      </c>
      <c r="CD22" s="59">
        <f ca="1">AVERAGE(OFFSET($CC$3,0,0,'Données projet'!$E$12+1,1))-AVERAGE(OFFSET($H$3,0,0,'Données projet'!$E$12+1,1))</f>
        <v>219.43439115440339</v>
      </c>
      <c r="CE22" s="59">
        <f t="shared" si="40"/>
        <v>217.8880462742099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1.8700452300270984</v>
      </c>
      <c r="CM22" s="21">
        <f>EXP(-LN(2)/2)*CM21+(1-EXP(-LN(2)/2))/(LN(2)/2)*CG22*CJ22*VLOOKUP('Données projet'!$B$12,Paramètres!$A$1:$I$89,3,0)*0.475*44/12</f>
        <v>1.9705087848076237</v>
      </c>
      <c r="CN22" s="22">
        <f t="shared" si="12"/>
        <v>3.8405540148347219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355.3001196207008</v>
      </c>
      <c r="S23" s="59">
        <f ca="1">AVERAGE(OFFSET($R$3,0,0,'Données projet'!$E$9+1,1))-AVERAGE(OFFSET($H$3,0,0,'Données projet'!$E$9+1,1))</f>
        <v>237.64646718446005</v>
      </c>
      <c r="T23" s="59">
        <f t="shared" si="34"/>
        <v>156.67965022779907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30.347043486557379</v>
      </c>
      <c r="AK23" s="13">
        <f t="shared" si="35"/>
        <v>9.4004816159909641</v>
      </c>
      <c r="AL23" s="20">
        <f t="shared" si="4"/>
        <v>69.226939553605035</v>
      </c>
      <c r="AM23" s="59">
        <f t="shared" si="5"/>
        <v>362.56027288693838</v>
      </c>
      <c r="AN23" s="59">
        <f ca="1">AVERAGE(OFFSET($AM$3,0,0,'Données projet'!$E$10+1,1))-AVERAGE(OFFSET($H$3,0,0,'Données projet'!$E$10+1,1))</f>
        <v>272.93635583300755</v>
      </c>
      <c r="AO23" s="59">
        <f t="shared" si="36"/>
        <v>179.56041631665812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226.0452828290525</v>
      </c>
      <c r="BJ23" s="59">
        <f t="shared" si="38"/>
        <v>179.89696397462069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39.5</v>
      </c>
      <c r="BM23" s="16">
        <f>IF(ISNA(VLOOKUP(A23,'Données projet'!$A$87:$I$107,5,0)),0%,VLOOKUP(A23,'Données projet'!$A$87:$I$107,5,0)*VLOOKUP('Données projet'!$B$11,Paramètres!$A$1:$I$89,7,0))</f>
        <v>0.11000000000000001</v>
      </c>
      <c r="BN23" s="16">
        <f>IF(ISNA(VLOOKUP(A23,'Données projet'!$A$87:$I$107,6,0)),0%,VLOOKUP(A23,'Données projet'!$A$87:$I$107,6,0)*VLOOKUP('Données projet'!$B$11,Paramètres!$A$1:$I$89,7,0))</f>
        <v>0.11000000000000001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2.6975157575580879</v>
      </c>
      <c r="BQ23" s="21">
        <f>EXP(-LN(2)/25)*BQ22+(1-EXP(-LN(2)/25))/(LN(2)/25)*Calculateur!BL23*Calculateur!BN23*VLOOKUP('Données projet'!$B$11,Paramètres!$A$1:$I$89,3,0)*0.475*44/12</f>
        <v>2.686894610186497</v>
      </c>
      <c r="BR23" s="21">
        <f>EXP(-LN(2)/2)*BR22+(1-EXP(-LN(2)/2))/(LN(2)/2)*BL23*BO23*VLOOKUP('Données projet'!$B$11,Paramètres!$A$1:$I$89,3,0)*0.475*44/12</f>
        <v>12.558267751244545</v>
      </c>
      <c r="BS23" s="22">
        <f t="shared" si="9"/>
        <v>17.942678118989129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435.689164940159</v>
      </c>
      <c r="CD23" s="59">
        <f ca="1">AVERAGE(OFFSET($CC$3,0,0,'Données projet'!$E$12+1,1))-AVERAGE(OFFSET($H$3,0,0,'Données projet'!$E$12+1,1))</f>
        <v>219.43439115440339</v>
      </c>
      <c r="CE23" s="59">
        <f t="shared" si="40"/>
        <v>217.8880462742099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0.10600000000000001</v>
      </c>
      <c r="CI23" s="16">
        <f>IF(ISNA(VLOOKUP(A23,'Données projet'!$A$113:$I$133,6,0)),0%,VLOOKUP(A23,'Données projet'!$A$113:$I$133,6,0)*VLOOKUP('Données projet'!$B$12,Paramètres!$A$1:$I$89,7,0))</f>
        <v>0.10600000000000001</v>
      </c>
      <c r="CJ23" s="16">
        <f>IF(ISNA(VLOOKUP(A23,'Données projet'!$A$113:$I$133,7,0)),0%,VLOOKUP(A23,'Données projet'!$A$113:$I$133,7,0))</f>
        <v>0.6</v>
      </c>
      <c r="CK23" s="21">
        <f>EXP(-LN(2)/35)*CK22+(1-EXP(-LN(2)/35))/(LN(2)/35)*CG23*CH23*VLOOKUP('Données projet'!$B$12,Paramètres!$A$1:$I$89,3,0)*0.475*44/12</f>
        <v>2.6103923103826401</v>
      </c>
      <c r="CL23" s="21">
        <f>EXP(-LN(2)/25)*CL22+(1-EXP(-LN(2)/25))/(LN(2)/25)*Calculateur!CG23*Calculateur!CI23*VLOOKUP('Données projet'!$B$12,Paramètres!$A$1:$I$89,3,0)*0.475*44/12</f>
        <v>4.419022946089818</v>
      </c>
      <c r="CM23" s="21">
        <f>EXP(-LN(2)/2)*CM22+(1-EXP(-LN(2)/2))/(LN(2)/2)*CG23*CJ23*VLOOKUP('Données projet'!$B$12,Paramètres!$A$1:$I$89,3,0)*0.475*44/12</f>
        <v>14.004616346893924</v>
      </c>
      <c r="CN23" s="22">
        <f t="shared" si="12"/>
        <v>21.03403160336638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366.4347654452813</v>
      </c>
      <c r="S24" s="59">
        <f ca="1">AVERAGE(OFFSET($R$3,0,0,'Données projet'!$E$9+1,1))-AVERAGE(OFFSET($H$3,0,0,'Données projet'!$E$9+1,1))</f>
        <v>237.64646718446005</v>
      </c>
      <c r="T24" s="59">
        <f t="shared" si="34"/>
        <v>156.67965022779907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35.968332857297341</v>
      </c>
      <c r="AK24" s="13">
        <f t="shared" si="35"/>
        <v>10.923536132355956</v>
      </c>
      <c r="AL24" s="20">
        <f t="shared" si="4"/>
        <v>81.670005156979485</v>
      </c>
      <c r="AM24" s="59">
        <f t="shared" si="5"/>
        <v>375.00333849031279</v>
      </c>
      <c r="AN24" s="59">
        <f ca="1">AVERAGE(OFFSET($AM$3,0,0,'Données projet'!$E$10+1,1))-AVERAGE(OFFSET($H$3,0,0,'Données projet'!$E$10+1,1))</f>
        <v>272.93635583300755</v>
      </c>
      <c r="AO24" s="59">
        <f t="shared" si="36"/>
        <v>179.56041631665812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127.69999999999999</v>
      </c>
      <c r="BE24" s="13">
        <f>BD24*VLOOKUP('Données projet'!$B$11,Paramètres!$A$1:$I$89,3,0)*VLOOKUP('Données projet'!$B$11,Paramètres!$A$1:$I$89,5,0)</f>
        <v>59.763599999999997</v>
      </c>
      <c r="BF24" s="13">
        <f t="shared" si="37"/>
        <v>17.108485949725164</v>
      </c>
      <c r="BG24" s="20">
        <f t="shared" si="7"/>
        <v>133.88554969577129</v>
      </c>
      <c r="BH24" s="59">
        <f t="shared" si="8"/>
        <v>427.21888302910463</v>
      </c>
      <c r="BI24" s="59">
        <f ca="1">AVERAGE(OFFSET($BH$3,0,0,'Données projet'!$E$11+1,1))-AVERAGE(OFFSET($H$3,0,0,'Données projet'!$E$11+1,1))</f>
        <v>226.0452828290525</v>
      </c>
      <c r="BJ24" s="59">
        <f t="shared" si="38"/>
        <v>179.89696397462069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2.6446191188745241</v>
      </c>
      <c r="BQ24" s="21">
        <f>EXP(-LN(2)/25)*BQ23+(1-EXP(-LN(2)/25))/(LN(2)/25)*Calculateur!BL24*Calculateur!BN24*VLOOKUP('Données projet'!$B$11,Paramètres!$A$1:$I$89,3,0)*0.475*44/12</f>
        <v>2.6134213357733005</v>
      </c>
      <c r="BR24" s="21">
        <f>EXP(-LN(2)/2)*BR23+(1-EXP(-LN(2)/2))/(LN(2)/2)*BL24*BO24*VLOOKUP('Données projet'!$B$11,Paramètres!$A$1:$I$89,3,0)*0.475*44/12</f>
        <v>8.8800362868613529</v>
      </c>
      <c r="BS24" s="22">
        <f t="shared" si="9"/>
        <v>14.138076741509177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408.92670698014001</v>
      </c>
      <c r="CD24" s="59">
        <f ca="1">AVERAGE(OFFSET($CC$3,0,0,'Données projet'!$E$12+1,1))-AVERAGE(OFFSET($H$3,0,0,'Données projet'!$E$12+1,1))</f>
        <v>219.43439115440339</v>
      </c>
      <c r="CE24" s="59">
        <f t="shared" si="40"/>
        <v>217.8880462742099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2.5592041093581308</v>
      </c>
      <c r="CL24" s="21">
        <f>EXP(-LN(2)/25)*CL23+(1-EXP(-LN(2)/25))/(LN(2)/25)*Calculateur!CG24*Calculateur!CI24*VLOOKUP('Données projet'!$B$12,Paramètres!$A$1:$I$89,3,0)*0.475*44/12</f>
        <v>4.2981845312426747</v>
      </c>
      <c r="CM24" s="21">
        <f>EXP(-LN(2)/2)*CM23+(1-EXP(-LN(2)/2))/(LN(2)/2)*CG24*CJ24*VLOOKUP('Données projet'!$B$12,Paramètres!$A$1:$I$89,3,0)*0.475*44/12</f>
        <v>9.9027591868046692</v>
      </c>
      <c r="CN24" s="22">
        <f t="shared" si="12"/>
        <v>16.760147827405476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379.57623826604487</v>
      </c>
      <c r="S25" s="59">
        <f ca="1">AVERAGE(OFFSET($R$3,0,0,'Données projet'!$E$9+1,1))-AVERAGE(OFFSET($H$3,0,0,'Données projet'!$E$9+1,1))</f>
        <v>237.64646718446005</v>
      </c>
      <c r="T25" s="59">
        <f t="shared" si="34"/>
        <v>156.67965022779907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42.630873386608698</v>
      </c>
      <c r="AK25" s="13">
        <f t="shared" si="35"/>
        <v>12.693354075806836</v>
      </c>
      <c r="AL25" s="20">
        <f t="shared" si="4"/>
        <v>96.356362830373712</v>
      </c>
      <c r="AM25" s="59">
        <f t="shared" si="5"/>
        <v>389.68969616370703</v>
      </c>
      <c r="AN25" s="59">
        <f ca="1">AVERAGE(OFFSET($AM$3,0,0,'Données projet'!$E$10+1,1))-AVERAGE(OFFSET($H$3,0,0,'Données projet'!$E$10+1,1))</f>
        <v>272.93635583300755</v>
      </c>
      <c r="AO25" s="59">
        <f t="shared" si="36"/>
        <v>179.56041631665812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136.89999999999998</v>
      </c>
      <c r="BE25" s="13">
        <f>BD25*VLOOKUP('Données projet'!$B$11,Paramètres!$A$1:$I$89,3,0)*VLOOKUP('Données projet'!$B$11,Paramètres!$A$1:$I$89,5,0)</f>
        <v>64.069199999999995</v>
      </c>
      <c r="BF25" s="13">
        <f t="shared" si="37"/>
        <v>18.193128517714101</v>
      </c>
      <c r="BG25" s="20">
        <f t="shared" si="7"/>
        <v>143.27355550168537</v>
      </c>
      <c r="BH25" s="59">
        <f t="shared" si="8"/>
        <v>436.60688883501871</v>
      </c>
      <c r="BI25" s="59">
        <f ca="1">AVERAGE(OFFSET($BH$3,0,0,'Données projet'!$E$11+1,1))-AVERAGE(OFFSET($H$3,0,0,'Données projet'!$E$11+1,1))</f>
        <v>226.0452828290525</v>
      </c>
      <c r="BJ25" s="59">
        <f t="shared" si="38"/>
        <v>179.89696397462069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2.5927597510117808</v>
      </c>
      <c r="BQ25" s="21">
        <f>EXP(-LN(2)/25)*BQ24+(1-EXP(-LN(2)/25))/(LN(2)/25)*Calculateur!BL25*Calculateur!BN25*VLOOKUP('Données projet'!$B$11,Paramètres!$A$1:$I$89,3,0)*0.475*44/12</f>
        <v>2.5419571919127244</v>
      </c>
      <c r="BR25" s="21">
        <f>EXP(-LN(2)/2)*BR24+(1-EXP(-LN(2)/2))/(LN(2)/2)*BL25*BO25*VLOOKUP('Données projet'!$B$11,Paramètres!$A$1:$I$89,3,0)*0.475*44/12</f>
        <v>6.2791338756222732</v>
      </c>
      <c r="BS25" s="22">
        <f t="shared" si="9"/>
        <v>11.413850818546779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430.83304006554124</v>
      </c>
      <c r="CD25" s="59">
        <f ca="1">AVERAGE(OFFSET($CC$3,0,0,'Données projet'!$E$12+1,1))-AVERAGE(OFFSET($H$3,0,0,'Données projet'!$E$12+1,1))</f>
        <v>219.43439115440339</v>
      </c>
      <c r="CE25" s="59">
        <f t="shared" si="40"/>
        <v>217.8880462742099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2.5090196777339924</v>
      </c>
      <c r="CL25" s="21">
        <f>EXP(-LN(2)/25)*CL24+(1-EXP(-LN(2)/25))/(LN(2)/25)*Calculateur!CG25*Calculateur!CI25*VLOOKUP('Données projet'!$B$12,Paramètres!$A$1:$I$89,3,0)*0.475*44/12</f>
        <v>4.1806504492041432</v>
      </c>
      <c r="CM25" s="21">
        <f>EXP(-LN(2)/2)*CM24+(1-EXP(-LN(2)/2))/(LN(2)/2)*CG25*CJ25*VLOOKUP('Données projet'!$B$12,Paramètres!$A$1:$I$89,3,0)*0.475*44/12</f>
        <v>7.0023081734469628</v>
      </c>
      <c r="CN25" s="22">
        <f t="shared" si="12"/>
        <v>13.691978300385099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395.08724807566489</v>
      </c>
      <c r="S26" s="59">
        <f ca="1">AVERAGE(OFFSET($R$3,0,0,'Données projet'!$E$9+1,1))-AVERAGE(OFFSET($H$3,0,0,'Données projet'!$E$9+1,1))</f>
        <v>237.64646718446005</v>
      </c>
      <c r="T26" s="59">
        <f t="shared" si="34"/>
        <v>156.67965022779907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50.527539680959798</v>
      </c>
      <c r="AK26" s="13">
        <f t="shared" si="35"/>
        <v>14.749915754528818</v>
      </c>
      <c r="AL26" s="20">
        <f t="shared" si="4"/>
        <v>113.69156821680933</v>
      </c>
      <c r="AM26" s="59">
        <f t="shared" si="5"/>
        <v>407.02490155014266</v>
      </c>
      <c r="AN26" s="59">
        <f ca="1">AVERAGE(OFFSET($AM$3,0,0,'Données projet'!$E$10+1,1))-AVERAGE(OFFSET($H$3,0,0,'Données projet'!$E$10+1,1))</f>
        <v>272.93635583300755</v>
      </c>
      <c r="AO26" s="59">
        <f t="shared" si="36"/>
        <v>179.56041631665812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146.09999999999997</v>
      </c>
      <c r="BE26" s="13">
        <f>BD26*VLOOKUP('Données projet'!$B$11,Paramètres!$A$1:$I$89,3,0)*VLOOKUP('Données projet'!$B$11,Paramètres!$A$1:$I$89,5,0)</f>
        <v>68.374799999999979</v>
      </c>
      <c r="BF26" s="13">
        <f t="shared" si="37"/>
        <v>19.269313009600907</v>
      </c>
      <c r="BG26" s="20">
        <f t="shared" si="7"/>
        <v>152.64683015838821</v>
      </c>
      <c r="BH26" s="59">
        <f t="shared" si="8"/>
        <v>445.98016349172156</v>
      </c>
      <c r="BI26" s="59">
        <f ca="1">AVERAGE(OFFSET($BH$3,0,0,'Données projet'!$E$11+1,1))-AVERAGE(OFFSET($H$3,0,0,'Données projet'!$E$11+1,1))</f>
        <v>226.0452828290525</v>
      </c>
      <c r="BJ26" s="59">
        <f t="shared" si="38"/>
        <v>179.89696397462069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2.541917313721735</v>
      </c>
      <c r="BQ26" s="21">
        <f>EXP(-LN(2)/25)*BQ25+(1-EXP(-LN(2)/25))/(LN(2)/25)*Calculateur!BL26*Calculateur!BN26*VLOOKUP('Données projet'!$B$11,Paramètres!$A$1:$I$89,3,0)*0.475*44/12</f>
        <v>2.4724472388241518</v>
      </c>
      <c r="BR26" s="21">
        <f>EXP(-LN(2)/2)*BR25+(1-EXP(-LN(2)/2))/(LN(2)/2)*BL26*BO26*VLOOKUP('Données projet'!$B$11,Paramètres!$A$1:$I$89,3,0)*0.475*44/12</f>
        <v>4.4400181434306774</v>
      </c>
      <c r="BS26" s="22">
        <f t="shared" si="9"/>
        <v>9.4543826959765642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452.65529504095446</v>
      </c>
      <c r="CD26" s="59">
        <f ca="1">AVERAGE(OFFSET($CC$3,0,0,'Données projet'!$E$12+1,1))-AVERAGE(OFFSET($H$3,0,0,'Données projet'!$E$12+1,1))</f>
        <v>219.43439115440339</v>
      </c>
      <c r="CE26" s="59">
        <f t="shared" si="40"/>
        <v>217.8880462742099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2.4598193322045225</v>
      </c>
      <c r="CL26" s="21">
        <f>EXP(-LN(2)/25)*CL25+(1-EXP(-LN(2)/25))/(LN(2)/25)*Calculateur!CG26*Calculateur!CI26*VLOOKUP('Données projet'!$B$12,Paramètres!$A$1:$I$89,3,0)*0.475*44/12</f>
        <v>4.0663303428198034</v>
      </c>
      <c r="CM26" s="21">
        <f>EXP(-LN(2)/2)*CM25+(1-EXP(-LN(2)/2))/(LN(2)/2)*CG26*CJ26*VLOOKUP('Données projet'!$B$12,Paramètres!$A$1:$I$89,3,0)*0.475*44/12</f>
        <v>4.9513795934023355</v>
      </c>
      <c r="CN26" s="22">
        <f t="shared" si="12"/>
        <v>11.477529268426661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413.39622924071466</v>
      </c>
      <c r="S27" s="59">
        <f ca="1">AVERAGE(OFFSET($R$3,0,0,'Données projet'!$E$9+1,1))-AVERAGE(OFFSET($H$3,0,0,'Données projet'!$E$9+1,1))</f>
        <v>237.64646718446005</v>
      </c>
      <c r="T27" s="59">
        <f t="shared" si="34"/>
        <v>156.67965022779907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59.886933187086214</v>
      </c>
      <c r="AK27" s="13">
        <f t="shared" si="35"/>
        <v>17.139679037265701</v>
      </c>
      <c r="AL27" s="20">
        <f t="shared" si="4"/>
        <v>134.15468295741289</v>
      </c>
      <c r="AM27" s="59">
        <f t="shared" si="5"/>
        <v>427.4880162907462</v>
      </c>
      <c r="AN27" s="59">
        <f ca="1">AVERAGE(OFFSET($AM$3,0,0,'Données projet'!$E$10+1,1))-AVERAGE(OFFSET($H$3,0,0,'Données projet'!$E$10+1,1))</f>
        <v>272.93635583300755</v>
      </c>
      <c r="AO27" s="59">
        <f t="shared" si="36"/>
        <v>179.56041631665812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155.29999999999995</v>
      </c>
      <c r="BE27" s="13">
        <f>BD27*VLOOKUP('Données projet'!$B$11,Paramètres!$A$1:$I$89,3,0)*VLOOKUP('Données projet'!$B$11,Paramètres!$A$1:$I$89,5,0)</f>
        <v>72.680399999999977</v>
      </c>
      <c r="BF27" s="13">
        <f t="shared" si="37"/>
        <v>20.337632665681216</v>
      </c>
      <c r="BG27" s="20">
        <f t="shared" si="7"/>
        <v>162.00640689272805</v>
      </c>
      <c r="BH27" s="59">
        <f t="shared" si="8"/>
        <v>455.33974022606139</v>
      </c>
      <c r="BI27" s="59">
        <f ca="1">AVERAGE(OFFSET($BH$3,0,0,'Données projet'!$E$11+1,1))-AVERAGE(OFFSET($H$3,0,0,'Données projet'!$E$11+1,1))</f>
        <v>226.0452828290525</v>
      </c>
      <c r="BJ27" s="59">
        <f t="shared" si="38"/>
        <v>179.89696397462069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2.492071865616122</v>
      </c>
      <c r="BQ27" s="21">
        <f>EXP(-LN(2)/25)*BQ26+(1-EXP(-LN(2)/25))/(LN(2)/25)*Calculateur!BL27*Calculateur!BN27*VLOOKUP('Données projet'!$B$11,Paramètres!$A$1:$I$89,3,0)*0.475*44/12</f>
        <v>2.4048380390581561</v>
      </c>
      <c r="BR27" s="21">
        <f>EXP(-LN(2)/2)*BR26+(1-EXP(-LN(2)/2))/(LN(2)/2)*BL27*BO27*VLOOKUP('Données projet'!$B$11,Paramètres!$A$1:$I$89,3,0)*0.475*44/12</f>
        <v>3.139566937811137</v>
      </c>
      <c r="BS27" s="22">
        <f t="shared" si="9"/>
        <v>8.0364768424854152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474.40662856938241</v>
      </c>
      <c r="CD27" s="59">
        <f ca="1">AVERAGE(OFFSET($CC$3,0,0,'Données projet'!$E$12+1,1))-AVERAGE(OFFSET($H$3,0,0,'Données projet'!$E$12+1,1))</f>
        <v>219.43439115440339</v>
      </c>
      <c r="CE27" s="59">
        <f t="shared" si="40"/>
        <v>217.8880462742099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2.4115837754416383</v>
      </c>
      <c r="CL27" s="21">
        <f>EXP(-LN(2)/25)*CL26+(1-EXP(-LN(2)/25))/(LN(2)/25)*Calculateur!CG27*Calculateur!CI27*VLOOKUP('Données projet'!$B$12,Paramètres!$A$1:$I$89,3,0)*0.475*44/12</f>
        <v>3.955136325756377</v>
      </c>
      <c r="CM27" s="21">
        <f>EXP(-LN(2)/2)*CM26+(1-EXP(-LN(2)/2))/(LN(2)/2)*CG27*CJ27*VLOOKUP('Données projet'!$B$12,Paramètres!$A$1:$I$89,3,0)*0.475*44/12</f>
        <v>3.5011540867234823</v>
      </c>
      <c r="CN27" s="22">
        <f t="shared" si="12"/>
        <v>9.8678741879214975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435.00927803996467</v>
      </c>
      <c r="S28" s="59">
        <f ca="1">AVERAGE(OFFSET($R$3,0,0,'Données projet'!$E$9+1,1))-AVERAGE(OFFSET($H$3,0,0,'Données projet'!$E$9+1,1))</f>
        <v>237.64646718446005</v>
      </c>
      <c r="T28" s="59">
        <f t="shared" si="34"/>
        <v>156.67965022779907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8.6000000000000007E-2</v>
      </c>
      <c r="X28" s="16">
        <f>IF(ISNA(VLOOKUP(A28,'Données projet'!$A$35:$I$55,6,0)),0%,VLOOKUP(A28,'Données projet'!$A$35:$I$55,6,0)*VLOOKUP('Données projet'!$B$9,Paramètres!$A$1:$I$89,7,0))</f>
        <v>8.6000000000000007E-2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0.68815796438817234</v>
      </c>
      <c r="AA28" s="21">
        <f>EXP(-LN(2)/25)*AA27+(1-EXP(-LN(2)/25))/(LN(2)/25)*Calculateur!V28*Calculateur!X28*VLOOKUP('Données projet'!$B$9,Paramètres!$A$1:$I$89,3,0)*0.475*44/12</f>
        <v>0.68544842427363495</v>
      </c>
      <c r="AB28" s="21">
        <f>EXP(-LN(2)/2)*AB27+(1-EXP(-LN(2)/2))/(LN(2)/2)*V28*Y28*VLOOKUP('Données projet'!$B$9,Paramètres!$A$1:$I$89,3,0)*0.475*44/12</f>
        <v>4.0977751312077837</v>
      </c>
      <c r="AC28" s="22">
        <f t="shared" si="3"/>
        <v>5.471381519869591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451.64496189589238</v>
      </c>
      <c r="AN28" s="59">
        <f ca="1">AVERAGE(OFFSET($AM$3,0,0,'Données projet'!$E$10+1,1))-AVERAGE(OFFSET($H$3,0,0,'Données projet'!$E$10+1,1))</f>
        <v>272.93635583300755</v>
      </c>
      <c r="AO28" s="59">
        <f t="shared" si="36"/>
        <v>179.56041631665812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8.6000000000000007E-2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0.77121151181433112</v>
      </c>
      <c r="AV28" s="21">
        <f>EXP(-LN(2)/25)*AV27+(1-EXP(-LN(2)/25))/(LN(2)/25)*Calculateur!AQ28*Calculateur!AS28*VLOOKUP('Données projet'!$B$10,Paramètres!$A$1:$I$89,3,0)*0.475*44/12</f>
        <v>0.76817495823769422</v>
      </c>
      <c r="AW28" s="21">
        <f>EXP(-LN(2)/2)*AW27+(1-EXP(-LN(2)/2))/(LN(2)/2)*AQ28*AT28*VLOOKUP('Données projet'!$B$10,Paramètres!$A$1:$I$89,3,0)*0.475*44/12</f>
        <v>4.5923341987673458</v>
      </c>
      <c r="AX28" s="21">
        <f t="shared" si="6"/>
        <v>6.1317206688193711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164.49999999999994</v>
      </c>
      <c r="BE28" s="13">
        <f>BD28*VLOOKUP('Données projet'!$B$11,Paramètres!$A$1:$I$89,3,0)*VLOOKUP('Données projet'!$B$11,Paramètres!$A$1:$I$89,5,0)</f>
        <v>76.985999999999976</v>
      </c>
      <c r="BF28" s="13">
        <f t="shared" si="37"/>
        <v>21.398606468170591</v>
      </c>
      <c r="BG28" s="20">
        <f t="shared" si="7"/>
        <v>171.35318959873041</v>
      </c>
      <c r="BH28" s="59">
        <f t="shared" si="8"/>
        <v>464.68652293206372</v>
      </c>
      <c r="BI28" s="59">
        <f ca="1">AVERAGE(OFFSET($BH$3,0,0,'Données projet'!$E$11+1,1))-AVERAGE(OFFSET($H$3,0,0,'Données projet'!$E$11+1,1))</f>
        <v>226.0452828290525</v>
      </c>
      <c r="BJ28" s="59">
        <f t="shared" si="38"/>
        <v>179.89696397462069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2.4432038563451388</v>
      </c>
      <c r="BQ28" s="21">
        <f>EXP(-LN(2)/25)*BQ27+(1-EXP(-LN(2)/25))/(LN(2)/25)*Calculateur!BL28*Calculateur!BN28*VLOOKUP('Données projet'!$B$11,Paramètres!$A$1:$I$89,3,0)*0.475*44/12</f>
        <v>2.3390776164151745</v>
      </c>
      <c r="BR28" s="21">
        <f>EXP(-LN(2)/2)*BR27+(1-EXP(-LN(2)/2))/(LN(2)/2)*BL28*BO28*VLOOKUP('Données projet'!$B$11,Paramètres!$A$1:$I$89,3,0)*0.475*44/12</f>
        <v>2.2200090717153387</v>
      </c>
      <c r="BS28" s="22">
        <f t="shared" si="9"/>
        <v>7.0022905444756525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496.09676608956136</v>
      </c>
      <c r="CD28" s="59">
        <f ca="1">AVERAGE(OFFSET($CC$3,0,0,'Données projet'!$E$12+1,1))-AVERAGE(OFFSET($H$3,0,0,'Données projet'!$E$12+1,1))</f>
        <v>219.43439115440339</v>
      </c>
      <c r="CE28" s="59">
        <f t="shared" si="40"/>
        <v>217.8880462742099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0.10600000000000001</v>
      </c>
      <c r="CI28" s="16">
        <f>IF(ISNA(VLOOKUP(A28,'Données projet'!$A$113:$I$133,6,0)),0%,VLOOKUP(A28,'Données projet'!$A$113:$I$133,6,0)*VLOOKUP('Données projet'!$B$12,Paramètres!$A$1:$I$89,7,0))</f>
        <v>0.10600000000000001</v>
      </c>
      <c r="CJ28" s="16">
        <f>IF(ISNA(VLOOKUP(A28,'Données projet'!$A$113:$I$133,7,0)),0%,VLOOKUP(A28,'Données projet'!$A$113:$I$133,7,0))</f>
        <v>0.6</v>
      </c>
      <c r="CK28" s="21">
        <f>EXP(-LN(2)/35)*CK27+(1-EXP(-LN(2)/35))/(LN(2)/35)*CG28*CH28*VLOOKUP('Données projet'!$B$12,Paramètres!$A$1:$I$89,3,0)*0.475*44/12</f>
        <v>4.9746863989087293</v>
      </c>
      <c r="CL28" s="21">
        <f>EXP(-LN(2)/25)*CL27+(1-EXP(-LN(2)/25))/(LN(2)/25)*Calculateur!CG28*Calculateur!CI28*VLOOKUP('Données projet'!$B$12,Paramètres!$A$1:$I$89,3,0)*0.475*44/12</f>
        <v>6.4470971161562041</v>
      </c>
      <c r="CM28" s="21">
        <f>EXP(-LN(2)/2)*CM27+(1-EXP(-LN(2)/2))/(LN(2)/2)*CG28*CJ28*VLOOKUP('Données projet'!$B$12,Paramètres!$A$1:$I$89,3,0)*0.475*44/12</f>
        <v>15.086946019469957</v>
      </c>
      <c r="CN28" s="22">
        <f t="shared" si="12"/>
        <v>26.508729534534893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433.03716177838555</v>
      </c>
      <c r="S29" s="59">
        <f ca="1">AVERAGE(OFFSET($R$3,0,0,'Données projet'!$E$9+1,1))-AVERAGE(OFFSET($H$3,0,0,'Données projet'!$E$9+1,1))</f>
        <v>237.64646718446005</v>
      </c>
      <c r="T29" s="59">
        <f t="shared" si="34"/>
        <v>156.67965022779907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0.67466360644143319</v>
      </c>
      <c r="AA29" s="21">
        <f>EXP(-LN(2)/25)*AA28+(1-EXP(-LN(2)/25))/(LN(2)/25)*Calculateur!V29*Calculateur!X29*VLOOKUP('Données projet'!$B$9,Paramètres!$A$1:$I$89,3,0)*0.475*44/12</f>
        <v>0.6667048010657064</v>
      </c>
      <c r="AB29" s="21">
        <f>EXP(-LN(2)/2)*AB28+(1-EXP(-LN(2)/2))/(LN(2)/2)*V29*Y29*VLOOKUP('Données projet'!$B$9,Paramètres!$A$1:$I$89,3,0)*0.475*44/12</f>
        <v>2.8975645830546184</v>
      </c>
      <c r="AC29" s="22">
        <f t="shared" si="3"/>
        <v>4.2389329905617581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449.44068260231313</v>
      </c>
      <c r="AN29" s="59">
        <f ca="1">AVERAGE(OFFSET($AM$3,0,0,'Données projet'!$E$10+1,1))-AVERAGE(OFFSET($H$3,0,0,'Données projet'!$E$10+1,1))</f>
        <v>272.93635583300755</v>
      </c>
      <c r="AO29" s="59">
        <f t="shared" si="36"/>
        <v>179.56041631665812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0.7560885244602269</v>
      </c>
      <c r="AV29" s="21">
        <f>EXP(-LN(2)/25)*AV28+(1-EXP(-LN(2)/25))/(LN(2)/25)*Calculateur!AQ29*Calculateur!AS29*VLOOKUP('Données projet'!$B$10,Paramètres!$A$1:$I$89,3,0)*0.475*44/12</f>
        <v>0.74716917360811907</v>
      </c>
      <c r="AW29" s="21">
        <f>EXP(-LN(2)/2)*AW28+(1-EXP(-LN(2)/2))/(LN(2)/2)*AQ29*AT29*VLOOKUP('Données projet'!$B$10,Paramètres!$A$1:$I$89,3,0)*0.475*44/12</f>
        <v>3.2472706534232807</v>
      </c>
      <c r="AX29" s="21">
        <f t="shared" si="6"/>
        <v>4.7505283514916261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173.69999999999993</v>
      </c>
      <c r="BE29" s="13">
        <f>BD29*VLOOKUP('Données projet'!$B$11,Paramètres!$A$1:$I$89,3,0)*VLOOKUP('Données projet'!$B$11,Paramètres!$A$1:$I$89,5,0)</f>
        <v>81.291599999999974</v>
      </c>
      <c r="BF29" s="13">
        <f t="shared" si="37"/>
        <v>22.452692070336486</v>
      </c>
      <c r="BG29" s="20">
        <f t="shared" si="7"/>
        <v>180.68797535583599</v>
      </c>
      <c r="BH29" s="59">
        <f t="shared" si="8"/>
        <v>474.0213086891693</v>
      </c>
      <c r="BI29" s="59">
        <f ca="1">AVERAGE(OFFSET($BH$3,0,0,'Données projet'!$E$11+1,1))-AVERAGE(OFFSET($H$3,0,0,'Données projet'!$E$11+1,1))</f>
        <v>226.0452828290525</v>
      </c>
      <c r="BJ29" s="59">
        <f t="shared" si="38"/>
        <v>179.89696397462069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2.3952941189294172</v>
      </c>
      <c r="BQ29" s="21">
        <f>EXP(-LN(2)/25)*BQ28+(1-EXP(-LN(2)/25))/(LN(2)/25)*Calculateur!BL29*Calculateur!BN29*VLOOKUP('Données projet'!$B$11,Paramètres!$A$1:$I$89,3,0)*0.475*44/12</f>
        <v>2.275115415987556</v>
      </c>
      <c r="BR29" s="21">
        <f>EXP(-LN(2)/2)*BR28+(1-EXP(-LN(2)/2))/(LN(2)/2)*BL29*BO29*VLOOKUP('Données projet'!$B$11,Paramètres!$A$1:$I$89,3,0)*0.475*44/12</f>
        <v>1.5697834689055685</v>
      </c>
      <c r="BS29" s="22">
        <f t="shared" si="9"/>
        <v>6.2401930038225419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468.19858172834711</v>
      </c>
      <c r="CD29" s="59">
        <f ca="1">AVERAGE(OFFSET($CC$3,0,0,'Données projet'!$E$12+1,1))-AVERAGE(OFFSET($H$3,0,0,'Données projet'!$E$12+1,1))</f>
        <v>219.43439115440339</v>
      </c>
      <c r="CE29" s="59">
        <f t="shared" si="40"/>
        <v>217.8880462742099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4.8771358328852239</v>
      </c>
      <c r="CL29" s="21">
        <f>EXP(-LN(2)/25)*CL28+(1-EXP(-LN(2)/25))/(LN(2)/25)*Calculateur!CG29*Calculateur!CI29*VLOOKUP('Données projet'!$B$12,Paramètres!$A$1:$I$89,3,0)*0.475*44/12</f>
        <v>6.2708009064768104</v>
      </c>
      <c r="CM29" s="21">
        <f>EXP(-LN(2)/2)*CM28+(1-EXP(-LN(2)/2))/(LN(2)/2)*CG29*CJ29*VLOOKUP('Données projet'!$B$12,Paramètres!$A$1:$I$89,3,0)*0.475*44/12</f>
        <v>10.668081837762598</v>
      </c>
      <c r="CN29" s="22">
        <f t="shared" si="12"/>
        <v>21.81601857712463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446.82850104024965</v>
      </c>
      <c r="S30" s="59">
        <f ca="1">AVERAGE(OFFSET($R$3,0,0,'Données projet'!$E$9+1,1))-AVERAGE(OFFSET($H$3,0,0,'Données projet'!$E$9+1,1))</f>
        <v>237.64646718446005</v>
      </c>
      <c r="T30" s="59">
        <f t="shared" si="34"/>
        <v>156.67965022779907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0.66143386462328391</v>
      </c>
      <c r="AA30" s="21">
        <f>EXP(-LN(2)/25)*AA29+(1-EXP(-LN(2)/25))/(LN(2)/25)*Calculateur!V30*Calculateur!X30*VLOOKUP('Données projet'!$B$9,Paramètres!$A$1:$I$89,3,0)*0.475*44/12</f>
        <v>0.6484737232200829</v>
      </c>
      <c r="AB30" s="21">
        <f>EXP(-LN(2)/2)*AB29+(1-EXP(-LN(2)/2))/(LN(2)/2)*V30*Y30*VLOOKUP('Données projet'!$B$9,Paramètres!$A$1:$I$89,3,0)*0.475*44/12</f>
        <v>2.0488875656038918</v>
      </c>
      <c r="AC30" s="22">
        <f t="shared" si="3"/>
        <v>3.3587951534472587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464.85573580846426</v>
      </c>
      <c r="AN30" s="59">
        <f ca="1">AVERAGE(OFFSET($AM$3,0,0,'Données projet'!$E$10+1,1))-AVERAGE(OFFSET($H$3,0,0,'Données projet'!$E$10+1,1))</f>
        <v>272.93635583300755</v>
      </c>
      <c r="AO30" s="59">
        <f t="shared" si="36"/>
        <v>179.56041631665812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0.74126208966402518</v>
      </c>
      <c r="AV30" s="21">
        <f>EXP(-LN(2)/25)*AV29+(1-EXP(-LN(2)/25))/(LN(2)/25)*Calculateur!AQ30*Calculateur!AS30*VLOOKUP('Données projet'!$B$10,Paramètres!$A$1:$I$89,3,0)*0.475*44/12</f>
        <v>0.72673779326388588</v>
      </c>
      <c r="AW30" s="21">
        <f>EXP(-LN(2)/2)*AW29+(1-EXP(-LN(2)/2))/(LN(2)/2)*AQ30*AT30*VLOOKUP('Données projet'!$B$10,Paramètres!$A$1:$I$89,3,0)*0.475*44/12</f>
        <v>2.2961670993836729</v>
      </c>
      <c r="AX30" s="21">
        <f t="shared" si="6"/>
        <v>3.764166982311584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182.89999999999992</v>
      </c>
      <c r="BE30" s="13">
        <f>BD30*VLOOKUP('Données projet'!$B$11,Paramètres!$A$1:$I$89,3,0)*VLOOKUP('Données projet'!$B$11,Paramètres!$A$1:$I$89,5,0)</f>
        <v>85.597199999999958</v>
      </c>
      <c r="BF30" s="13">
        <f t="shared" si="37"/>
        <v>23.500295908287228</v>
      </c>
      <c r="BG30" s="20">
        <f t="shared" si="7"/>
        <v>190.01147204026685</v>
      </c>
      <c r="BH30" s="59">
        <f t="shared" si="8"/>
        <v>483.34480537360014</v>
      </c>
      <c r="BI30" s="59">
        <f ca="1">AVERAGE(OFFSET($BH$3,0,0,'Données projet'!$E$11+1,1))-AVERAGE(OFFSET($H$3,0,0,'Données projet'!$E$11+1,1))</f>
        <v>226.0452828290525</v>
      </c>
      <c r="BJ30" s="59">
        <f t="shared" si="38"/>
        <v>179.89696397462069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2.3483238622423634</v>
      </c>
      <c r="BQ30" s="21">
        <f>EXP(-LN(2)/25)*BQ29+(1-EXP(-LN(2)/25))/(LN(2)/25)*Calculateur!BL30*Calculateur!BN30*VLOOKUP('Données projet'!$B$11,Paramètres!$A$1:$I$89,3,0)*0.475*44/12</f>
        <v>2.2129022652942565</v>
      </c>
      <c r="BR30" s="21">
        <f>EXP(-LN(2)/2)*BR29+(1-EXP(-LN(2)/2))/(LN(2)/2)*BL30*BO30*VLOOKUP('Données projet'!$B$11,Paramètres!$A$1:$I$89,3,0)*0.475*44/12</f>
        <v>1.1100045358576693</v>
      </c>
      <c r="BS30" s="22">
        <f t="shared" si="9"/>
        <v>5.6712306633942893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488.52888068943241</v>
      </c>
      <c r="CD30" s="59">
        <f ca="1">AVERAGE(OFFSET($CC$3,0,0,'Données projet'!$E$12+1,1))-AVERAGE(OFFSET($H$3,0,0,'Données projet'!$E$12+1,1))</f>
        <v>219.43439115440339</v>
      </c>
      <c r="CE30" s="59">
        <f t="shared" si="40"/>
        <v>217.8880462742099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4.7814981739614693</v>
      </c>
      <c r="CL30" s="21">
        <f>EXP(-LN(2)/25)*CL29+(1-EXP(-LN(2)/25))/(LN(2)/25)*Calculateur!CG30*Calculateur!CI30*VLOOKUP('Données projet'!$B$12,Paramètres!$A$1:$I$89,3,0)*0.475*44/12</f>
        <v>6.0993255259221142</v>
      </c>
      <c r="CM30" s="21">
        <f>EXP(-LN(2)/2)*CM29+(1-EXP(-LN(2)/2))/(LN(2)/2)*CG30*CJ30*VLOOKUP('Données projet'!$B$12,Paramètres!$A$1:$I$89,3,0)*0.475*44/12</f>
        <v>7.5434730097349796</v>
      </c>
      <c r="CN30" s="22">
        <f t="shared" si="12"/>
        <v>18.424296709618563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460.59036088427666</v>
      </c>
      <c r="S31" s="59">
        <f ca="1">AVERAGE(OFFSET($R$3,0,0,'Données projet'!$E$9+1,1))-AVERAGE(OFFSET($H$3,0,0,'Données projet'!$E$9+1,1))</f>
        <v>237.64646718446005</v>
      </c>
      <c r="T31" s="59">
        <f t="shared" si="34"/>
        <v>156.67965022779907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0.64846354997284283</v>
      </c>
      <c r="AA31" s="21">
        <f>EXP(-LN(2)/25)*AA30+(1-EXP(-LN(2)/25))/(LN(2)/25)*Calculateur!V31*Calculateur!X31*VLOOKUP('Données projet'!$B$9,Paramètres!$A$1:$I$89,3,0)*0.475*44/12</f>
        <v>0.63074117515687877</v>
      </c>
      <c r="AB31" s="21">
        <f>EXP(-LN(2)/2)*AB30+(1-EXP(-LN(2)/2))/(LN(2)/2)*V31*Y31*VLOOKUP('Données projet'!$B$9,Paramètres!$A$1:$I$89,3,0)*0.475*44/12</f>
        <v>1.4487822915273092</v>
      </c>
      <c r="AC31" s="22">
        <f t="shared" si="3"/>
        <v>2.727987016657031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480.23818702013227</v>
      </c>
      <c r="AN31" s="59">
        <f ca="1">AVERAGE(OFFSET($AM$3,0,0,'Données projet'!$E$10+1,1))-AVERAGE(OFFSET($H$3,0,0,'Données projet'!$E$10+1,1))</f>
        <v>272.93635583300755</v>
      </c>
      <c r="AO31" s="59">
        <f t="shared" si="36"/>
        <v>179.56041631665812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0.7267263922109447</v>
      </c>
      <c r="AV31" s="21">
        <f>EXP(-LN(2)/25)*AV30+(1-EXP(-LN(2)/25))/(LN(2)/25)*Calculateur!AQ31*Calculateur!AS31*VLOOKUP('Données projet'!$B$10,Paramètres!$A$1:$I$89,3,0)*0.475*44/12</f>
        <v>0.7068651100896054</v>
      </c>
      <c r="AW31" s="21">
        <f>EXP(-LN(2)/2)*AW30+(1-EXP(-LN(2)/2))/(LN(2)/2)*AQ31*AT31*VLOOKUP('Données projet'!$B$10,Paramètres!$A$1:$I$89,3,0)*0.475*44/12</f>
        <v>1.6236353267116403</v>
      </c>
      <c r="AX31" s="21">
        <f t="shared" si="6"/>
        <v>3.0572268290121904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192.09999999999991</v>
      </c>
      <c r="BE31" s="13">
        <f>BD31*VLOOKUP('Données projet'!$B$11,Paramètres!$A$1:$I$89,3,0)*VLOOKUP('Données projet'!$B$11,Paramètres!$A$1:$I$89,5,0)</f>
        <v>89.902799999999957</v>
      </c>
      <c r="BF31" s="13">
        <f t="shared" si="37"/>
        <v>24.541781220398729</v>
      </c>
      <c r="BG31" s="20">
        <f t="shared" si="7"/>
        <v>199.32431229219435</v>
      </c>
      <c r="BH31" s="59">
        <f t="shared" si="8"/>
        <v>492.65764562552766</v>
      </c>
      <c r="BI31" s="59">
        <f ca="1">AVERAGE(OFFSET($BH$3,0,0,'Données projet'!$E$11+1,1))-AVERAGE(OFFSET($H$3,0,0,'Données projet'!$E$11+1,1))</f>
        <v>226.0452828290525</v>
      </c>
      <c r="BJ31" s="59">
        <f t="shared" si="38"/>
        <v>179.89696397462069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2.3022746636399152</v>
      </c>
      <c r="BQ31" s="21">
        <f>EXP(-LN(2)/25)*BQ30+(1-EXP(-LN(2)/25))/(LN(2)/25)*Calculateur!BL31*Calculateur!BN31*VLOOKUP('Données projet'!$B$11,Paramètres!$A$1:$I$89,3,0)*0.475*44/12</f>
        <v>2.1523903364783123</v>
      </c>
      <c r="BR31" s="21">
        <f>EXP(-LN(2)/2)*BR30+(1-EXP(-LN(2)/2))/(LN(2)/2)*BL31*BO31*VLOOKUP('Données projet'!$B$11,Paramètres!$A$1:$I$89,3,0)*0.475*44/12</f>
        <v>0.78489173445278426</v>
      </c>
      <c r="BS31" s="22">
        <f t="shared" si="9"/>
        <v>5.2395567345710115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508.80996748042526</v>
      </c>
      <c r="CD31" s="59">
        <f ca="1">AVERAGE(OFFSET($CC$3,0,0,'Données projet'!$E$12+1,1))-AVERAGE(OFFSET($H$3,0,0,'Données projet'!$E$12+1,1))</f>
        <v>219.43439115440339</v>
      </c>
      <c r="CE31" s="59">
        <f t="shared" si="40"/>
        <v>217.8880462742099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4.6877359111959978</v>
      </c>
      <c r="CL31" s="21">
        <f>EXP(-LN(2)/25)*CL30+(1-EXP(-LN(2)/25))/(LN(2)/25)*Calculateur!CG31*Calculateur!CI31*VLOOKUP('Données projet'!$B$12,Paramètres!$A$1:$I$89,3,0)*0.475*44/12</f>
        <v>5.9325391486661845</v>
      </c>
      <c r="CM31" s="21">
        <f>EXP(-LN(2)/2)*CM30+(1-EXP(-LN(2)/2))/(LN(2)/2)*CG31*CJ31*VLOOKUP('Données projet'!$B$12,Paramètres!$A$1:$I$89,3,0)*0.475*44/12</f>
        <v>5.3340409188812998</v>
      </c>
      <c r="CN31" s="22">
        <f t="shared" si="12"/>
        <v>15.954315978743482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474.32551019191953</v>
      </c>
      <c r="S32" s="59">
        <f ca="1">AVERAGE(OFFSET($R$3,0,0,'Données projet'!$E$9+1,1))-AVERAGE(OFFSET($H$3,0,0,'Données projet'!$E$9+1,1))</f>
        <v>237.64646718446005</v>
      </c>
      <c r="T32" s="59">
        <f t="shared" si="34"/>
        <v>156.67965022779907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0.6357475752815861</v>
      </c>
      <c r="AA32" s="21">
        <f>EXP(-LN(2)/25)*AA31+(1-EXP(-LN(2)/25))/(LN(2)/25)*Calculateur!V32*Calculateur!X32*VLOOKUP('Données projet'!$B$9,Paramètres!$A$1:$I$89,3,0)*0.475*44/12</f>
        <v>0.61349352455297712</v>
      </c>
      <c r="AB32" s="21">
        <f>EXP(-LN(2)/2)*AB31+(1-EXP(-LN(2)/2))/(LN(2)/2)*V32*Y32*VLOOKUP('Données projet'!$B$9,Paramètres!$A$1:$I$89,3,0)*0.475*44/12</f>
        <v>1.0244437828019459</v>
      </c>
      <c r="AC32" s="22">
        <f t="shared" si="3"/>
        <v>2.273684882636509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495.59109840965561</v>
      </c>
      <c r="AN32" s="59">
        <f ca="1">AVERAGE(OFFSET($AM$3,0,0,'Données projet'!$E$10+1,1))-AVERAGE(OFFSET($H$3,0,0,'Données projet'!$E$10+1,1))</f>
        <v>272.93635583300755</v>
      </c>
      <c r="AO32" s="59">
        <f t="shared" si="36"/>
        <v>179.56041631665812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0.71247573091901906</v>
      </c>
      <c r="AV32" s="21">
        <f>EXP(-LN(2)/25)*AV31+(1-EXP(-LN(2)/25))/(LN(2)/25)*Calculateur!AQ32*Calculateur!AS32*VLOOKUP('Données projet'!$B$10,Paramètres!$A$1:$I$89,3,0)*0.475*44/12</f>
        <v>0.68753584648178456</v>
      </c>
      <c r="AW32" s="21">
        <f>EXP(-LN(2)/2)*AW31+(1-EXP(-LN(2)/2))/(LN(2)/2)*AQ32*AT32*VLOOKUP('Données projet'!$B$10,Paramètres!$A$1:$I$89,3,0)*0.475*44/12</f>
        <v>1.1480835496918365</v>
      </c>
      <c r="AX32" s="21">
        <f t="shared" si="6"/>
        <v>2.5480951270926404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201.2999999999999</v>
      </c>
      <c r="BE32" s="13">
        <f>BD32*VLOOKUP('Données projet'!$B$11,Paramètres!$A$1:$I$89,3,0)*VLOOKUP('Données projet'!$B$11,Paramètres!$A$1:$I$89,5,0)</f>
        <v>94.208399999999955</v>
      </c>
      <c r="BF32" s="13">
        <f t="shared" si="37"/>
        <v>25.577474486943441</v>
      </c>
      <c r="BG32" s="20">
        <f t="shared" si="7"/>
        <v>208.62706473142643</v>
      </c>
      <c r="BH32" s="59">
        <f t="shared" si="8"/>
        <v>501.96039806475972</v>
      </c>
      <c r="BI32" s="59">
        <f ca="1">AVERAGE(OFFSET($BH$3,0,0,'Données projet'!$E$11+1,1))-AVERAGE(OFFSET($H$3,0,0,'Données projet'!$E$11+1,1))</f>
        <v>226.0452828290525</v>
      </c>
      <c r="BJ32" s="59">
        <f t="shared" si="38"/>
        <v>179.89696397462069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2.2571284617348231</v>
      </c>
      <c r="BQ32" s="21">
        <f>EXP(-LN(2)/25)*BQ31+(1-EXP(-LN(2)/25))/(LN(2)/25)*Calculateur!BL32*Calculateur!BN32*VLOOKUP('Données projet'!$B$11,Paramètres!$A$1:$I$89,3,0)*0.475*44/12</f>
        <v>2.0935331095380243</v>
      </c>
      <c r="BR32" s="21">
        <f>EXP(-LN(2)/2)*BR31+(1-EXP(-LN(2)/2))/(LN(2)/2)*BL32*BO32*VLOOKUP('Données projet'!$B$11,Paramètres!$A$1:$I$89,3,0)*0.475*44/12</f>
        <v>0.55500226792883467</v>
      </c>
      <c r="BS32" s="22">
        <f t="shared" si="9"/>
        <v>4.905663839201682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529.04712624298168</v>
      </c>
      <c r="CD32" s="59">
        <f ca="1">AVERAGE(OFFSET($CC$3,0,0,'Données projet'!$E$12+1,1))-AVERAGE(OFFSET($H$3,0,0,'Données projet'!$E$12+1,1))</f>
        <v>219.43439115440339</v>
      </c>
      <c r="CE32" s="59">
        <f t="shared" si="40"/>
        <v>217.8880462742099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4.595812269214024</v>
      </c>
      <c r="CL32" s="21">
        <f>EXP(-LN(2)/25)*CL31+(1-EXP(-LN(2)/25))/(LN(2)/25)*Calculateur!CG32*Calculateur!CI32*VLOOKUP('Données projet'!$B$12,Paramètres!$A$1:$I$89,3,0)*0.475*44/12</f>
        <v>5.7703135536672328</v>
      </c>
      <c r="CM32" s="21">
        <f>EXP(-LN(2)/2)*CM31+(1-EXP(-LN(2)/2))/(LN(2)/2)*CG32*CJ32*VLOOKUP('Données projet'!$B$12,Paramètres!$A$1:$I$89,3,0)*0.475*44/12</f>
        <v>3.7717365048674902</v>
      </c>
      <c r="CN32" s="22">
        <f t="shared" si="12"/>
        <v>14.137862327748747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237.64646718446005</v>
      </c>
      <c r="T33" s="59">
        <f t="shared" si="34"/>
        <v>156.67965022779907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3.3329029378764745</v>
      </c>
      <c r="AA33" s="21">
        <f>EXP(-LN(2)/25)*AA32+(1-EXP(-LN(2)/25))/(LN(2)/25)*Calculateur!V33*Calculateur!X33*VLOOKUP('Données projet'!$B$9,Paramètres!$A$1:$I$89,3,0)*0.475*44/12</f>
        <v>4.1953217392984365</v>
      </c>
      <c r="AB33" s="21">
        <f>EXP(-LN(2)/2)*AB32+(1-EXP(-LN(2)/2))/(LN(2)/2)*V33*Y33*VLOOKUP('Données projet'!$B$9,Paramètres!$A$1:$I$89,3,0)*0.475*44/12</f>
        <v>6.1027210054738719</v>
      </c>
      <c r="AC33" s="22">
        <f t="shared" si="3"/>
        <v>13.630945682648782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272.93635583300755</v>
      </c>
      <c r="AO33" s="59">
        <f t="shared" si="36"/>
        <v>179.56041631665812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0.129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3.7351498441719113</v>
      </c>
      <c r="AV33" s="21">
        <f>EXP(-LN(2)/25)*AV32+(1-EXP(-LN(2)/25))/(LN(2)/25)*Calculateur!AQ33*Calculateur!AS33*VLOOKUP('Données projet'!$B$10,Paramètres!$A$1:$I$89,3,0)*0.475*44/12</f>
        <v>4.7016536733516965</v>
      </c>
      <c r="AW33" s="21">
        <f>EXP(-LN(2)/2)*AW32+(1-EXP(-LN(2)/2))/(LN(2)/2)*AQ33*AT33*VLOOKUP('Données projet'!$B$10,Paramètres!$A$1:$I$89,3,0)*0.475*44/12</f>
        <v>6.8392562992379622</v>
      </c>
      <c r="AX33" s="21">
        <f t="shared" si="6"/>
        <v>15.27605981676157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210.5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210.49999999999989</v>
      </c>
      <c r="BE33" s="13">
        <f>BD33*VLOOKUP('Données projet'!$B$11,Paramètres!$A$1:$I$89,3,0)*VLOOKUP('Données projet'!$B$11,Paramètres!$A$1:$I$89,5,0)</f>
        <v>98.513999999999953</v>
      </c>
      <c r="BF33" s="13">
        <f t="shared" si="37"/>
        <v>26.607670659193456</v>
      </c>
      <c r="BG33" s="20">
        <f t="shared" si="7"/>
        <v>217.92024306476185</v>
      </c>
      <c r="BH33" s="59">
        <f t="shared" si="8"/>
        <v>511.25357639809516</v>
      </c>
      <c r="BI33" s="59">
        <f ca="1">AVERAGE(OFFSET($BH$3,0,0,'Données projet'!$E$11+1,1))-AVERAGE(OFFSET($H$3,0,0,'Données projet'!$E$11+1,1))</f>
        <v>226.0452828290525</v>
      </c>
      <c r="BJ33" s="59">
        <f t="shared" si="38"/>
        <v>179.89696397462069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67</v>
      </c>
      <c r="BM33" s="16">
        <f>IF(ISNA(VLOOKUP(A33,'Données projet'!$A$87:$I$107,5,0)),0%,VLOOKUP(A33,'Données projet'!$A$87:$I$107,5,0)*VLOOKUP('Données projet'!$B$11,Paramètres!$A$1:$I$89,7,0))</f>
        <v>0.16500000000000001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9.0761671349983928</v>
      </c>
      <c r="BQ33" s="21">
        <f>EXP(-LN(2)/25)*BQ32+(1-EXP(-LN(2)/25))/(LN(2)/25)*Calculateur!BL33*Calculateur!BN33*VLOOKUP('Données projet'!$B$11,Paramètres!$A$1:$I$89,3,0)*0.475*44/12</f>
        <v>11.151320216689932</v>
      </c>
      <c r="BR33" s="21">
        <f>EXP(-LN(2)/2)*BR32+(1-EXP(-LN(2)/2))/(LN(2)/2)*BL33*BO33*VLOOKUP('Données projet'!$B$11,Paramètres!$A$1:$I$89,3,0)*0.475*44/12</f>
        <v>11.043128643598349</v>
      </c>
      <c r="BS33" s="22">
        <f t="shared" si="9"/>
        <v>31.270615995286676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219.43439115440339</v>
      </c>
      <c r="CE33" s="59">
        <f t="shared" si="40"/>
        <v>217.8880462742099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0.159</v>
      </c>
      <c r="CI33" s="16">
        <f>IF(ISNA(VLOOKUP(A33,'Données projet'!$A$113:$I$133,6,0)),0%,VLOOKUP(A33,'Données projet'!$A$113:$I$133,6,0)*VLOOKUP('Données projet'!$B$12,Paramètres!$A$1:$I$89,7,0))</f>
        <v>0.21200000000000002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8.421279659357392</v>
      </c>
      <c r="CL33" s="21">
        <f>EXP(-LN(2)/25)*CL32+(1-EXP(-LN(2)/25))/(LN(2)/25)*Calculateur!CG33*Calculateur!CI33*VLOOKUP('Données projet'!$B$12,Paramètres!$A$1:$I$89,3,0)*0.475*44/12</f>
        <v>10.812752428533031</v>
      </c>
      <c r="CM33" s="21">
        <f>EXP(-LN(2)/2)*CM32+(1-EXP(-LN(2)/2))/(LN(2)/2)*CG33*CJ33*VLOOKUP('Données projet'!$B$12,Paramètres!$A$1:$I$89,3,0)*0.475*44/12</f>
        <v>8.9726485708250454</v>
      </c>
      <c r="CN33" s="22">
        <f t="shared" si="12"/>
        <v>28.20668065871547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237.64646718446005</v>
      </c>
      <c r="T34" s="59">
        <f t="shared" si="34"/>
        <v>156.67965022779907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3.2675467441347799</v>
      </c>
      <c r="AA34" s="21">
        <f>EXP(-LN(2)/25)*AA33+(1-EXP(-LN(2)/25))/(LN(2)/25)*Calculateur!V34*Calculateur!X34*VLOOKUP('Données projet'!$B$9,Paramètres!$A$1:$I$89,3,0)*0.475*44/12</f>
        <v>4.0806004457149392</v>
      </c>
      <c r="AB34" s="21">
        <f>EXP(-LN(2)/2)*AB33+(1-EXP(-LN(2)/2))/(LN(2)/2)*V34*Y34*VLOOKUP('Données projet'!$B$9,Paramètres!$A$1:$I$89,3,0)*0.475*44/12</f>
        <v>4.3152754066601604</v>
      </c>
      <c r="AC34" s="22">
        <f t="shared" si="3"/>
        <v>11.663422596509879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482.4332041160016</v>
      </c>
      <c r="AN34" s="59">
        <f ca="1">AVERAGE(OFFSET($AM$3,0,0,'Données projet'!$E$10+1,1))-AVERAGE(OFFSET($H$3,0,0,'Données projet'!$E$10+1,1))</f>
        <v>272.93635583300755</v>
      </c>
      <c r="AO34" s="59">
        <f t="shared" si="36"/>
        <v>179.56041631665812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3.6619058339441497</v>
      </c>
      <c r="AV34" s="21">
        <f>EXP(-LN(2)/25)*AV33+(1-EXP(-LN(2)/25))/(LN(2)/25)*Calculateur!AQ34*Calculateur!AS34*VLOOKUP('Données projet'!$B$10,Paramètres!$A$1:$I$89,3,0)*0.475*44/12</f>
        <v>4.5730867064046734</v>
      </c>
      <c r="AW34" s="21">
        <f>EXP(-LN(2)/2)*AW33+(1-EXP(-LN(2)/2))/(LN(2)/2)*AQ34*AT34*VLOOKUP('Données projet'!$B$10,Paramètres!$A$1:$I$89,3,0)*0.475*44/12</f>
        <v>4.8360845074639744</v>
      </c>
      <c r="AX34" s="21">
        <f t="shared" si="6"/>
        <v>13.071077047812798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</v>
      </c>
      <c r="BD34" s="12">
        <f>IF('Données projet'!$A$88&gt;35,BD33+BC34-BL33,IF(A34&lt;'Données projet'!$A$88,$BA$205^A34,IF(A34='Données projet'!$A$88,'Données projet'!$B$88,BD33+BC34-BL33)))</f>
        <v>153.49999999999989</v>
      </c>
      <c r="BE34" s="13">
        <f>BD34*VLOOKUP('Données projet'!$B$11,Paramètres!$A$1:$I$89,3,0)*VLOOKUP('Données projet'!$B$11,Paramètres!$A$1:$I$89,5,0)</f>
        <v>71.837999999999951</v>
      </c>
      <c r="BF34" s="13">
        <f t="shared" si="37"/>
        <v>20.129206956785634</v>
      </c>
      <c r="BG34" s="20">
        <f t="shared" si="7"/>
        <v>160.17621878306821</v>
      </c>
      <c r="BH34" s="59">
        <f t="shared" si="8"/>
        <v>453.50955211640155</v>
      </c>
      <c r="BI34" s="59">
        <f ca="1">AVERAGE(OFFSET($BH$3,0,0,'Données projet'!$E$11+1,1))-AVERAGE(OFFSET($H$3,0,0,'Données projet'!$E$11+1,1))</f>
        <v>226.0452828290525</v>
      </c>
      <c r="BJ34" s="59">
        <f t="shared" si="38"/>
        <v>179.89696397462069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8.8981890333964007</v>
      </c>
      <c r="BQ34" s="21">
        <f>EXP(-LN(2)/25)*BQ33+(1-EXP(-LN(2)/25))/(LN(2)/25)*Calculateur!BL34*Calculateur!BN34*VLOOKUP('Données projet'!$B$11,Paramètres!$A$1:$I$89,3,0)*0.475*44/12</f>
        <v>10.846386778942103</v>
      </c>
      <c r="BR34" s="21">
        <f>EXP(-LN(2)/2)*BR33+(1-EXP(-LN(2)/2))/(LN(2)/2)*BL34*BO34*VLOOKUP('Données projet'!$B$11,Paramètres!$A$1:$I$89,3,0)*0.475*44/12</f>
        <v>7.8086711494037937</v>
      </c>
      <c r="BS34" s="22">
        <f t="shared" si="9"/>
        <v>27.553246961742296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219.43439115440339</v>
      </c>
      <c r="CE34" s="59">
        <f t="shared" si="40"/>
        <v>217.8880462742099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8.2561435017108007</v>
      </c>
      <c r="CL34" s="21">
        <f>EXP(-LN(2)/25)*CL33+(1-EXP(-LN(2)/25))/(LN(2)/25)*Calculateur!CG34*Calculateur!CI34*VLOOKUP('Données projet'!$B$12,Paramètres!$A$1:$I$89,3,0)*0.475*44/12</f>
        <v>10.517077144756858</v>
      </c>
      <c r="CM34" s="21">
        <f>EXP(-LN(2)/2)*CM33+(1-EXP(-LN(2)/2))/(LN(2)/2)*CG34*CJ34*VLOOKUP('Données projet'!$B$12,Paramètres!$A$1:$I$89,3,0)*0.475*44/12</f>
        <v>6.3446206496341739</v>
      </c>
      <c r="CN34" s="22">
        <f t="shared" si="12"/>
        <v>25.11784129610183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237.64646718446005</v>
      </c>
      <c r="T35" s="59">
        <f t="shared" si="34"/>
        <v>156.67965022779907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3.2034721454890178</v>
      </c>
      <c r="AA35" s="21">
        <f>EXP(-LN(2)/25)*AA34+(1-EXP(-LN(2)/25))/(LN(2)/25)*Calculateur!V35*Calculateur!X35*VLOOKUP('Données projet'!$B$9,Paramètres!$A$1:$I$89,3,0)*0.475*44/12</f>
        <v>3.9690162119374133</v>
      </c>
      <c r="AB35" s="21">
        <f>EXP(-LN(2)/2)*AB34+(1-EXP(-LN(2)/2))/(LN(2)/2)*V35*Y35*VLOOKUP('Données projet'!$B$9,Paramètres!$A$1:$I$89,3,0)*0.475*44/12</f>
        <v>3.0513605027369359</v>
      </c>
      <c r="AC35" s="22">
        <f t="shared" si="3"/>
        <v>10.223848860163367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499.97258746891305</v>
      </c>
      <c r="AN35" s="59">
        <f ca="1">AVERAGE(OFFSET($AM$3,0,0,'Données projet'!$E$10+1,1))-AVERAGE(OFFSET($H$3,0,0,'Données projet'!$E$10+1,1))</f>
        <v>272.93635583300755</v>
      </c>
      <c r="AO35" s="59">
        <f t="shared" si="36"/>
        <v>179.56041631665812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3.5900980940825198</v>
      </c>
      <c r="AV35" s="21">
        <f>EXP(-LN(2)/25)*AV34+(1-EXP(-LN(2)/25))/(LN(2)/25)*Calculateur!AQ35*Calculateur!AS35*VLOOKUP('Données projet'!$B$10,Paramètres!$A$1:$I$89,3,0)*0.475*44/12</f>
        <v>4.4480354099298598</v>
      </c>
      <c r="AW35" s="21">
        <f>EXP(-LN(2)/2)*AW34+(1-EXP(-LN(2)/2))/(LN(2)/2)*AQ35*AT35*VLOOKUP('Données projet'!$B$10,Paramètres!$A$1:$I$89,3,0)*0.475*44/12</f>
        <v>3.4196281496189811</v>
      </c>
      <c r="AX35" s="21">
        <f t="shared" si="6"/>
        <v>11.45776165363136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</v>
      </c>
      <c r="BD35" s="12">
        <f>IF('Données projet'!$A$88&gt;35,BD34+BC35-BL34,IF(A35&lt;'Données projet'!$A$88,$BA$205^A35,IF(A35='Données projet'!$A$88,'Données projet'!$B$88,BD34+BC35-BL34)))</f>
        <v>163.49999999999989</v>
      </c>
      <c r="BE35" s="13">
        <f>BD35*VLOOKUP('Données projet'!$B$11,Paramètres!$A$1:$I$89,3,0)*VLOOKUP('Données projet'!$B$11,Paramètres!$A$1:$I$89,5,0)</f>
        <v>76.517999999999944</v>
      </c>
      <c r="BF35" s="13">
        <f t="shared" si="37"/>
        <v>21.283624623620089</v>
      </c>
      <c r="BG35" s="20">
        <f t="shared" si="7"/>
        <v>170.33782955280489</v>
      </c>
      <c r="BH35" s="59">
        <f t="shared" si="8"/>
        <v>463.67116288613818</v>
      </c>
      <c r="BI35" s="59">
        <f ca="1">AVERAGE(OFFSET($BH$3,0,0,'Données projet'!$E$11+1,1))-AVERAGE(OFFSET($H$3,0,0,'Données projet'!$E$11+1,1))</f>
        <v>226.0452828290525</v>
      </c>
      <c r="BJ35" s="59">
        <f t="shared" si="38"/>
        <v>179.89696397462069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8.7237009738109013</v>
      </c>
      <c r="BQ35" s="21">
        <f>EXP(-LN(2)/25)*BQ34+(1-EXP(-LN(2)/25))/(LN(2)/25)*Calculateur!BL35*Calculateur!BN35*VLOOKUP('Données projet'!$B$11,Paramètres!$A$1:$I$89,3,0)*0.475*44/12</f>
        <v>10.54979176208524</v>
      </c>
      <c r="BR35" s="21">
        <f>EXP(-LN(2)/2)*BR34+(1-EXP(-LN(2)/2))/(LN(2)/2)*BL35*BO35*VLOOKUP('Données projet'!$B$11,Paramètres!$A$1:$I$89,3,0)*0.475*44/12</f>
        <v>5.5215643217991754</v>
      </c>
      <c r="BS35" s="22">
        <f t="shared" si="9"/>
        <v>24.795057057695317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219.43439115440339</v>
      </c>
      <c r="CE35" s="59">
        <f t="shared" si="40"/>
        <v>217.8880462742099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8.0942455633925494</v>
      </c>
      <c r="CL35" s="21">
        <f>EXP(-LN(2)/25)*CL34+(1-EXP(-LN(2)/25))/(LN(2)/25)*Calculateur!CG35*Calculateur!CI35*VLOOKUP('Données projet'!$B$12,Paramètres!$A$1:$I$89,3,0)*0.475*44/12</f>
        <v>10.229487117164432</v>
      </c>
      <c r="CM35" s="21">
        <f>EXP(-LN(2)/2)*CM34+(1-EXP(-LN(2)/2))/(LN(2)/2)*CG35*CJ35*VLOOKUP('Données projet'!$B$12,Paramètres!$A$1:$I$89,3,0)*0.475*44/12</f>
        <v>4.4863242854125227</v>
      </c>
      <c r="CN35" s="22">
        <f t="shared" si="12"/>
        <v>22.810056965969501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237.64646718446005</v>
      </c>
      <c r="T36" s="59">
        <f t="shared" si="34"/>
        <v>156.67965022779907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3.140654010641053</v>
      </c>
      <c r="AA36" s="21">
        <f>EXP(-LN(2)/25)*AA35+(1-EXP(-LN(2)/25))/(LN(2)/25)*Calculateur!V36*Calculateur!X36*VLOOKUP('Données projet'!$B$9,Paramètres!$A$1:$I$89,3,0)*0.475*44/12</f>
        <v>3.8604832549004935</v>
      </c>
      <c r="AB36" s="21">
        <f>EXP(-LN(2)/2)*AB35+(1-EXP(-LN(2)/2))/(LN(2)/2)*V36*Y36*VLOOKUP('Données projet'!$B$9,Paramètres!$A$1:$I$89,3,0)*0.475*44/12</f>
        <v>2.1576377033300802</v>
      </c>
      <c r="AC36" s="22">
        <f t="shared" si="3"/>
        <v>9.1587749688716258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517.477574153982</v>
      </c>
      <c r="AN36" s="59">
        <f ca="1">AVERAGE(OFFSET($AM$3,0,0,'Données projet'!$E$10+1,1))-AVERAGE(OFFSET($H$3,0,0,'Données projet'!$E$10+1,1))</f>
        <v>272.93635583300755</v>
      </c>
      <c r="AO36" s="59">
        <f t="shared" si="36"/>
        <v>179.56041631665812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3.5196984602011798</v>
      </c>
      <c r="AV36" s="21">
        <f>EXP(-LN(2)/25)*AV35+(1-EXP(-LN(2)/25))/(LN(2)/25)*Calculateur!AQ36*Calculateur!AS36*VLOOKUP('Données projet'!$B$10,Paramètres!$A$1:$I$89,3,0)*0.475*44/12</f>
        <v>4.3264036477333114</v>
      </c>
      <c r="AW36" s="21">
        <f>EXP(-LN(2)/2)*AW35+(1-EXP(-LN(2)/2))/(LN(2)/2)*AQ36*AT36*VLOOKUP('Données projet'!$B$10,Paramètres!$A$1:$I$89,3,0)*0.475*44/12</f>
        <v>2.4180422537319872</v>
      </c>
      <c r="AX36" s="21">
        <f t="shared" si="6"/>
        <v>10.264144361666478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</v>
      </c>
      <c r="BD36" s="12">
        <f>IF('Données projet'!$A$88&gt;35,BD35+BC36-BL35,IF(A36&lt;'Données projet'!$A$88,$BA$205^A36,IF(A36='Données projet'!$A$88,'Données projet'!$B$88,BD35+BC36-BL35)))</f>
        <v>173.49999999999989</v>
      </c>
      <c r="BE36" s="13">
        <f>BD36*VLOOKUP('Données projet'!$B$11,Paramètres!$A$1:$I$89,3,0)*VLOOKUP('Données projet'!$B$11,Paramètres!$A$1:$I$89,5,0)</f>
        <v>81.197999999999951</v>
      </c>
      <c r="BF36" s="13">
        <f t="shared" si="37"/>
        <v>22.429847477648512</v>
      </c>
      <c r="BG36" s="20">
        <f t="shared" si="7"/>
        <v>180.48516769023772</v>
      </c>
      <c r="BH36" s="59">
        <f t="shared" si="8"/>
        <v>473.818501023571</v>
      </c>
      <c r="BI36" s="59">
        <f ca="1">AVERAGE(OFFSET($BH$3,0,0,'Données projet'!$E$11+1,1))-AVERAGE(OFFSET($H$3,0,0,'Données projet'!$E$11+1,1))</f>
        <v>226.0452828290525</v>
      </c>
      <c r="BJ36" s="59">
        <f t="shared" si="38"/>
        <v>179.89696397462069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8.5526345186466646</v>
      </c>
      <c r="BQ36" s="21">
        <f>EXP(-LN(2)/25)*BQ35+(1-EXP(-LN(2)/25))/(LN(2)/25)*Calculateur!BL36*Calculateur!BN36*VLOOKUP('Données projet'!$B$11,Paramètres!$A$1:$I$89,3,0)*0.475*44/12</f>
        <v>10.261307151561583</v>
      </c>
      <c r="BR36" s="21">
        <f>EXP(-LN(2)/2)*BR35+(1-EXP(-LN(2)/2))/(LN(2)/2)*BL36*BO36*VLOOKUP('Données projet'!$B$11,Paramètres!$A$1:$I$89,3,0)*0.475*44/12</f>
        <v>3.9043355747018973</v>
      </c>
      <c r="BS36" s="22">
        <f t="shared" si="9"/>
        <v>22.718277244910144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219.43439115440339</v>
      </c>
      <c r="CE36" s="59">
        <f t="shared" si="40"/>
        <v>217.8880462742099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7.9355223448967269</v>
      </c>
      <c r="CL36" s="21">
        <f>EXP(-LN(2)/25)*CL35+(1-EXP(-LN(2)/25))/(LN(2)/25)*Calculateur!CG36*Calculateur!CI36*VLOOKUP('Données projet'!$B$12,Paramètres!$A$1:$I$89,3,0)*0.475*44/12</f>
        <v>9.9497612540002223</v>
      </c>
      <c r="CM36" s="21">
        <f>EXP(-LN(2)/2)*CM35+(1-EXP(-LN(2)/2))/(LN(2)/2)*CG36*CJ36*VLOOKUP('Données projet'!$B$12,Paramètres!$A$1:$I$89,3,0)*0.475*44/12</f>
        <v>3.172310324817087</v>
      </c>
      <c r="CN36" s="22">
        <f t="shared" si="12"/>
        <v>21.057593923714034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237.64646718446005</v>
      </c>
      <c r="T37" s="59">
        <f t="shared" si="34"/>
        <v>156.67965022779907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3.0790677011021779</v>
      </c>
      <c r="AA37" s="21">
        <f>EXP(-LN(2)/25)*AA36+(1-EXP(-LN(2)/25))/(LN(2)/25)*Calculateur!V37*Calculateur!X37*VLOOKUP('Données projet'!$B$9,Paramètres!$A$1:$I$89,3,0)*0.475*44/12</f>
        <v>3.7549181372812486</v>
      </c>
      <c r="AB37" s="21">
        <f>EXP(-LN(2)/2)*AB36+(1-EXP(-LN(2)/2))/(LN(2)/2)*V37*Y37*VLOOKUP('Données projet'!$B$9,Paramètres!$A$1:$I$89,3,0)*0.475*44/12</f>
        <v>1.525680251368468</v>
      </c>
      <c r="AC37" s="22">
        <f t="shared" si="3"/>
        <v>8.3596660897518955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534.95122875168499</v>
      </c>
      <c r="AN37" s="59">
        <f ca="1">AVERAGE(OFFSET($AM$3,0,0,'Données projet'!$E$10+1,1))-AVERAGE(OFFSET($H$3,0,0,'Données projet'!$E$10+1,1))</f>
        <v>272.93635583300755</v>
      </c>
      <c r="AO37" s="59">
        <f t="shared" si="36"/>
        <v>179.56041631665812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3.4506793202007162</v>
      </c>
      <c r="AV37" s="21">
        <f>EXP(-LN(2)/25)*AV36+(1-EXP(-LN(2)/25))/(LN(2)/25)*Calculateur!AQ37*Calculateur!AS37*VLOOKUP('Données projet'!$B$10,Paramètres!$A$1:$I$89,3,0)*0.475*44/12</f>
        <v>4.2080979124703646</v>
      </c>
      <c r="AW37" s="21">
        <f>EXP(-LN(2)/2)*AW36+(1-EXP(-LN(2)/2))/(LN(2)/2)*AQ37*AT37*VLOOKUP('Données projet'!$B$10,Paramètres!$A$1:$I$89,3,0)*0.475*44/12</f>
        <v>1.7098140748094905</v>
      </c>
      <c r="AX37" s="21">
        <f t="shared" si="6"/>
        <v>9.3685913074805711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</v>
      </c>
      <c r="BD37" s="12">
        <f>IF('Données projet'!$A$88&gt;35,BD36+BC37-BL36,IF(A37&lt;'Données projet'!$A$88,$BA$205^A37,IF(A37='Données projet'!$A$88,'Données projet'!$B$88,BD36+BC37-BL36)))</f>
        <v>183.49999999999989</v>
      </c>
      <c r="BE37" s="13">
        <f>BD37*VLOOKUP('Données projet'!$B$11,Paramètres!$A$1:$I$89,3,0)*VLOOKUP('Données projet'!$B$11,Paramètres!$A$1:$I$89,5,0)</f>
        <v>85.877999999999957</v>
      </c>
      <c r="BF37" s="13">
        <f t="shared" si="37"/>
        <v>23.56840165498652</v>
      </c>
      <c r="BG37" s="20">
        <f t="shared" si="7"/>
        <v>190.61914954910142</v>
      </c>
      <c r="BH37" s="59">
        <f t="shared" si="8"/>
        <v>483.95248288243477</v>
      </c>
      <c r="BI37" s="59">
        <f ca="1">AVERAGE(OFFSET($BH$3,0,0,'Données projet'!$E$11+1,1))-AVERAGE(OFFSET($H$3,0,0,'Données projet'!$E$11+1,1))</f>
        <v>226.0452828290525</v>
      </c>
      <c r="BJ37" s="59">
        <f t="shared" si="38"/>
        <v>179.89696397462069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8.3849225723279641</v>
      </c>
      <c r="BQ37" s="21">
        <f>EXP(-LN(2)/25)*BQ36+(1-EXP(-LN(2)/25))/(LN(2)/25)*Calculateur!BL37*Calculateur!BN37*VLOOKUP('Données projet'!$B$11,Paramètres!$A$1:$I$89,3,0)*0.475*44/12</f>
        <v>9.9807111678834417</v>
      </c>
      <c r="BR37" s="21">
        <f>EXP(-LN(2)/2)*BR36+(1-EXP(-LN(2)/2))/(LN(2)/2)*BL37*BO37*VLOOKUP('Données projet'!$B$11,Paramètres!$A$1:$I$89,3,0)*0.475*44/12</f>
        <v>2.7607821608995882</v>
      </c>
      <c r="BS37" s="22">
        <f t="shared" si="9"/>
        <v>21.126415901110995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219.43439115440339</v>
      </c>
      <c r="CE37" s="59">
        <f t="shared" si="40"/>
        <v>217.8880462742099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7.7799115919040034</v>
      </c>
      <c r="CL37" s="21">
        <f>EXP(-LN(2)/25)*CL36+(1-EXP(-LN(2)/25))/(LN(2)/25)*Calculateur!CG37*Calculateur!CI37*VLOOKUP('Données projet'!$B$12,Paramètres!$A$1:$I$89,3,0)*0.475*44/12</f>
        <v>9.677684509274382</v>
      </c>
      <c r="CM37" s="21">
        <f>EXP(-LN(2)/2)*CM36+(1-EXP(-LN(2)/2))/(LN(2)/2)*CG37*CJ37*VLOOKUP('Données projet'!$B$12,Paramètres!$A$1:$I$89,3,0)*0.475*44/12</f>
        <v>2.2431621427062614</v>
      </c>
      <c r="CN37" s="22">
        <f t="shared" si="12"/>
        <v>19.700758243884646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237.64646718446005</v>
      </c>
      <c r="T38" s="59">
        <f t="shared" si="34"/>
        <v>156.67965022779907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3.0186890615294204</v>
      </c>
      <c r="AA38" s="21">
        <f>EXP(-LN(2)/25)*AA37+(1-EXP(-LN(2)/25))/(LN(2)/25)*Calculateur!V38*Calculateur!X38*VLOOKUP('Données projet'!$B$9,Paramètres!$A$1:$I$89,3,0)*0.475*44/12</f>
        <v>3.6522397033547298</v>
      </c>
      <c r="AB38" s="21">
        <f>EXP(-LN(2)/2)*AB37+(1-EXP(-LN(2)/2))/(LN(2)/2)*V38*Y38*VLOOKUP('Données projet'!$B$9,Paramètres!$A$1:$I$89,3,0)*0.475*44/12</f>
        <v>1.0788188516650401</v>
      </c>
      <c r="AC38" s="22">
        <f t="shared" si="3"/>
        <v>7.7497476165491905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272.93635583300755</v>
      </c>
      <c r="AO38" s="59">
        <f t="shared" si="36"/>
        <v>179.56041631665812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3.3830136034381431</v>
      </c>
      <c r="AV38" s="21">
        <f>EXP(-LN(2)/25)*AV37+(1-EXP(-LN(2)/25))/(LN(2)/25)*Calculateur!AQ38*Calculateur!AS38*VLOOKUP('Données projet'!$B$10,Paramètres!$A$1:$I$89,3,0)*0.475*44/12</f>
        <v>4.0930272537596109</v>
      </c>
      <c r="AW38" s="21">
        <f>EXP(-LN(2)/2)*AW37+(1-EXP(-LN(2)/2))/(LN(2)/2)*AQ38*AT38*VLOOKUP('Données projet'!$B$10,Paramètres!$A$1:$I$89,3,0)*0.475*44/12</f>
        <v>1.2090211268659936</v>
      </c>
      <c r="AX38" s="21">
        <f t="shared" si="6"/>
        <v>8.6850619840637471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193.49999999999989</v>
      </c>
      <c r="BE38" s="13">
        <f>BD38*VLOOKUP('Données projet'!$B$11,Paramètres!$A$1:$I$89,3,0)*VLOOKUP('Données projet'!$B$11,Paramètres!$A$1:$I$89,5,0)</f>
        <v>90.55799999999995</v>
      </c>
      <c r="BF38" s="13">
        <f t="shared" si="37"/>
        <v>24.699752708509138</v>
      </c>
      <c r="BG38" s="20">
        <f t="shared" si="7"/>
        <v>200.74058596732002</v>
      </c>
      <c r="BH38" s="59">
        <f t="shared" si="8"/>
        <v>494.0739193006533</v>
      </c>
      <c r="BI38" s="59">
        <f ca="1">AVERAGE(OFFSET($BH$3,0,0,'Données projet'!$E$11+1,1))-AVERAGE(OFFSET($H$3,0,0,'Données projet'!$E$11+1,1))</f>
        <v>226.0452828290525</v>
      </c>
      <c r="BJ38" s="59">
        <f t="shared" si="38"/>
        <v>179.89696397462069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8.2204993549823868</v>
      </c>
      <c r="BQ38" s="21">
        <f>EXP(-LN(2)/25)*BQ37+(1-EXP(-LN(2)/25))/(LN(2)/25)*Calculateur!BL38*Calculateur!BN38*VLOOKUP('Données projet'!$B$11,Paramètres!$A$1:$I$89,3,0)*0.475*44/12</f>
        <v>9.7077880961348804</v>
      </c>
      <c r="BR38" s="21">
        <f>EXP(-LN(2)/2)*BR37+(1-EXP(-LN(2)/2))/(LN(2)/2)*BL38*BO38*VLOOKUP('Données projet'!$B$11,Paramètres!$A$1:$I$89,3,0)*0.475*44/12</f>
        <v>1.9521677873509491</v>
      </c>
      <c r="BS38" s="22">
        <f t="shared" si="9"/>
        <v>19.880455238468215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219.43439115440339</v>
      </c>
      <c r="CE38" s="59">
        <f t="shared" si="40"/>
        <v>217.8880462742099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7.6273522708642796</v>
      </c>
      <c r="CL38" s="21">
        <f>EXP(-LN(2)/25)*CL37+(1-EXP(-LN(2)/25))/(LN(2)/25)*Calculateur!CG38*Calculateur!CI38*VLOOKUP('Données projet'!$B$12,Paramètres!$A$1:$I$89,3,0)*0.475*44/12</f>
        <v>9.4130477174409641</v>
      </c>
      <c r="CM38" s="21">
        <f>EXP(-LN(2)/2)*CM37+(1-EXP(-LN(2)/2))/(LN(2)/2)*CG38*CJ38*VLOOKUP('Données projet'!$B$12,Paramètres!$A$1:$I$89,3,0)*0.475*44/12</f>
        <v>1.5861551624085435</v>
      </c>
      <c r="CN38" s="22">
        <f t="shared" si="12"/>
        <v>18.626555150713788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237.64646718446005</v>
      </c>
      <c r="T39" s="59">
        <f t="shared" si="34"/>
        <v>156.67965022779907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2.959494410251351</v>
      </c>
      <c r="AA39" s="21">
        <f>EXP(-LN(2)/25)*AA38+(1-EXP(-LN(2)/25))/(LN(2)/25)*Calculateur!V39*Calculateur!X39*VLOOKUP('Données projet'!$B$9,Paramètres!$A$1:$I$89,3,0)*0.475*44/12</f>
        <v>3.552369016603556</v>
      </c>
      <c r="AB39" s="21">
        <f>EXP(-LN(2)/2)*AB38+(1-EXP(-LN(2)/2))/(LN(2)/2)*V39*Y39*VLOOKUP('Données projet'!$B$9,Paramètres!$A$1:$I$89,3,0)*0.475*44/12</f>
        <v>0.76284012568423398</v>
      </c>
      <c r="AC39" s="22">
        <f t="shared" si="3"/>
        <v>7.2747035525391412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272.93635583300755</v>
      </c>
      <c r="AO39" s="59">
        <f t="shared" si="36"/>
        <v>179.56041631665812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3.3166747701092718</v>
      </c>
      <c r="AV39" s="21">
        <f>EXP(-LN(2)/25)*AV38+(1-EXP(-LN(2)/25))/(LN(2)/25)*Calculateur!AQ39*Calculateur!AS39*VLOOKUP('Données projet'!$B$10,Paramètres!$A$1:$I$89,3,0)*0.475*44/12</f>
        <v>3.9811032082626059</v>
      </c>
      <c r="AW39" s="21">
        <f>EXP(-LN(2)/2)*AW38+(1-EXP(-LN(2)/2))/(LN(2)/2)*AQ39*AT39*VLOOKUP('Données projet'!$B$10,Paramètres!$A$1:$I$89,3,0)*0.475*44/12</f>
        <v>0.85490703740474527</v>
      </c>
      <c r="AX39" s="21">
        <f t="shared" si="6"/>
        <v>8.1526850157766226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</v>
      </c>
      <c r="BD39" s="12">
        <f>IF('Données projet'!$A$88&gt;35,BD38+BC39-BL38,IF(A39&lt;'Données projet'!$A$88,$BA$205^A39,IF(A39='Données projet'!$A$88,'Données projet'!$B$88,BD38+BC39-BL38)))</f>
        <v>203.49999999999989</v>
      </c>
      <c r="BE39" s="13">
        <f>BD39*VLOOKUP('Données projet'!$B$11,Paramètres!$A$1:$I$89,3,0)*VLOOKUP('Données projet'!$B$11,Paramètres!$A$1:$I$89,5,0)</f>
        <v>95.237999999999957</v>
      </c>
      <c r="BF39" s="13">
        <f t="shared" si="37"/>
        <v>25.824315354051119</v>
      </c>
      <c r="BG39" s="20">
        <f t="shared" si="7"/>
        <v>210.85019924163896</v>
      </c>
      <c r="BH39" s="59">
        <f t="shared" si="8"/>
        <v>504.18353257497228</v>
      </c>
      <c r="BI39" s="59">
        <f ca="1">AVERAGE(OFFSET($BH$3,0,0,'Données projet'!$E$11+1,1))-AVERAGE(OFFSET($H$3,0,0,'Données projet'!$E$11+1,1))</f>
        <v>226.0452828290525</v>
      </c>
      <c r="BJ39" s="59">
        <f t="shared" si="38"/>
        <v>179.89696397462069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8.0593003766406959</v>
      </c>
      <c r="BQ39" s="21">
        <f>EXP(-LN(2)/25)*BQ38+(1-EXP(-LN(2)/25))/(LN(2)/25)*Calculateur!BL39*Calculateur!BN39*VLOOKUP('Données projet'!$B$11,Paramètres!$A$1:$I$89,3,0)*0.475*44/12</f>
        <v>9.4423281201356843</v>
      </c>
      <c r="BR39" s="21">
        <f>EXP(-LN(2)/2)*BR38+(1-EXP(-LN(2)/2))/(LN(2)/2)*BL39*BO39*VLOOKUP('Données projet'!$B$11,Paramètres!$A$1:$I$89,3,0)*0.475*44/12</f>
        <v>1.3803910804497943</v>
      </c>
      <c r="BS39" s="22">
        <f t="shared" si="9"/>
        <v>18.882019577226174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219.43439115440339</v>
      </c>
      <c r="CE39" s="59">
        <f t="shared" si="40"/>
        <v>217.8880462742099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7.4777845450581468</v>
      </c>
      <c r="CL39" s="21">
        <f>EXP(-LN(2)/25)*CL38+(1-EXP(-LN(2)/25))/(LN(2)/25)*Calculateur!CG39*Calculateur!CI39*VLOOKUP('Données projet'!$B$12,Paramètres!$A$1:$I$89,3,0)*0.475*44/12</f>
        <v>9.1556474325968757</v>
      </c>
      <c r="CM39" s="21">
        <f>EXP(-LN(2)/2)*CM38+(1-EXP(-LN(2)/2))/(LN(2)/2)*CG39*CJ39*VLOOKUP('Données projet'!$B$12,Paramètres!$A$1:$I$89,3,0)*0.475*44/12</f>
        <v>1.1215810713531307</v>
      </c>
      <c r="CN39" s="22">
        <f t="shared" si="12"/>
        <v>17.755013049008152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237.64646718446005</v>
      </c>
      <c r="T40" s="59">
        <f t="shared" si="34"/>
        <v>156.67965022779907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2.9014605299796723</v>
      </c>
      <c r="AA40" s="21">
        <f>EXP(-LN(2)/25)*AA39+(1-EXP(-LN(2)/25))/(LN(2)/25)*Calculateur!V40*Calculateur!X40*VLOOKUP('Données projet'!$B$9,Paramètres!$A$1:$I$89,3,0)*0.475*44/12</f>
        <v>3.4552292990335642</v>
      </c>
      <c r="AB40" s="21">
        <f>EXP(-LN(2)/2)*AB39+(1-EXP(-LN(2)/2))/(LN(2)/2)*V40*Y40*VLOOKUP('Données projet'!$B$9,Paramètres!$A$1:$I$89,3,0)*0.475*44/12</f>
        <v>0.53940942583252005</v>
      </c>
      <c r="AC40" s="22">
        <f t="shared" si="3"/>
        <v>6.8960992548457565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272.93635583300755</v>
      </c>
      <c r="AO40" s="59">
        <f t="shared" si="36"/>
        <v>179.56041631665812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3.2516368008392869</v>
      </c>
      <c r="AV40" s="21">
        <f>EXP(-LN(2)/25)*AV39+(1-EXP(-LN(2)/25))/(LN(2)/25)*Calculateur!AQ40*Calculateur!AS40*VLOOKUP('Données projet'!$B$10,Paramètres!$A$1:$I$89,3,0)*0.475*44/12</f>
        <v>3.8722397316755464</v>
      </c>
      <c r="AW40" s="21">
        <f>EXP(-LN(2)/2)*AW39+(1-EXP(-LN(2)/2))/(LN(2)/2)*AQ40*AT40*VLOOKUP('Données projet'!$B$10,Paramètres!$A$1:$I$89,3,0)*0.475*44/12</f>
        <v>0.60451056343299681</v>
      </c>
      <c r="AX40" s="21">
        <f t="shared" si="6"/>
        <v>7.7283870959478298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</v>
      </c>
      <c r="BD40" s="12">
        <f>IF('Données projet'!$A$88&gt;35,BD39+BC40-BL39,IF(A40&lt;'Données projet'!$A$88,$BA$205^A40,IF(A40='Données projet'!$A$88,'Données projet'!$B$88,BD39+BC40-BL39)))</f>
        <v>213.49999999999989</v>
      </c>
      <c r="BE40" s="13">
        <f>BD40*VLOOKUP('Données projet'!$B$11,Paramètres!$A$1:$I$89,3,0)*VLOOKUP('Données projet'!$B$11,Paramètres!$A$1:$I$89,5,0)</f>
        <v>99.91799999999995</v>
      </c>
      <c r="BF40" s="13">
        <f t="shared" si="37"/>
        <v>26.942461246512746</v>
      </c>
      <c r="BG40" s="20">
        <f t="shared" si="7"/>
        <v>220.94863667100961</v>
      </c>
      <c r="BH40" s="59">
        <f t="shared" si="8"/>
        <v>514.28197000434295</v>
      </c>
      <c r="BI40" s="59">
        <f ca="1">AVERAGE(OFFSET($BH$3,0,0,'Données projet'!$E$11+1,1))-AVERAGE(OFFSET($H$3,0,0,'Données projet'!$E$11+1,1))</f>
        <v>226.0452828290525</v>
      </c>
      <c r="BJ40" s="59">
        <f t="shared" si="38"/>
        <v>179.89696397462069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7.9012624119426178</v>
      </c>
      <c r="BQ40" s="21">
        <f>EXP(-LN(2)/25)*BQ39+(1-EXP(-LN(2)/25))/(LN(2)/25)*Calculateur!BL40*Calculateur!BN40*VLOOKUP('Données projet'!$B$11,Paramètres!$A$1:$I$89,3,0)*0.475*44/12</f>
        <v>9.1841271611401183</v>
      </c>
      <c r="BR40" s="21">
        <f>EXP(-LN(2)/2)*BR39+(1-EXP(-LN(2)/2))/(LN(2)/2)*BL40*BO40*VLOOKUP('Données projet'!$B$11,Paramètres!$A$1:$I$89,3,0)*0.475*44/12</f>
        <v>0.97608389367547466</v>
      </c>
      <c r="BS40" s="22">
        <f t="shared" si="9"/>
        <v>18.061473466758212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219.43439115440339</v>
      </c>
      <c r="CE40" s="59">
        <f t="shared" si="40"/>
        <v>217.8880462742099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7.3311497511277679</v>
      </c>
      <c r="CL40" s="21">
        <f>EXP(-LN(2)/25)*CL39+(1-EXP(-LN(2)/25))/(LN(2)/25)*Calculateur!CG40*Calculateur!CI40*VLOOKUP('Données projet'!$B$12,Paramètres!$A$1:$I$89,3,0)*0.475*44/12</f>
        <v>8.9052857720779404</v>
      </c>
      <c r="CM40" s="21">
        <f>EXP(-LN(2)/2)*CM39+(1-EXP(-LN(2)/2))/(LN(2)/2)*CG40*CJ40*VLOOKUP('Données projet'!$B$12,Paramètres!$A$1:$I$89,3,0)*0.475*44/12</f>
        <v>0.79307758120427174</v>
      </c>
      <c r="CN40" s="22">
        <f t="shared" si="12"/>
        <v>17.029513104409979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237.64646718446005</v>
      </c>
      <c r="T41" s="59">
        <f t="shared" si="34"/>
        <v>156.67965022779907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2.8445646587029492</v>
      </c>
      <c r="AA41" s="21">
        <f>EXP(-LN(2)/25)*AA40+(1-EXP(-LN(2)/25))/(LN(2)/25)*Calculateur!V41*Calculateur!X41*VLOOKUP('Données projet'!$B$9,Paramètres!$A$1:$I$89,3,0)*0.475*44/12</f>
        <v>3.3607458721488794</v>
      </c>
      <c r="AB41" s="21">
        <f>EXP(-LN(2)/2)*AB40+(1-EXP(-LN(2)/2))/(LN(2)/2)*V41*Y41*VLOOKUP('Données projet'!$B$9,Paramètres!$A$1:$I$89,3,0)*0.475*44/12</f>
        <v>0.38142006284211699</v>
      </c>
      <c r="AC41" s="22">
        <f t="shared" si="3"/>
        <v>6.5867305936939458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272.93635583300755</v>
      </c>
      <c r="AO41" s="59">
        <f t="shared" si="36"/>
        <v>179.56041631665812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3.1878741864774423</v>
      </c>
      <c r="AV41" s="21">
        <f>EXP(-LN(2)/25)*AV40+(1-EXP(-LN(2)/25))/(LN(2)/25)*Calculateur!AQ41*Calculateur!AS41*VLOOKUP('Données projet'!$B$10,Paramètres!$A$1:$I$89,3,0)*0.475*44/12</f>
        <v>3.7663531325806412</v>
      </c>
      <c r="AW41" s="21">
        <f>EXP(-LN(2)/2)*AW40+(1-EXP(-LN(2)/2))/(LN(2)/2)*AQ41*AT41*VLOOKUP('Données projet'!$B$10,Paramètres!$A$1:$I$89,3,0)*0.475*44/12</f>
        <v>0.42745351870237264</v>
      </c>
      <c r="AX41" s="21">
        <f t="shared" si="6"/>
        <v>7.3816808377604559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</v>
      </c>
      <c r="BD41" s="12">
        <f>IF('Données projet'!$A$88&gt;35,BD40+BC41-BL40,IF(A41&lt;'Données projet'!$A$88,$BA$205^A41,IF(A41='Données projet'!$A$88,'Données projet'!$B$88,BD40+BC41-BL40)))</f>
        <v>223.49999999999989</v>
      </c>
      <c r="BE41" s="13">
        <f>BD41*VLOOKUP('Données projet'!$B$11,Paramètres!$A$1:$I$89,3,0)*VLOOKUP('Données projet'!$B$11,Paramètres!$A$1:$I$89,5,0)</f>
        <v>104.59799999999994</v>
      </c>
      <c r="BF41" s="13">
        <f t="shared" si="37"/>
        <v>28.054525257841597</v>
      </c>
      <c r="BG41" s="20">
        <f t="shared" si="7"/>
        <v>231.03648149074067</v>
      </c>
      <c r="BH41" s="59">
        <f t="shared" si="8"/>
        <v>524.36981482407396</v>
      </c>
      <c r="BI41" s="59">
        <f ca="1">AVERAGE(OFFSET($BH$3,0,0,'Données projet'!$E$11+1,1))-AVERAGE(OFFSET($H$3,0,0,'Données projet'!$E$11+1,1))</f>
        <v>226.0452828290525</v>
      </c>
      <c r="BJ41" s="59">
        <f t="shared" si="38"/>
        <v>179.89696397462069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7.7463234753386283</v>
      </c>
      <c r="BQ41" s="21">
        <f>EXP(-LN(2)/25)*BQ40+(1-EXP(-LN(2)/25))/(LN(2)/25)*Calculateur!BL41*Calculateur!BN41*VLOOKUP('Données projet'!$B$11,Paramètres!$A$1:$I$89,3,0)*0.475*44/12</f>
        <v>8.9329867209464844</v>
      </c>
      <c r="BR41" s="21">
        <f>EXP(-LN(2)/2)*BR40+(1-EXP(-LN(2)/2))/(LN(2)/2)*BL41*BO41*VLOOKUP('Données projet'!$B$11,Paramètres!$A$1:$I$89,3,0)*0.475*44/12</f>
        <v>0.69019554022489726</v>
      </c>
      <c r="BS41" s="22">
        <f t="shared" si="9"/>
        <v>17.369505736510011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219.43439115440339</v>
      </c>
      <c r="CE41" s="59">
        <f t="shared" si="40"/>
        <v>217.8880462742099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7.1873903760679703</v>
      </c>
      <c r="CL41" s="21">
        <f>EXP(-LN(2)/25)*CL40+(1-EXP(-LN(2)/25))/(LN(2)/25)*Calculateur!CG41*Calculateur!CI41*VLOOKUP('Données projet'!$B$12,Paramètres!$A$1:$I$89,3,0)*0.475*44/12</f>
        <v>8.6617702643318442</v>
      </c>
      <c r="CM41" s="21">
        <f>EXP(-LN(2)/2)*CM40+(1-EXP(-LN(2)/2))/(LN(2)/2)*CG41*CJ41*VLOOKUP('Données projet'!$B$12,Paramètres!$A$1:$I$89,3,0)*0.475*44/12</f>
        <v>0.56079053567656534</v>
      </c>
      <c r="CN41" s="22">
        <f t="shared" si="12"/>
        <v>16.40995117607638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237.64646718446005</v>
      </c>
      <c r="T42" s="59">
        <f t="shared" si="34"/>
        <v>156.67965022779907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2.7887844807589079</v>
      </c>
      <c r="AA42" s="21">
        <f>EXP(-LN(2)/25)*AA41+(1-EXP(-LN(2)/25))/(LN(2)/25)*Calculateur!V42*Calculateur!X42*VLOOKUP('Données projet'!$B$9,Paramètres!$A$1:$I$89,3,0)*0.475*44/12</f>
        <v>3.2688460995410238</v>
      </c>
      <c r="AB42" s="21">
        <f>EXP(-LN(2)/2)*AB41+(1-EXP(-LN(2)/2))/(LN(2)/2)*V42*Y42*VLOOKUP('Données projet'!$B$9,Paramètres!$A$1:$I$89,3,0)*0.475*44/12</f>
        <v>0.26970471291626003</v>
      </c>
      <c r="AC42" s="22">
        <f t="shared" si="3"/>
        <v>6.3273352932161924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272.93635583300755</v>
      </c>
      <c r="AO42" s="59">
        <f t="shared" si="36"/>
        <v>179.56041631665812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3.1253619180918788</v>
      </c>
      <c r="AV42" s="21">
        <f>EXP(-LN(2)/25)*AV41+(1-EXP(-LN(2)/25))/(LN(2)/25)*Calculateur!AQ42*Calculateur!AS42*VLOOKUP('Données projet'!$B$10,Paramètres!$A$1:$I$89,3,0)*0.475*44/12</f>
        <v>3.6633620081063203</v>
      </c>
      <c r="AW42" s="21">
        <f>EXP(-LN(2)/2)*AW41+(1-EXP(-LN(2)/2))/(LN(2)/2)*AQ42*AT42*VLOOKUP('Données projet'!$B$10,Paramètres!$A$1:$I$89,3,0)*0.475*44/12</f>
        <v>0.3022552817164984</v>
      </c>
      <c r="AX42" s="21">
        <f t="shared" si="6"/>
        <v>7.0909792079146978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</v>
      </c>
      <c r="BD42" s="12">
        <f>IF('Données projet'!$A$88&gt;35,BD41+BC42-BL41,IF(A42&lt;'Données projet'!$A$88,$BA$205^A42,IF(A42='Données projet'!$A$88,'Données projet'!$B$88,BD41+BC42-BL41)))</f>
        <v>233.49999999999989</v>
      </c>
      <c r="BE42" s="13">
        <f>BD42*VLOOKUP('Données projet'!$B$11,Paramètres!$A$1:$I$89,3,0)*VLOOKUP('Données projet'!$B$11,Paramètres!$A$1:$I$89,5,0)</f>
        <v>109.27799999999995</v>
      </c>
      <c r="BF42" s="13">
        <f t="shared" si="37"/>
        <v>29.160810599699261</v>
      </c>
      <c r="BG42" s="20">
        <f t="shared" si="7"/>
        <v>241.11426179447608</v>
      </c>
      <c r="BH42" s="59">
        <f t="shared" si="8"/>
        <v>534.44759512780934</v>
      </c>
      <c r="BI42" s="59">
        <f ca="1">AVERAGE(OFFSET($BH$3,0,0,'Données projet'!$E$11+1,1))-AVERAGE(OFFSET($H$3,0,0,'Données projet'!$E$11+1,1))</f>
        <v>226.0452828290525</v>
      </c>
      <c r="BJ42" s="59">
        <f t="shared" si="38"/>
        <v>179.89696397462069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7.5944227967780238</v>
      </c>
      <c r="BQ42" s="21">
        <f>EXP(-LN(2)/25)*BQ41+(1-EXP(-LN(2)/25))/(LN(2)/25)*Calculateur!BL42*Calculateur!BN42*VLOOKUP('Données projet'!$B$11,Paramètres!$A$1:$I$89,3,0)*0.475*44/12</f>
        <v>8.6887137292968486</v>
      </c>
      <c r="BR42" s="21">
        <f>EXP(-LN(2)/2)*BR41+(1-EXP(-LN(2)/2))/(LN(2)/2)*BL42*BO42*VLOOKUP('Données projet'!$B$11,Paramètres!$A$1:$I$89,3,0)*0.475*44/12</f>
        <v>0.48804194683773744</v>
      </c>
      <c r="BS42" s="22">
        <f t="shared" si="9"/>
        <v>16.771178472912609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219.43439115440339</v>
      </c>
      <c r="CE42" s="59">
        <f t="shared" si="40"/>
        <v>217.8880462742099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7.0464500346685348</v>
      </c>
      <c r="CL42" s="21">
        <f>EXP(-LN(2)/25)*CL41+(1-EXP(-LN(2)/25))/(LN(2)/25)*Calculateur!CG42*Calculateur!CI42*VLOOKUP('Données projet'!$B$12,Paramètres!$A$1:$I$89,3,0)*0.475*44/12</f>
        <v>8.424913700950988</v>
      </c>
      <c r="CM42" s="21">
        <f>EXP(-LN(2)/2)*CM41+(1-EXP(-LN(2)/2))/(LN(2)/2)*CG42*CJ42*VLOOKUP('Données projet'!$B$12,Paramètres!$A$1:$I$89,3,0)*0.475*44/12</f>
        <v>0.39653879060213587</v>
      </c>
      <c r="CN42" s="22">
        <f t="shared" si="12"/>
        <v>15.867902526221659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237.64646718446005</v>
      </c>
      <c r="T43" s="59">
        <f t="shared" si="34"/>
        <v>156.67965022779907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2.7340981180818003</v>
      </c>
      <c r="AA43" s="21">
        <f>EXP(-LN(2)/25)*AA42+(1-EXP(-LN(2)/25))/(LN(2)/25)*Calculateur!V43*Calculateur!X43*VLOOKUP('Données projet'!$B$9,Paramètres!$A$1:$I$89,3,0)*0.475*44/12</f>
        <v>3.1794593310479291</v>
      </c>
      <c r="AB43" s="21">
        <f>EXP(-LN(2)/2)*AB42+(1-EXP(-LN(2)/2))/(LN(2)/2)*V43*Y43*VLOOKUP('Données projet'!$B$9,Paramètres!$A$1:$I$89,3,0)*0.475*44/12</f>
        <v>0.1907100314210585</v>
      </c>
      <c r="AC43" s="22">
        <f t="shared" si="3"/>
        <v>6.1042674805507886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272.93635583300755</v>
      </c>
      <c r="AO43" s="59">
        <f t="shared" si="36"/>
        <v>179.56041631665812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3.0640754771606371</v>
      </c>
      <c r="AV43" s="21">
        <f>EXP(-LN(2)/25)*AV42+(1-EXP(-LN(2)/25))/(LN(2)/25)*Calculateur!AQ43*Calculateur!AS43*VLOOKUP('Données projet'!$B$10,Paramètres!$A$1:$I$89,3,0)*0.475*44/12</f>
        <v>3.5631871813468177</v>
      </c>
      <c r="AW43" s="21">
        <f>EXP(-LN(2)/2)*AW42+(1-EXP(-LN(2)/2))/(LN(2)/2)*AQ43*AT43*VLOOKUP('Données projet'!$B$10,Paramètres!$A$1:$I$89,3,0)*0.475*44/12</f>
        <v>0.21372675935118632</v>
      </c>
      <c r="AX43" s="21">
        <f t="shared" si="6"/>
        <v>6.8409894178586415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243.5</v>
      </c>
      <c r="BB43" s="12">
        <f>VLOOKUP(A43,'Données projet'!$A$87:$I$107,9,0)</f>
        <v>10</v>
      </c>
      <c r="BC43" s="12">
        <f t="array" ref="BC43">INDEX(BB:BB,MIN(IF(ISNUMBER(BB43:BB239),ROW(BB43:BB239),"")))</f>
        <v>10</v>
      </c>
      <c r="BD43" s="12">
        <f>IF('Données projet'!$A$88&gt;35,BD42+BC43-BL42,IF(A43&lt;'Données projet'!$A$88,$BA$205^A43,IF(A43='Données projet'!$A$88,'Données projet'!$B$88,BD42+BC43-BL42)))</f>
        <v>243.49999999999989</v>
      </c>
      <c r="BE43" s="13">
        <f>BD43*VLOOKUP('Données projet'!$B$11,Paramètres!$A$1:$I$89,3,0)*VLOOKUP('Données projet'!$B$11,Paramètres!$A$1:$I$89,5,0)</f>
        <v>113.95799999999994</v>
      </c>
      <c r="BF43" s="13">
        <f t="shared" si="37"/>
        <v>30.261593043834445</v>
      </c>
      <c r="BG43" s="20">
        <f t="shared" si="7"/>
        <v>251.1824578846782</v>
      </c>
      <c r="BH43" s="59">
        <f t="shared" si="8"/>
        <v>544.51579121801149</v>
      </c>
      <c r="BI43" s="59">
        <f ca="1">AVERAGE(OFFSET($BH$3,0,0,'Données projet'!$E$11+1,1))-AVERAGE(OFFSET($H$3,0,0,'Données projet'!$E$11+1,1))</f>
        <v>226.0452828290525</v>
      </c>
      <c r="BJ43" s="59">
        <f t="shared" si="38"/>
        <v>179.89696397462069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7.4455007978737271</v>
      </c>
      <c r="BQ43" s="21">
        <f>EXP(-LN(2)/25)*BQ42+(1-EXP(-LN(2)/25))/(LN(2)/25)*Calculateur!BL43*Calculateur!BN43*VLOOKUP('Données projet'!$B$11,Paramètres!$A$1:$I$89,3,0)*0.475*44/12</f>
        <v>8.4511203954496299</v>
      </c>
      <c r="BR43" s="21">
        <f>EXP(-LN(2)/2)*BR42+(1-EXP(-LN(2)/2))/(LN(2)/2)*BL43*BO43*VLOOKUP('Données projet'!$B$11,Paramètres!$A$1:$I$89,3,0)*0.475*44/12</f>
        <v>0.34509777011244869</v>
      </c>
      <c r="BS43" s="22">
        <f t="shared" si="9"/>
        <v>16.241718963435805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219.43439115440339</v>
      </c>
      <c r="CE43" s="59">
        <f t="shared" si="40"/>
        <v>217.8880462742099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6.9082734473988223</v>
      </c>
      <c r="CL43" s="21">
        <f>EXP(-LN(2)/25)*CL42+(1-EXP(-LN(2)/25))/(LN(2)/25)*Calculateur!CG43*Calculateur!CI43*VLOOKUP('Données projet'!$B$12,Paramètres!$A$1:$I$89,3,0)*0.475*44/12</f>
        <v>8.1945339927515271</v>
      </c>
      <c r="CM43" s="21">
        <f>EXP(-LN(2)/2)*CM42+(1-EXP(-LN(2)/2))/(LN(2)/2)*CG43*CJ43*VLOOKUP('Données projet'!$B$12,Paramètres!$A$1:$I$89,3,0)*0.475*44/12</f>
        <v>0.28039526783828267</v>
      </c>
      <c r="CN43" s="22">
        <f t="shared" si="12"/>
        <v>15.383202707988634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237.64646718446005</v>
      </c>
      <c r="T44" s="59">
        <f t="shared" si="34"/>
        <v>156.67965022779907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2.680484121621403</v>
      </c>
      <c r="AA44" s="21">
        <f>EXP(-LN(2)/25)*AA43+(1-EXP(-LN(2)/25))/(LN(2)/25)*Calculateur!V44*Calculateur!X44*VLOOKUP('Données projet'!$B$9,Paramètres!$A$1:$I$89,3,0)*0.475*44/12</f>
        <v>3.0925168484399239</v>
      </c>
      <c r="AB44" s="21">
        <f>EXP(-LN(2)/2)*AB43+(1-EXP(-LN(2)/2))/(LN(2)/2)*V44*Y44*VLOOKUP('Données projet'!$B$9,Paramètres!$A$1:$I$89,3,0)*0.475*44/12</f>
        <v>0.13485235645813001</v>
      </c>
      <c r="AC44" s="22">
        <f t="shared" si="3"/>
        <v>5.907853326519457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272.93635583300755</v>
      </c>
      <c r="AO44" s="59">
        <f t="shared" si="36"/>
        <v>179.56041631665812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3.0039908259550194</v>
      </c>
      <c r="AV44" s="21">
        <f>EXP(-LN(2)/25)*AV43+(1-EXP(-LN(2)/25))/(LN(2)/25)*Calculateur!AQ44*Calculateur!AS44*VLOOKUP('Données projet'!$B$10,Paramètres!$A$1:$I$89,3,0)*0.475*44/12</f>
        <v>3.4657516404930186</v>
      </c>
      <c r="AW44" s="21">
        <f>EXP(-LN(2)/2)*AW43+(1-EXP(-LN(2)/2))/(LN(2)/2)*AQ44*AT44*VLOOKUP('Données projet'!$B$10,Paramètres!$A$1:$I$89,3,0)*0.475*44/12</f>
        <v>0.1511276408582492</v>
      </c>
      <c r="AX44" s="21">
        <f t="shared" si="6"/>
        <v>6.6208701073062866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184.99999999999989</v>
      </c>
      <c r="BE44" s="13">
        <f>BD44*VLOOKUP('Données projet'!$B$11,Paramètres!$A$1:$I$89,3,0)*VLOOKUP('Données projet'!$B$11,Paramètres!$A$1:$I$89,5,0)</f>
        <v>86.579999999999941</v>
      </c>
      <c r="BF44" s="13">
        <f t="shared" si="37"/>
        <v>23.738552844733956</v>
      </c>
      <c r="BG44" s="20">
        <f t="shared" si="7"/>
        <v>192.13814620457819</v>
      </c>
      <c r="BH44" s="59">
        <f t="shared" si="8"/>
        <v>485.47147953791148</v>
      </c>
      <c r="BI44" s="59">
        <f ca="1">AVERAGE(OFFSET($BH$3,0,0,'Données projet'!$E$11+1,1))-AVERAGE(OFFSET($H$3,0,0,'Données projet'!$E$11+1,1))</f>
        <v>226.0452828290525</v>
      </c>
      <c r="BJ44" s="59">
        <f t="shared" si="38"/>
        <v>179.89696397462069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7.2994990685344936</v>
      </c>
      <c r="BQ44" s="21">
        <f>EXP(-LN(2)/25)*BQ43+(1-EXP(-LN(2)/25))/(LN(2)/25)*Calculateur!BL44*Calculateur!BN44*VLOOKUP('Données projet'!$B$11,Paramètres!$A$1:$I$89,3,0)*0.475*44/12</f>
        <v>8.2200240638109534</v>
      </c>
      <c r="BR44" s="21">
        <f>EXP(-LN(2)/2)*BR43+(1-EXP(-LN(2)/2))/(LN(2)/2)*BL44*BO44*VLOOKUP('Données projet'!$B$11,Paramètres!$A$1:$I$89,3,0)*0.475*44/12</f>
        <v>0.24402097341886875</v>
      </c>
      <c r="BS44" s="22">
        <f t="shared" si="9"/>
        <v>15.763544105764316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219.43439115440339</v>
      </c>
      <c r="CE44" s="59">
        <f t="shared" si="40"/>
        <v>217.8880462742099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6.7728064187260726</v>
      </c>
      <c r="CL44" s="21">
        <f>EXP(-LN(2)/25)*CL43+(1-EXP(-LN(2)/25))/(LN(2)/25)*Calculateur!CG44*Calculateur!CI44*VLOOKUP('Données projet'!$B$12,Paramètres!$A$1:$I$89,3,0)*0.475*44/12</f>
        <v>7.9704540297879225</v>
      </c>
      <c r="CM44" s="21">
        <f>EXP(-LN(2)/2)*CM43+(1-EXP(-LN(2)/2))/(LN(2)/2)*CG44*CJ44*VLOOKUP('Données projet'!$B$12,Paramètres!$A$1:$I$89,3,0)*0.475*44/12</f>
        <v>0.19826939530106794</v>
      </c>
      <c r="CN44" s="22">
        <f t="shared" si="12"/>
        <v>14.941529843815063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237.64646718446005</v>
      </c>
      <c r="T45" s="59">
        <f t="shared" si="34"/>
        <v>156.67965022779907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2.6279214629302854</v>
      </c>
      <c r="AA45" s="21">
        <f>EXP(-LN(2)/25)*AA44+(1-EXP(-LN(2)/25))/(LN(2)/25)*Calculateur!V45*Calculateur!X45*VLOOKUP('Données projet'!$B$9,Paramètres!$A$1:$I$89,3,0)*0.475*44/12</f>
        <v>3.007951812590941</v>
      </c>
      <c r="AB45" s="21">
        <f>EXP(-LN(2)/2)*AB44+(1-EXP(-LN(2)/2))/(LN(2)/2)*V45*Y45*VLOOKUP('Données projet'!$B$9,Paramètres!$A$1:$I$89,3,0)*0.475*44/12</f>
        <v>9.5355015710529248E-2</v>
      </c>
      <c r="AC45" s="22">
        <f t="shared" si="3"/>
        <v>5.7312282912317558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272.93635583300755</v>
      </c>
      <c r="AO45" s="59">
        <f t="shared" si="36"/>
        <v>179.56041631665812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2.9450843981115251</v>
      </c>
      <c r="AV45" s="21">
        <f>EXP(-LN(2)/25)*AV44+(1-EXP(-LN(2)/25))/(LN(2)/25)*Calculateur!AQ45*Calculateur!AS45*VLOOKUP('Données projet'!$B$10,Paramètres!$A$1:$I$89,3,0)*0.475*44/12</f>
        <v>3.3709804796277796</v>
      </c>
      <c r="AW45" s="21">
        <f>EXP(-LN(2)/2)*AW44+(1-EXP(-LN(2)/2))/(LN(2)/2)*AQ45*AT45*VLOOKUP('Données projet'!$B$10,Paramètres!$A$1:$I$89,3,0)*0.475*44/12</f>
        <v>0.10686337967559316</v>
      </c>
      <c r="AX45" s="21">
        <f t="shared" si="6"/>
        <v>6.4229282574148971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196.49999999999989</v>
      </c>
      <c r="BE45" s="13">
        <f>BD45*VLOOKUP('Données projet'!$B$11,Paramètres!$A$1:$I$89,3,0)*VLOOKUP('Données projet'!$B$11,Paramètres!$A$1:$I$89,5,0)</f>
        <v>91.961999999999946</v>
      </c>
      <c r="BF45" s="13">
        <f t="shared" si="37"/>
        <v>25.037816603121904</v>
      </c>
      <c r="BG45" s="20">
        <f t="shared" si="7"/>
        <v>203.77468058377053</v>
      </c>
      <c r="BH45" s="59">
        <f t="shared" si="8"/>
        <v>497.10801391710385</v>
      </c>
      <c r="BI45" s="59">
        <f ca="1">AVERAGE(OFFSET($BH$3,0,0,'Données projet'!$E$11+1,1))-AVERAGE(OFFSET($H$3,0,0,'Données projet'!$E$11+1,1))</f>
        <v>226.0452828290525</v>
      </c>
      <c r="BJ45" s="59">
        <f t="shared" si="38"/>
        <v>179.89696397462069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7.1563603440553401</v>
      </c>
      <c r="BQ45" s="21">
        <f>EXP(-LN(2)/25)*BQ44+(1-EXP(-LN(2)/25))/(LN(2)/25)*Calculateur!BL45*Calculateur!BN45*VLOOKUP('Données projet'!$B$11,Paramètres!$A$1:$I$89,3,0)*0.475*44/12</f>
        <v>7.9952470735137648</v>
      </c>
      <c r="BR45" s="21">
        <f>EXP(-LN(2)/2)*BR44+(1-EXP(-LN(2)/2))/(LN(2)/2)*BL45*BO45*VLOOKUP('Données projet'!$B$11,Paramètres!$A$1:$I$89,3,0)*0.475*44/12</f>
        <v>0.17254888505622437</v>
      </c>
      <c r="BS45" s="22">
        <f t="shared" si="9"/>
        <v>15.32415630262533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219.43439115440339</v>
      </c>
      <c r="CE45" s="59">
        <f t="shared" si="40"/>
        <v>217.8880462742099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6.6399958158588666</v>
      </c>
      <c r="CL45" s="21">
        <f>EXP(-LN(2)/25)*CL44+(1-EXP(-LN(2)/25))/(LN(2)/25)*Calculateur!CG45*Calculateur!CI45*VLOOKUP('Données projet'!$B$12,Paramètres!$A$1:$I$89,3,0)*0.475*44/12</f>
        <v>7.7525015451954111</v>
      </c>
      <c r="CM45" s="21">
        <f>EXP(-LN(2)/2)*CM44+(1-EXP(-LN(2)/2))/(LN(2)/2)*CG45*CJ45*VLOOKUP('Données projet'!$B$12,Paramètres!$A$1:$I$89,3,0)*0.475*44/12</f>
        <v>0.14019763391914133</v>
      </c>
      <c r="CN45" s="22">
        <f t="shared" si="12"/>
        <v>14.53269499497342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237.64646718446005</v>
      </c>
      <c r="T46" s="59">
        <f t="shared" si="34"/>
        <v>156.67965022779907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2.5763895259160443</v>
      </c>
      <c r="AA46" s="21">
        <f>EXP(-LN(2)/25)*AA45+(1-EXP(-LN(2)/25))/(LN(2)/25)*Calculateur!V46*Calculateur!X46*VLOOKUP('Données projet'!$B$9,Paramètres!$A$1:$I$89,3,0)*0.475*44/12</f>
        <v>2.9256992120943308</v>
      </c>
      <c r="AB46" s="21">
        <f>EXP(-LN(2)/2)*AB45+(1-EXP(-LN(2)/2))/(LN(2)/2)*V46*Y46*VLOOKUP('Données projet'!$B$9,Paramètres!$A$1:$I$89,3,0)*0.475*44/12</f>
        <v>6.7426178229065006E-2</v>
      </c>
      <c r="AC46" s="22">
        <f t="shared" si="3"/>
        <v>5.5695149162394397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272.93635583300755</v>
      </c>
      <c r="AO46" s="59">
        <f t="shared" si="36"/>
        <v>179.56041631665812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2.8873330893886688</v>
      </c>
      <c r="AV46" s="21">
        <f>EXP(-LN(2)/25)*AV45+(1-EXP(-LN(2)/25))/(LN(2)/25)*Calculateur!AQ46*Calculateur!AS46*VLOOKUP('Données projet'!$B$10,Paramètres!$A$1:$I$89,3,0)*0.475*44/12</f>
        <v>3.2788008411401992</v>
      </c>
      <c r="AW46" s="21">
        <f>EXP(-LN(2)/2)*AW45+(1-EXP(-LN(2)/2))/(LN(2)/2)*AQ46*AT46*VLOOKUP('Données projet'!$B$10,Paramètres!$A$1:$I$89,3,0)*0.475*44/12</f>
        <v>7.5563820429124601E-2</v>
      </c>
      <c r="AX46" s="21">
        <f t="shared" si="6"/>
        <v>6.241697750957993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207.99999999999989</v>
      </c>
      <c r="BE46" s="13">
        <f>BD46*VLOOKUP('Données projet'!$B$11,Paramètres!$A$1:$I$89,3,0)*VLOOKUP('Données projet'!$B$11,Paramètres!$A$1:$I$89,5,0)</f>
        <v>97.343999999999937</v>
      </c>
      <c r="BF46" s="13">
        <f t="shared" si="37"/>
        <v>26.328254259866451</v>
      </c>
      <c r="BG46" s="20">
        <f t="shared" si="7"/>
        <v>215.39584283593396</v>
      </c>
      <c r="BH46" s="59">
        <f t="shared" si="8"/>
        <v>508.72917616926725</v>
      </c>
      <c r="BI46" s="59">
        <f ca="1">AVERAGE(OFFSET($BH$3,0,0,'Données projet'!$E$11+1,1))-AVERAGE(OFFSET($H$3,0,0,'Données projet'!$E$11+1,1))</f>
        <v>226.0452828290525</v>
      </c>
      <c r="BJ46" s="59">
        <f t="shared" si="38"/>
        <v>179.89696397462069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7.0160284826572221</v>
      </c>
      <c r="BQ46" s="21">
        <f>EXP(-LN(2)/25)*BQ45+(1-EXP(-LN(2)/25))/(LN(2)/25)*Calculateur!BL46*Calculateur!BN46*VLOOKUP('Données projet'!$B$11,Paramètres!$A$1:$I$89,3,0)*0.475*44/12</f>
        <v>7.7766166218367605</v>
      </c>
      <c r="BR46" s="21">
        <f>EXP(-LN(2)/2)*BR45+(1-EXP(-LN(2)/2))/(LN(2)/2)*BL46*BO46*VLOOKUP('Données projet'!$B$11,Paramètres!$A$1:$I$89,3,0)*0.475*44/12</f>
        <v>0.1220104867094344</v>
      </c>
      <c r="BS46" s="22">
        <f t="shared" si="9"/>
        <v>14.914655591203417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219.43439115440339</v>
      </c>
      <c r="CE46" s="59">
        <f t="shared" si="40"/>
        <v>217.8880462742099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6.5097895479074177</v>
      </c>
      <c r="CL46" s="21">
        <f>EXP(-LN(2)/25)*CL45+(1-EXP(-LN(2)/25))/(LN(2)/25)*Calculateur!CG46*Calculateur!CI46*VLOOKUP('Données projet'!$B$12,Paramètres!$A$1:$I$89,3,0)*0.475*44/12</f>
        <v>7.5405089827557052</v>
      </c>
      <c r="CM46" s="21">
        <f>EXP(-LN(2)/2)*CM45+(1-EXP(-LN(2)/2))/(LN(2)/2)*CG46*CJ46*VLOOKUP('Données projet'!$B$12,Paramètres!$A$1:$I$89,3,0)*0.475*44/12</f>
        <v>9.9134697650533968E-2</v>
      </c>
      <c r="CN46" s="22">
        <f t="shared" si="12"/>
        <v>14.149433228313658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237.64646718446005</v>
      </c>
      <c r="T47" s="59">
        <f t="shared" si="34"/>
        <v>156.67965022779907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2.5258680987552746</v>
      </c>
      <c r="AA47" s="21">
        <f>EXP(-LN(2)/25)*AA46+(1-EXP(-LN(2)/25))/(LN(2)/25)*Calculateur!V47*Calculateur!X47*VLOOKUP('Données projet'!$B$9,Paramètres!$A$1:$I$89,3,0)*0.475*44/12</f>
        <v>2.8456958132837764</v>
      </c>
      <c r="AB47" s="21">
        <f>EXP(-LN(2)/2)*AB46+(1-EXP(-LN(2)/2))/(LN(2)/2)*V47*Y47*VLOOKUP('Données projet'!$B$9,Paramètres!$A$1:$I$89,3,0)*0.475*44/12</f>
        <v>4.7677507855264624E-2</v>
      </c>
      <c r="AC47" s="22">
        <f t="shared" si="3"/>
        <v>5.4192414198943153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272.93635583300755</v>
      </c>
      <c r="AO47" s="59">
        <f t="shared" si="36"/>
        <v>179.56041631665812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2.8307142486050476</v>
      </c>
      <c r="AV47" s="21">
        <f>EXP(-LN(2)/25)*AV46+(1-EXP(-LN(2)/25))/(LN(2)/25)*Calculateur!AQ47*Calculateur!AS47*VLOOKUP('Données projet'!$B$10,Paramètres!$A$1:$I$89,3,0)*0.475*44/12</f>
        <v>3.189141859714578</v>
      </c>
      <c r="AW47" s="21">
        <f>EXP(-LN(2)/2)*AW46+(1-EXP(-LN(2)/2))/(LN(2)/2)*AQ47*AT47*VLOOKUP('Données projet'!$B$10,Paramètres!$A$1:$I$89,3,0)*0.475*44/12</f>
        <v>5.343168983779658E-2</v>
      </c>
      <c r="AX47" s="21">
        <f t="shared" si="6"/>
        <v>6.0732877981574225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219.49999999999989</v>
      </c>
      <c r="BE47" s="13">
        <f>BD47*VLOOKUP('Données projet'!$B$11,Paramètres!$A$1:$I$89,3,0)*VLOOKUP('Données projet'!$B$11,Paramètres!$A$1:$I$89,5,0)</f>
        <v>102.72599999999994</v>
      </c>
      <c r="BF47" s="13">
        <f t="shared" si="37"/>
        <v>27.610409417164195</v>
      </c>
      <c r="BG47" s="20">
        <f t="shared" si="7"/>
        <v>227.0025797348942</v>
      </c>
      <c r="BH47" s="59">
        <f t="shared" si="8"/>
        <v>520.33591306822746</v>
      </c>
      <c r="BI47" s="59">
        <f ca="1">AVERAGE(OFFSET($BH$3,0,0,'Données projet'!$E$11+1,1))-AVERAGE(OFFSET($H$3,0,0,'Données projet'!$E$11+1,1))</f>
        <v>226.0452828290525</v>
      </c>
      <c r="BJ47" s="59">
        <f t="shared" si="38"/>
        <v>179.89696397462069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6.8784484434671374</v>
      </c>
      <c r="BQ47" s="21">
        <f>EXP(-LN(2)/25)*BQ46+(1-EXP(-LN(2)/25))/(LN(2)/25)*Calculateur!BL47*Calculateur!BN47*VLOOKUP('Données projet'!$B$11,Paramètres!$A$1:$I$89,3,0)*0.475*44/12</f>
        <v>7.5639646313581395</v>
      </c>
      <c r="BR47" s="21">
        <f>EXP(-LN(2)/2)*BR46+(1-EXP(-LN(2)/2))/(LN(2)/2)*BL47*BO47*VLOOKUP('Données projet'!$B$11,Paramètres!$A$1:$I$89,3,0)*0.475*44/12</f>
        <v>8.62744425281122E-2</v>
      </c>
      <c r="BS47" s="22">
        <f t="shared" si="9"/>
        <v>14.528687517353388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219.43439115440339</v>
      </c>
      <c r="CE47" s="59">
        <f t="shared" si="40"/>
        <v>217.8880462742099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6.3821365454525152</v>
      </c>
      <c r="CL47" s="21">
        <f>EXP(-LN(2)/25)*CL46+(1-EXP(-LN(2)/25))/(LN(2)/25)*Calculateur!CG47*Calculateur!CI47*VLOOKUP('Données projet'!$B$12,Paramètres!$A$1:$I$89,3,0)*0.475*44/12</f>
        <v>7.3343133680841168</v>
      </c>
      <c r="CM47" s="21">
        <f>EXP(-LN(2)/2)*CM46+(1-EXP(-LN(2)/2))/(LN(2)/2)*CG47*CJ47*VLOOKUP('Données projet'!$B$12,Paramètres!$A$1:$I$89,3,0)*0.475*44/12</f>
        <v>7.0098816959570667E-2</v>
      </c>
      <c r="CN47" s="22">
        <f t="shared" si="12"/>
        <v>13.786548730496202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237.64646718446005</v>
      </c>
      <c r="T48" s="59">
        <f t="shared" si="34"/>
        <v>156.67965022779907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2.4763373659660997</v>
      </c>
      <c r="AA48" s="21">
        <f>EXP(-LN(2)/25)*AA47+(1-EXP(-LN(2)/25))/(LN(2)/25)*Calculateur!V48*Calculateur!X48*VLOOKUP('Données projet'!$B$9,Paramètres!$A$1:$I$89,3,0)*0.475*44/12</f>
        <v>2.7678801116208929</v>
      </c>
      <c r="AB48" s="21">
        <f>EXP(-LN(2)/2)*AB47+(1-EXP(-LN(2)/2))/(LN(2)/2)*V48*Y48*VLOOKUP('Données projet'!$B$9,Paramètres!$A$1:$I$89,3,0)*0.475*44/12</f>
        <v>3.3713089114532503E-2</v>
      </c>
      <c r="AC48" s="22">
        <f t="shared" si="3"/>
        <v>5.2779305667015253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272.93635583300755</v>
      </c>
      <c r="AO48" s="59">
        <f t="shared" si="36"/>
        <v>179.56041631665812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2.7752056687551101</v>
      </c>
      <c r="AV48" s="21">
        <f>EXP(-LN(2)/25)*AV47+(1-EXP(-LN(2)/25))/(LN(2)/25)*Calculateur!AQ48*Calculateur!AS48*VLOOKUP('Données projet'!$B$10,Paramètres!$A$1:$I$89,3,0)*0.475*44/12</f>
        <v>3.1019346078510015</v>
      </c>
      <c r="AW48" s="21">
        <f>EXP(-LN(2)/2)*AW47+(1-EXP(-LN(2)/2))/(LN(2)/2)*AQ48*AT48*VLOOKUP('Données projet'!$B$10,Paramètres!$A$1:$I$89,3,0)*0.475*44/12</f>
        <v>3.77819102145623E-2</v>
      </c>
      <c r="AX48" s="21">
        <f t="shared" si="6"/>
        <v>5.9149221868206734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230.99999999999989</v>
      </c>
      <c r="BE48" s="13">
        <f>BD48*VLOOKUP('Données projet'!$B$11,Paramètres!$A$1:$I$89,3,0)*VLOOKUP('Données projet'!$B$11,Paramètres!$A$1:$I$89,5,0)</f>
        <v>108.10799999999995</v>
      </c>
      <c r="BF48" s="13">
        <f t="shared" si="37"/>
        <v>28.884765499467136</v>
      </c>
      <c r="BG48" s="20">
        <f t="shared" si="7"/>
        <v>238.59573324490518</v>
      </c>
      <c r="BH48" s="59">
        <f t="shared" si="8"/>
        <v>531.92906657823846</v>
      </c>
      <c r="BI48" s="59">
        <f ca="1">AVERAGE(OFFSET($BH$3,0,0,'Données projet'!$E$11+1,1))-AVERAGE(OFFSET($H$3,0,0,'Données projet'!$E$11+1,1))</f>
        <v>226.0452828290525</v>
      </c>
      <c r="BJ48" s="59">
        <f t="shared" si="38"/>
        <v>179.89696397462069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6.7435662649300321</v>
      </c>
      <c r="BQ48" s="21">
        <f>EXP(-LN(2)/25)*BQ47+(1-EXP(-LN(2)/25))/(LN(2)/25)*Calculateur!BL48*Calculateur!BN48*VLOOKUP('Données projet'!$B$11,Paramètres!$A$1:$I$89,3,0)*0.475*44/12</f>
        <v>7.3571276207420384</v>
      </c>
      <c r="BR48" s="21">
        <f>EXP(-LN(2)/2)*BR47+(1-EXP(-LN(2)/2))/(LN(2)/2)*BL48*BO48*VLOOKUP('Données projet'!$B$11,Paramètres!$A$1:$I$89,3,0)*0.475*44/12</f>
        <v>6.1005243354717208E-2</v>
      </c>
      <c r="BS48" s="22">
        <f t="shared" si="9"/>
        <v>14.161699129026788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219.43439115440339</v>
      </c>
      <c r="CE48" s="59">
        <f t="shared" si="40"/>
        <v>217.8880462742099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6.2569867405151101</v>
      </c>
      <c r="CL48" s="21">
        <f>EXP(-LN(2)/25)*CL47+(1-EXP(-LN(2)/25))/(LN(2)/25)*Calculateur!CG48*Calculateur!CI48*VLOOKUP('Données projet'!$B$12,Paramètres!$A$1:$I$89,3,0)*0.475*44/12</f>
        <v>7.133756183339079</v>
      </c>
      <c r="CM48" s="21">
        <f>EXP(-LN(2)/2)*CM47+(1-EXP(-LN(2)/2))/(LN(2)/2)*CG48*CJ48*VLOOKUP('Données projet'!$B$12,Paramètres!$A$1:$I$89,3,0)*0.475*44/12</f>
        <v>4.9567348825266984E-2</v>
      </c>
      <c r="CN48" s="22">
        <f t="shared" si="12"/>
        <v>13.440310272679456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237.64646718446005</v>
      </c>
      <c r="T49" s="59">
        <f t="shared" si="34"/>
        <v>156.67965022779907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2.4277779006361566</v>
      </c>
      <c r="AA49" s="21">
        <f>EXP(-LN(2)/25)*AA48+(1-EXP(-LN(2)/25))/(LN(2)/25)*Calculateur!V49*Calculateur!X49*VLOOKUP('Données projet'!$B$9,Paramètres!$A$1:$I$89,3,0)*0.475*44/12</f>
        <v>2.6921922844121307</v>
      </c>
      <c r="AB49" s="21">
        <f>EXP(-LN(2)/2)*AB48+(1-EXP(-LN(2)/2))/(LN(2)/2)*V49*Y49*VLOOKUP('Données projet'!$B$9,Paramètres!$A$1:$I$89,3,0)*0.475*44/12</f>
        <v>2.3838753927632312E-2</v>
      </c>
      <c r="AC49" s="22">
        <f t="shared" si="3"/>
        <v>5.1438089389759192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272.93635583300755</v>
      </c>
      <c r="AO49" s="59">
        <f t="shared" si="36"/>
        <v>179.56041631665812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2.7207855782991395</v>
      </c>
      <c r="AV49" s="21">
        <f>EXP(-LN(2)/25)*AV48+(1-EXP(-LN(2)/25))/(LN(2)/25)*Calculateur!AQ49*Calculateur!AS49*VLOOKUP('Données projet'!$B$10,Paramètres!$A$1:$I$89,3,0)*0.475*44/12</f>
        <v>3.0171120428756644</v>
      </c>
      <c r="AW49" s="21">
        <f>EXP(-LN(2)/2)*AW48+(1-EXP(-LN(2)/2))/(LN(2)/2)*AQ49*AT49*VLOOKUP('Données projet'!$B$10,Paramètres!$A$1:$I$89,3,0)*0.475*44/12</f>
        <v>2.671584491889829E-2</v>
      </c>
      <c r="AX49" s="21">
        <f t="shared" si="6"/>
        <v>5.764613466093703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242.49999999999989</v>
      </c>
      <c r="BE49" s="13">
        <f>BD49*VLOOKUP('Données projet'!$B$11,Paramètres!$A$1:$I$89,3,0)*VLOOKUP('Données projet'!$B$11,Paramètres!$A$1:$I$89,5,0)</f>
        <v>113.48999999999994</v>
      </c>
      <c r="BF49" s="13">
        <f t="shared" si="37"/>
        <v>30.151755078981495</v>
      </c>
      <c r="BG49" s="20">
        <f t="shared" si="7"/>
        <v>250.17605676255928</v>
      </c>
      <c r="BH49" s="59">
        <f t="shared" si="8"/>
        <v>543.50939009589263</v>
      </c>
      <c r="BI49" s="59">
        <f ca="1">AVERAGE(OFFSET($BH$3,0,0,'Données projet'!$E$11+1,1))-AVERAGE(OFFSET($H$3,0,0,'Données projet'!$E$11+1,1))</f>
        <v>226.0452828290525</v>
      </c>
      <c r="BJ49" s="59">
        <f t="shared" si="38"/>
        <v>179.89696397462069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6.6113290436440337</v>
      </c>
      <c r="BQ49" s="21">
        <f>EXP(-LN(2)/25)*BQ48+(1-EXP(-LN(2)/25))/(LN(2)/25)*Calculateur!BL49*Calculateur!BN49*VLOOKUP('Données projet'!$B$11,Paramètres!$A$1:$I$89,3,0)*0.475*44/12</f>
        <v>7.1559465790583205</v>
      </c>
      <c r="BR49" s="21">
        <f>EXP(-LN(2)/2)*BR48+(1-EXP(-LN(2)/2))/(LN(2)/2)*BL49*BO49*VLOOKUP('Données projet'!$B$11,Paramètres!$A$1:$I$89,3,0)*0.475*44/12</f>
        <v>4.3137221264056107E-2</v>
      </c>
      <c r="BS49" s="22">
        <f t="shared" si="9"/>
        <v>13.810412843966409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219.43439115440339</v>
      </c>
      <c r="CE49" s="59">
        <f t="shared" si="40"/>
        <v>217.8880462742099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6.1342910469186833</v>
      </c>
      <c r="CL49" s="21">
        <f>EXP(-LN(2)/25)*CL48+(1-EXP(-LN(2)/25))/(LN(2)/25)*Calculateur!CG49*Calculateur!CI49*VLOOKUP('Données projet'!$B$12,Paramètres!$A$1:$I$89,3,0)*0.475*44/12</f>
        <v>6.9386832453577387</v>
      </c>
      <c r="CM49" s="21">
        <f>EXP(-LN(2)/2)*CM48+(1-EXP(-LN(2)/2))/(LN(2)/2)*CG49*CJ49*VLOOKUP('Données projet'!$B$12,Paramètres!$A$1:$I$89,3,0)*0.475*44/12</f>
        <v>3.5049408479785334E-2</v>
      </c>
      <c r="CN49" s="22">
        <f t="shared" si="12"/>
        <v>13.108023700756208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237.64646718446005</v>
      </c>
      <c r="T50" s="59">
        <f t="shared" si="34"/>
        <v>156.67965022779907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2.3801706568029841</v>
      </c>
      <c r="AA50" s="21">
        <f>EXP(-LN(2)/25)*AA49+(1-EXP(-LN(2)/25))/(LN(2)/25)*Calculateur!V50*Calculateur!X50*VLOOKUP('Données projet'!$B$9,Paramètres!$A$1:$I$89,3,0)*0.475*44/12</f>
        <v>2.6185741448186417</v>
      </c>
      <c r="AB50" s="21">
        <f>EXP(-LN(2)/2)*AB49+(1-EXP(-LN(2)/2))/(LN(2)/2)*V50*Y50*VLOOKUP('Données projet'!$B$9,Paramètres!$A$1:$I$89,3,0)*0.475*44/12</f>
        <v>1.6856544557266252E-2</v>
      </c>
      <c r="AC50" s="22">
        <f t="shared" si="3"/>
        <v>5.0156013461788929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272.93635583300755</v>
      </c>
      <c r="AO50" s="59">
        <f t="shared" si="36"/>
        <v>179.56041631665812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2.6674326326240325</v>
      </c>
      <c r="AV50" s="21">
        <f>EXP(-LN(2)/25)*AV49+(1-EXP(-LN(2)/25))/(LN(2)/25)*Calculateur!AQ50*Calculateur!AS50*VLOOKUP('Données projet'!$B$10,Paramètres!$A$1:$I$89,3,0)*0.475*44/12</f>
        <v>2.9346089554002028</v>
      </c>
      <c r="AW50" s="21">
        <f>EXP(-LN(2)/2)*AW49+(1-EXP(-LN(2)/2))/(LN(2)/2)*AQ50*AT50*VLOOKUP('Données projet'!$B$10,Paramètres!$A$1:$I$89,3,0)*0.475*44/12</f>
        <v>1.889095510728115E-2</v>
      </c>
      <c r="AX50" s="21">
        <f t="shared" si="6"/>
        <v>5.6209325431315165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253.99999999999989</v>
      </c>
      <c r="BE50" s="13">
        <f>BD50*VLOOKUP('Données projet'!$B$11,Paramètres!$A$1:$I$89,3,0)*VLOOKUP('Données projet'!$B$11,Paramètres!$A$1:$I$89,5,0)</f>
        <v>118.87199999999994</v>
      </c>
      <c r="BF50" s="13">
        <f t="shared" si="37"/>
        <v>31.411767382096219</v>
      </c>
      <c r="BG50" s="20">
        <f t="shared" si="7"/>
        <v>261.74422819048414</v>
      </c>
      <c r="BH50" s="59">
        <f t="shared" si="8"/>
        <v>555.07756152381739</v>
      </c>
      <c r="BI50" s="59">
        <f ca="1">AVERAGE(OFFSET($BH$3,0,0,'Données projet'!$E$11+1,1))-AVERAGE(OFFSET($H$3,0,0,'Données projet'!$E$11+1,1))</f>
        <v>226.0452828290525</v>
      </c>
      <c r="BJ50" s="59">
        <f t="shared" si="38"/>
        <v>179.89696397462069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6.4816849136107137</v>
      </c>
      <c r="BQ50" s="21">
        <f>EXP(-LN(2)/25)*BQ49+(1-EXP(-LN(2)/25))/(LN(2)/25)*Calculateur!BL50*Calculateur!BN50*VLOOKUP('Données projet'!$B$11,Paramètres!$A$1:$I$89,3,0)*0.475*44/12</f>
        <v>6.9602668435390953</v>
      </c>
      <c r="BR50" s="21">
        <f>EXP(-LN(2)/2)*BR49+(1-EXP(-LN(2)/2))/(LN(2)/2)*BL50*BO50*VLOOKUP('Données projet'!$B$11,Paramètres!$A$1:$I$89,3,0)*0.475*44/12</f>
        <v>3.0502621677358607E-2</v>
      </c>
      <c r="BS50" s="22">
        <f t="shared" si="9"/>
        <v>13.472454378827168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219.43439115440339</v>
      </c>
      <c r="CE50" s="59">
        <f t="shared" si="40"/>
        <v>217.8880462742099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6.0140013410366997</v>
      </c>
      <c r="CL50" s="21">
        <f>EXP(-LN(2)/25)*CL49+(1-EXP(-LN(2)/25))/(LN(2)/25)*Calculateur!CG50*Calculateur!CI50*VLOOKUP('Données projet'!$B$12,Paramètres!$A$1:$I$89,3,0)*0.475*44/12</f>
        <v>6.7489445871239377</v>
      </c>
      <c r="CM50" s="21">
        <f>EXP(-LN(2)/2)*CM49+(1-EXP(-LN(2)/2))/(LN(2)/2)*CG50*CJ50*VLOOKUP('Données projet'!$B$12,Paramètres!$A$1:$I$89,3,0)*0.475*44/12</f>
        <v>2.4783674412633492E-2</v>
      </c>
      <c r="CN50" s="22">
        <f t="shared" si="12"/>
        <v>12.78772960257327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237.64646718446005</v>
      </c>
      <c r="T51" s="59">
        <f t="shared" si="34"/>
        <v>156.67965022779907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2.3334969619838288</v>
      </c>
      <c r="AA51" s="21">
        <f>EXP(-LN(2)/25)*AA50+(1-EXP(-LN(2)/25))/(LN(2)/25)*Calculateur!V51*Calculateur!X51*VLOOKUP('Données projet'!$B$9,Paramètres!$A$1:$I$89,3,0)*0.475*44/12</f>
        <v>2.5469690971237466</v>
      </c>
      <c r="AB51" s="21">
        <f>EXP(-LN(2)/2)*AB50+(1-EXP(-LN(2)/2))/(LN(2)/2)*V51*Y51*VLOOKUP('Données projet'!$B$9,Paramètres!$A$1:$I$89,3,0)*0.475*44/12</f>
        <v>1.1919376963816156E-2</v>
      </c>
      <c r="AC51" s="22">
        <f t="shared" si="3"/>
        <v>4.8923854360713923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272.93635583300755</v>
      </c>
      <c r="AO51" s="59">
        <f t="shared" si="36"/>
        <v>179.56041631665812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2.615125905671531</v>
      </c>
      <c r="AV51" s="21">
        <f>EXP(-LN(2)/25)*AV50+(1-EXP(-LN(2)/25))/(LN(2)/25)*Calculateur!AQ51*Calculateur!AS51*VLOOKUP('Données projet'!$B$10,Paramètres!$A$1:$I$89,3,0)*0.475*44/12</f>
        <v>2.8543619191904064</v>
      </c>
      <c r="AW51" s="21">
        <f>EXP(-LN(2)/2)*AW50+(1-EXP(-LN(2)/2))/(LN(2)/2)*AQ51*AT51*VLOOKUP('Données projet'!$B$10,Paramètres!$A$1:$I$89,3,0)*0.475*44/12</f>
        <v>1.3357922459449145E-2</v>
      </c>
      <c r="AX51" s="21">
        <f t="shared" si="6"/>
        <v>5.4828457473213872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265.49999999999989</v>
      </c>
      <c r="BE51" s="13">
        <f>BD51*VLOOKUP('Données projet'!$B$11,Paramètres!$A$1:$I$89,3,0)*VLOOKUP('Données projet'!$B$11,Paramètres!$A$1:$I$89,5,0)</f>
        <v>124.25399999999995</v>
      </c>
      <c r="BF51" s="13">
        <f t="shared" si="37"/>
        <v>32.665154397958723</v>
      </c>
      <c r="BG51" s="20">
        <f t="shared" si="7"/>
        <v>273.30086057644468</v>
      </c>
      <c r="BH51" s="59">
        <f t="shared" si="8"/>
        <v>566.63419390977799</v>
      </c>
      <c r="BI51" s="59">
        <f ca="1">AVERAGE(OFFSET($BH$3,0,0,'Données projet'!$E$11+1,1))-AVERAGE(OFFSET($H$3,0,0,'Données projet'!$E$11+1,1))</f>
        <v>226.0452828290525</v>
      </c>
      <c r="BJ51" s="59">
        <f t="shared" si="38"/>
        <v>179.89696397462069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6.3545830258922358</v>
      </c>
      <c r="BQ51" s="21">
        <f>EXP(-LN(2)/25)*BQ50+(1-EXP(-LN(2)/25))/(LN(2)/25)*Calculateur!BL51*Calculateur!BN51*VLOOKUP('Données projet'!$B$11,Paramètres!$A$1:$I$89,3,0)*0.475*44/12</f>
        <v>6.7699379806779936</v>
      </c>
      <c r="BR51" s="21">
        <f>EXP(-LN(2)/2)*BR50+(1-EXP(-LN(2)/2))/(LN(2)/2)*BL51*BO51*VLOOKUP('Données projet'!$B$11,Paramètres!$A$1:$I$89,3,0)*0.475*44/12</f>
        <v>2.1568610632028057E-2</v>
      </c>
      <c r="BS51" s="22">
        <f t="shared" si="9"/>
        <v>13.146089617202259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219.43439115440339</v>
      </c>
      <c r="CE51" s="59">
        <f t="shared" si="40"/>
        <v>217.8880462742099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5.8960704429175852</v>
      </c>
      <c r="CL51" s="21">
        <f>EXP(-LN(2)/25)*CL50+(1-EXP(-LN(2)/25))/(LN(2)/25)*Calculateur!CG51*Calculateur!CI51*VLOOKUP('Données projet'!$B$12,Paramètres!$A$1:$I$89,3,0)*0.475*44/12</f>
        <v>6.5643943424774625</v>
      </c>
      <c r="CM51" s="21">
        <f>EXP(-LN(2)/2)*CM50+(1-EXP(-LN(2)/2))/(LN(2)/2)*CG51*CJ51*VLOOKUP('Données projet'!$B$12,Paramètres!$A$1:$I$89,3,0)*0.475*44/12</f>
        <v>1.7524704239892667E-2</v>
      </c>
      <c r="CN51" s="22">
        <f t="shared" si="12"/>
        <v>12.47798948963494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237.64646718446005</v>
      </c>
      <c r="T52" s="59">
        <f t="shared" si="34"/>
        <v>156.67965022779907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2.2877385098519345</v>
      </c>
      <c r="AA52" s="21">
        <f>EXP(-LN(2)/25)*AA51+(1-EXP(-LN(2)/25))/(LN(2)/25)*Calculateur!V52*Calculateur!X52*VLOOKUP('Données projet'!$B$9,Paramètres!$A$1:$I$89,3,0)*0.475*44/12</f>
        <v>2.4773220932236142</v>
      </c>
      <c r="AB52" s="21">
        <f>EXP(-LN(2)/2)*AB51+(1-EXP(-LN(2)/2))/(LN(2)/2)*V52*Y52*VLOOKUP('Données projet'!$B$9,Paramètres!$A$1:$I$89,3,0)*0.475*44/12</f>
        <v>8.4282722786331258E-3</v>
      </c>
      <c r="AC52" s="22">
        <f t="shared" si="3"/>
        <v>4.7734888753541815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272.93635583300755</v>
      </c>
      <c r="AO52" s="59">
        <f t="shared" si="36"/>
        <v>179.56041631665812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2.5638448817306148</v>
      </c>
      <c r="AV52" s="21">
        <f>EXP(-LN(2)/25)*AV51+(1-EXP(-LN(2)/25))/(LN(2)/25)*Calculateur!AQ52*Calculateur!AS52*VLOOKUP('Données projet'!$B$10,Paramètres!$A$1:$I$89,3,0)*0.475*44/12</f>
        <v>2.7763092424057749</v>
      </c>
      <c r="AW52" s="21">
        <f>EXP(-LN(2)/2)*AW51+(1-EXP(-LN(2)/2))/(LN(2)/2)*AQ52*AT52*VLOOKUP('Données projet'!$B$10,Paramètres!$A$1:$I$89,3,0)*0.475*44/12</f>
        <v>9.4454775536405751E-3</v>
      </c>
      <c r="AX52" s="21">
        <f t="shared" si="6"/>
        <v>5.3495996016900307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276.99999999999989</v>
      </c>
      <c r="BE52" s="13">
        <f>BD52*VLOOKUP('Données projet'!$B$11,Paramètres!$A$1:$I$89,3,0)*VLOOKUP('Données projet'!$B$11,Paramètres!$A$1:$I$89,5,0)</f>
        <v>129.63599999999994</v>
      </c>
      <c r="BF52" s="13">
        <f t="shared" si="37"/>
        <v>33.912235898830978</v>
      </c>
      <c r="BG52" s="20">
        <f t="shared" si="7"/>
        <v>284.84651085713051</v>
      </c>
      <c r="BH52" s="59">
        <f t="shared" si="8"/>
        <v>578.17984419046388</v>
      </c>
      <c r="BI52" s="59">
        <f ca="1">AVERAGE(OFFSET($BH$3,0,0,'Données projet'!$E$11+1,1))-AVERAGE(OFFSET($H$3,0,0,'Données projet'!$E$11+1,1))</f>
        <v>226.0452828290525</v>
      </c>
      <c r="BJ52" s="59">
        <f t="shared" si="38"/>
        <v>179.89696397462069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6.2299735286674203</v>
      </c>
      <c r="BQ52" s="21">
        <f>EXP(-LN(2)/25)*BQ51+(1-EXP(-LN(2)/25))/(LN(2)/25)*Calculateur!BL52*Calculateur!BN52*VLOOKUP('Données projet'!$B$11,Paramètres!$A$1:$I$89,3,0)*0.475*44/12</f>
        <v>6.5848136705807887</v>
      </c>
      <c r="BR52" s="21">
        <f>EXP(-LN(2)/2)*BR51+(1-EXP(-LN(2)/2))/(LN(2)/2)*BL52*BO52*VLOOKUP('Données projet'!$B$11,Paramètres!$A$1:$I$89,3,0)*0.475*44/12</f>
        <v>1.5251310838679307E-2</v>
      </c>
      <c r="BS52" s="22">
        <f t="shared" si="9"/>
        <v>12.830038510086887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219.43439115440339</v>
      </c>
      <c r="CE52" s="59">
        <f t="shared" si="40"/>
        <v>217.8880462742099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5.7804520977798415</v>
      </c>
      <c r="CL52" s="21">
        <f>EXP(-LN(2)/25)*CL51+(1-EXP(-LN(2)/25))/(LN(2)/25)*Calculateur!CG52*Calculateur!CI52*VLOOKUP('Données projet'!$B$12,Paramètres!$A$1:$I$89,3,0)*0.475*44/12</f>
        <v>6.384890633975921</v>
      </c>
      <c r="CM52" s="21">
        <f>EXP(-LN(2)/2)*CM51+(1-EXP(-LN(2)/2))/(LN(2)/2)*CG52*CJ52*VLOOKUP('Données projet'!$B$12,Paramètres!$A$1:$I$89,3,0)*0.475*44/12</f>
        <v>1.2391837206316746E-2</v>
      </c>
      <c r="CN52" s="22">
        <f t="shared" si="12"/>
        <v>12.177734568962078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237.64646718446005</v>
      </c>
      <c r="T53" s="59">
        <f t="shared" si="34"/>
        <v>156.67965022779907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2.2428773530564463</v>
      </c>
      <c r="AA53" s="21">
        <f>EXP(-LN(2)/25)*AA52+(1-EXP(-LN(2)/25))/(LN(2)/25)*Calculateur!V53*Calculateur!X53*VLOOKUP('Données projet'!$B$9,Paramètres!$A$1:$I$89,3,0)*0.475*44/12</f>
        <v>2.4095795903077075</v>
      </c>
      <c r="AB53" s="21">
        <f>EXP(-LN(2)/2)*AB52+(1-EXP(-LN(2)/2))/(LN(2)/2)*V53*Y53*VLOOKUP('Données projet'!$B$9,Paramètres!$A$1:$I$89,3,0)*0.475*44/12</f>
        <v>5.959688481908078E-3</v>
      </c>
      <c r="AC53" s="22">
        <f t="shared" si="3"/>
        <v>4.6584166318460616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272.93635583300755</v>
      </c>
      <c r="AO53" s="59">
        <f t="shared" si="36"/>
        <v>179.56041631665812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2.5135694473908439</v>
      </c>
      <c r="AV53" s="21">
        <f>EXP(-LN(2)/25)*AV52+(1-EXP(-LN(2)/25))/(LN(2)/25)*Calculateur!AQ53*Calculateur!AS53*VLOOKUP('Données projet'!$B$10,Paramètres!$A$1:$I$89,3,0)*0.475*44/12</f>
        <v>2.7003909201724312</v>
      </c>
      <c r="AW53" s="21">
        <f>EXP(-LN(2)/2)*AW52+(1-EXP(-LN(2)/2))/(LN(2)/2)*AQ53*AT53*VLOOKUP('Données projet'!$B$10,Paramètres!$A$1:$I$89,3,0)*0.475*44/12</f>
        <v>6.6789612297245725E-3</v>
      </c>
      <c r="AX53" s="21">
        <f t="shared" si="6"/>
        <v>5.2206393287929993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288.5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288.49999999999989</v>
      </c>
      <c r="BE53" s="13">
        <f>BD53*VLOOKUP('Données projet'!$B$11,Paramètres!$A$1:$I$89,3,0)*VLOOKUP('Données projet'!$B$11,Paramètres!$A$1:$I$89,5,0)</f>
        <v>135.01799999999994</v>
      </c>
      <c r="BF53" s="13">
        <f t="shared" si="37"/>
        <v>35.153303603250578</v>
      </c>
      <c r="BG53" s="20">
        <f t="shared" si="7"/>
        <v>296.38168710899464</v>
      </c>
      <c r="BH53" s="59">
        <f t="shared" si="8"/>
        <v>589.71502044232795</v>
      </c>
      <c r="BI53" s="59">
        <f ca="1">AVERAGE(OFFSET($BH$3,0,0,'Données projet'!$E$11+1,1))-AVERAGE(OFFSET($H$3,0,0,'Données projet'!$E$11+1,1))</f>
        <v>226.0452828290525</v>
      </c>
      <c r="BJ53" s="59">
        <f t="shared" si="38"/>
        <v>179.89696397462069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6.1078075476788944</v>
      </c>
      <c r="BQ53" s="21">
        <f>EXP(-LN(2)/25)*BQ52+(1-EXP(-LN(2)/25))/(LN(2)/25)*Calculateur!BL53*Calculateur!BN53*VLOOKUP('Données projet'!$B$11,Paramètres!$A$1:$I$89,3,0)*0.475*44/12</f>
        <v>6.4047515944784559</v>
      </c>
      <c r="BR53" s="21">
        <f>EXP(-LN(2)/2)*BR52+(1-EXP(-LN(2)/2))/(LN(2)/2)*BL53*BO53*VLOOKUP('Données projet'!$B$11,Paramètres!$A$1:$I$89,3,0)*0.475*44/12</f>
        <v>1.078430531601403E-2</v>
      </c>
      <c r="BS53" s="22">
        <f t="shared" si="9"/>
        <v>12.523343447473364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219.43439115440339</v>
      </c>
      <c r="CE53" s="59">
        <f t="shared" si="40"/>
        <v>217.8880462742099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5.667100957870022</v>
      </c>
      <c r="CL53" s="21">
        <f>EXP(-LN(2)/25)*CL52+(1-EXP(-LN(2)/25))/(LN(2)/25)*Calculateur!CG53*Calculateur!CI53*VLOOKUP('Données projet'!$B$12,Paramètres!$A$1:$I$89,3,0)*0.475*44/12</f>
        <v>6.2102954638230443</v>
      </c>
      <c r="CM53" s="21">
        <f>EXP(-LN(2)/2)*CM52+(1-EXP(-LN(2)/2))/(LN(2)/2)*CG53*CJ53*VLOOKUP('Données projet'!$B$12,Paramètres!$A$1:$I$89,3,0)*0.475*44/12</f>
        <v>8.7623521199463334E-3</v>
      </c>
      <c r="CN53" s="22">
        <f t="shared" si="12"/>
        <v>11.886158773813014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237.64646718446005</v>
      </c>
      <c r="T54" s="59">
        <f t="shared" si="34"/>
        <v>156.67965022779907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2.1988958961831142</v>
      </c>
      <c r="AA54" s="21">
        <f>EXP(-LN(2)/25)*AA53+(1-EXP(-LN(2)/25))/(LN(2)/25)*Calculateur!V54*Calculateur!X54*VLOOKUP('Données projet'!$B$9,Paramètres!$A$1:$I$89,3,0)*0.475*44/12</f>
        <v>2.3436895096964596</v>
      </c>
      <c r="AB54" s="21">
        <f>EXP(-LN(2)/2)*AB53+(1-EXP(-LN(2)/2))/(LN(2)/2)*V54*Y54*VLOOKUP('Données projet'!$B$9,Paramètres!$A$1:$I$89,3,0)*0.475*44/12</f>
        <v>4.2141361393165629E-3</v>
      </c>
      <c r="AC54" s="22">
        <f t="shared" si="3"/>
        <v>4.5467995420188911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272.93635583300755</v>
      </c>
      <c r="AO54" s="59">
        <f t="shared" si="36"/>
        <v>179.56041631665812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2.4642798836534889</v>
      </c>
      <c r="AV54" s="21">
        <f>EXP(-LN(2)/25)*AV53+(1-EXP(-LN(2)/25))/(LN(2)/25)*Calculateur!AQ54*Calculateur!AS54*VLOOKUP('Données projet'!$B$10,Paramètres!$A$1:$I$89,3,0)*0.475*44/12</f>
        <v>2.6265485884529296</v>
      </c>
      <c r="AW54" s="21">
        <f>EXP(-LN(2)/2)*AW53+(1-EXP(-LN(2)/2))/(LN(2)/2)*AQ54*AT54*VLOOKUP('Données projet'!$B$10,Paramètres!$A$1:$I$89,3,0)*0.475*44/12</f>
        <v>4.7227387768202875E-3</v>
      </c>
      <c r="AX54" s="21">
        <f t="shared" si="6"/>
        <v>5.0955512108832384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13.5</v>
      </c>
      <c r="BD54" s="12">
        <f>IF('Données projet'!$A$88&gt;35,BD53+BC54-BL53,IF(A54&lt;'Données projet'!$A$88,$BA$205^A54,IF(A54='Données projet'!$A$88,'Données projet'!$B$88,BD53+BC54-BL53)))</f>
        <v>226.99999999999989</v>
      </c>
      <c r="BE54" s="13">
        <f>BD54*VLOOKUP('Données projet'!$B$11,Paramètres!$A$1:$I$89,3,0)*VLOOKUP('Données projet'!$B$11,Paramètres!$A$1:$I$89,5,0)</f>
        <v>106.23599999999995</v>
      </c>
      <c r="BF54" s="13">
        <f t="shared" si="37"/>
        <v>28.442367793282852</v>
      </c>
      <c r="BG54" s="20">
        <f t="shared" si="7"/>
        <v>234.56482390663419</v>
      </c>
      <c r="BH54" s="59">
        <f t="shared" si="8"/>
        <v>527.89815723996753</v>
      </c>
      <c r="BI54" s="59">
        <f ca="1">AVERAGE(OFFSET($BH$3,0,0,'Données projet'!$E$11+1,1))-AVERAGE(OFFSET($H$3,0,0,'Données projet'!$E$11+1,1))</f>
        <v>226.0452828290525</v>
      </c>
      <c r="BJ54" s="59">
        <f t="shared" si="38"/>
        <v>179.89696397462069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5.9880371670636636</v>
      </c>
      <c r="BQ54" s="21">
        <f>EXP(-LN(2)/25)*BQ53+(1-EXP(-LN(2)/25))/(LN(2)/25)*Calculateur!BL54*Calculateur!BN54*VLOOKUP('Données projet'!$B$11,Paramètres!$A$1:$I$89,3,0)*0.475*44/12</f>
        <v>6.2296133253161941</v>
      </c>
      <c r="BR54" s="21">
        <f>EXP(-LN(2)/2)*BR53+(1-EXP(-LN(2)/2))/(LN(2)/2)*BL54*BO54*VLOOKUP('Données projet'!$B$11,Paramètres!$A$1:$I$89,3,0)*0.475*44/12</f>
        <v>7.6256554193396544E-3</v>
      </c>
      <c r="BS54" s="22">
        <f t="shared" si="9"/>
        <v>12.225276147799196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219.43439115440339</v>
      </c>
      <c r="CE54" s="59">
        <f t="shared" si="40"/>
        <v>217.8880462742099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5.5559725646764653</v>
      </c>
      <c r="CL54" s="21">
        <f>EXP(-LN(2)/25)*CL53+(1-EXP(-LN(2)/25))/(LN(2)/25)*Calculateur!CG54*Calculateur!CI54*VLOOKUP('Données projet'!$B$12,Paramètres!$A$1:$I$89,3,0)*0.475*44/12</f>
        <v>6.0404746077795588</v>
      </c>
      <c r="CM54" s="21">
        <f>EXP(-LN(2)/2)*CM53+(1-EXP(-LN(2)/2))/(LN(2)/2)*CG54*CJ54*VLOOKUP('Données projet'!$B$12,Paramètres!$A$1:$I$89,3,0)*0.475*44/12</f>
        <v>6.195918603158373E-3</v>
      </c>
      <c r="CN54" s="22">
        <f t="shared" si="12"/>
        <v>11.602643091059182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237.64646718446005</v>
      </c>
      <c r="T55" s="59">
        <f t="shared" si="34"/>
        <v>156.67965022779907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2.155776888853028</v>
      </c>
      <c r="AA55" s="21">
        <f>EXP(-LN(2)/25)*AA54+(1-EXP(-LN(2)/25))/(LN(2)/25)*Calculateur!V55*Calculateur!X55*VLOOKUP('Données projet'!$B$9,Paramètres!$A$1:$I$89,3,0)*0.475*44/12</f>
        <v>2.2796011968045353</v>
      </c>
      <c r="AB55" s="21">
        <f>EXP(-LN(2)/2)*AB54+(1-EXP(-LN(2)/2))/(LN(2)/2)*V55*Y55*VLOOKUP('Données projet'!$B$9,Paramètres!$A$1:$I$89,3,0)*0.475*44/12</f>
        <v>2.979844240954039E-3</v>
      </c>
      <c r="AC55" s="22">
        <f t="shared" si="3"/>
        <v>4.4383579298985172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272.93635583300755</v>
      </c>
      <c r="AO55" s="59">
        <f t="shared" si="36"/>
        <v>179.56041631665812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2.4159568581973581</v>
      </c>
      <c r="AV55" s="21">
        <f>EXP(-LN(2)/25)*AV54+(1-EXP(-LN(2)/25))/(LN(2)/25)*Calculateur!AQ55*Calculateur!AS55*VLOOKUP('Données projet'!$B$10,Paramètres!$A$1:$I$89,3,0)*0.475*44/12</f>
        <v>2.5547254791774971</v>
      </c>
      <c r="AW55" s="21">
        <f>EXP(-LN(2)/2)*AW54+(1-EXP(-LN(2)/2))/(LN(2)/2)*AQ55*AT55*VLOOKUP('Données projet'!$B$10,Paramètres!$A$1:$I$89,3,0)*0.475*44/12</f>
        <v>3.3394806148622862E-3</v>
      </c>
      <c r="AX55" s="21">
        <f t="shared" si="6"/>
        <v>4.9740218179897173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13.5</v>
      </c>
      <c r="BD55" s="12">
        <f>IF('Données projet'!$A$88&gt;35,BD54+BC55-BL54,IF(A55&lt;'Données projet'!$A$88,$BA$205^A55,IF(A55='Données projet'!$A$88,'Données projet'!$B$88,BD54+BC55-BL54)))</f>
        <v>240.49999999999989</v>
      </c>
      <c r="BE55" s="13">
        <f>BD55*VLOOKUP('Données projet'!$B$11,Paramètres!$A$1:$I$89,3,0)*VLOOKUP('Données projet'!$B$11,Paramètres!$A$1:$I$89,5,0)</f>
        <v>112.55399999999995</v>
      </c>
      <c r="BF55" s="13">
        <f t="shared" si="37"/>
        <v>29.931920700323165</v>
      </c>
      <c r="BG55" s="20">
        <f t="shared" si="7"/>
        <v>248.16297855306274</v>
      </c>
      <c r="BH55" s="59">
        <f t="shared" si="8"/>
        <v>541.49631188639603</v>
      </c>
      <c r="BI55" s="59">
        <f ca="1">AVERAGE(OFFSET($BH$3,0,0,'Données projet'!$E$11+1,1))-AVERAGE(OFFSET($H$3,0,0,'Données projet'!$E$11+1,1))</f>
        <v>226.0452828290525</v>
      </c>
      <c r="BJ55" s="59">
        <f t="shared" si="38"/>
        <v>179.89696397462069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5.8706154105595783</v>
      </c>
      <c r="BQ55" s="21">
        <f>EXP(-LN(2)/25)*BQ54+(1-EXP(-LN(2)/25))/(LN(2)/25)*Calculateur!BL55*Calculateur!BN55*VLOOKUP('Données projet'!$B$11,Paramètres!$A$1:$I$89,3,0)*0.475*44/12</f>
        <v>6.0592642213342955</v>
      </c>
      <c r="BR55" s="21">
        <f>EXP(-LN(2)/2)*BR54+(1-EXP(-LN(2)/2))/(LN(2)/2)*BL55*BO55*VLOOKUP('Données projet'!$B$11,Paramètres!$A$1:$I$89,3,0)*0.475*44/12</f>
        <v>5.3921526580070159E-3</v>
      </c>
      <c r="BS55" s="22">
        <f t="shared" si="9"/>
        <v>11.935271784551881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219.43439115440339</v>
      </c>
      <c r="CE55" s="59">
        <f t="shared" si="40"/>
        <v>217.8880462742099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5.4470233314918071</v>
      </c>
      <c r="CL55" s="21">
        <f>EXP(-LN(2)/25)*CL54+(1-EXP(-LN(2)/25))/(LN(2)/25)*Calculateur!CG55*Calculateur!CI55*VLOOKUP('Données projet'!$B$12,Paramètres!$A$1:$I$89,3,0)*0.475*44/12</f>
        <v>5.8752975119750728</v>
      </c>
      <c r="CM55" s="21">
        <f>EXP(-LN(2)/2)*CM54+(1-EXP(-LN(2)/2))/(LN(2)/2)*CG55*CJ55*VLOOKUP('Données projet'!$B$12,Paramètres!$A$1:$I$89,3,0)*0.475*44/12</f>
        <v>4.3811760599731667E-3</v>
      </c>
      <c r="CN55" s="22">
        <f t="shared" si="12"/>
        <v>11.326702019526852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237.64646718446005</v>
      </c>
      <c r="T56" s="59">
        <f t="shared" si="34"/>
        <v>156.67965022779907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2.1135034189566873</v>
      </c>
      <c r="AA56" s="21">
        <f>EXP(-LN(2)/25)*AA55+(1-EXP(-LN(2)/25))/(LN(2)/25)*Calculateur!V56*Calculateur!X56*VLOOKUP('Données projet'!$B$9,Paramètres!$A$1:$I$89,3,0)*0.475*44/12</f>
        <v>2.2172653821988986</v>
      </c>
      <c r="AB56" s="21">
        <f>EXP(-LN(2)/2)*AB55+(1-EXP(-LN(2)/2))/(LN(2)/2)*V56*Y56*VLOOKUP('Données projet'!$B$9,Paramètres!$A$1:$I$89,3,0)*0.475*44/12</f>
        <v>2.1070680696582814E-3</v>
      </c>
      <c r="AC56" s="22">
        <f t="shared" si="3"/>
        <v>4.3328758692252434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272.93635583300755</v>
      </c>
      <c r="AO56" s="59">
        <f t="shared" si="36"/>
        <v>179.56041631665812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2.3685814177962867</v>
      </c>
      <c r="AV56" s="21">
        <f>EXP(-LN(2)/25)*AV55+(1-EXP(-LN(2)/25))/(LN(2)/25)*Calculateur!AQ56*Calculateur!AS56*VLOOKUP('Données projet'!$B$10,Paramètres!$A$1:$I$89,3,0)*0.475*44/12</f>
        <v>2.4848663766022145</v>
      </c>
      <c r="AW56" s="21">
        <f>EXP(-LN(2)/2)*AW55+(1-EXP(-LN(2)/2))/(LN(2)/2)*AQ56*AT56*VLOOKUP('Données projet'!$B$10,Paramètres!$A$1:$I$89,3,0)*0.475*44/12</f>
        <v>2.3613693884101438E-3</v>
      </c>
      <c r="AX56" s="21">
        <f t="shared" si="6"/>
        <v>4.8558091637869119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13.5</v>
      </c>
      <c r="BD56" s="12">
        <f>IF('Données projet'!$A$88&gt;35,BD55+BC56-BL55,IF(A56&lt;'Données projet'!$A$88,$BA$205^A56,IF(A56='Données projet'!$A$88,'Données projet'!$B$88,BD55+BC56-BL55)))</f>
        <v>253.99999999999989</v>
      </c>
      <c r="BE56" s="13">
        <f>BD56*VLOOKUP('Données projet'!$B$11,Paramètres!$A$1:$I$89,3,0)*VLOOKUP('Données projet'!$B$11,Paramètres!$A$1:$I$89,5,0)</f>
        <v>118.87199999999994</v>
      </c>
      <c r="BF56" s="13">
        <f t="shared" si="37"/>
        <v>31.411767382096219</v>
      </c>
      <c r="BG56" s="20">
        <f t="shared" si="7"/>
        <v>261.74422819048414</v>
      </c>
      <c r="BH56" s="59">
        <f t="shared" si="8"/>
        <v>555.07756152381739</v>
      </c>
      <c r="BI56" s="59">
        <f ca="1">AVERAGE(OFFSET($BH$3,0,0,'Données projet'!$E$11+1,1))-AVERAGE(OFFSET($H$3,0,0,'Données projet'!$E$11+1,1))</f>
        <v>226.0452828290525</v>
      </c>
      <c r="BJ56" s="59">
        <f t="shared" si="38"/>
        <v>179.89696397462069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5.7554962230803381</v>
      </c>
      <c r="BQ56" s="21">
        <f>EXP(-LN(2)/25)*BQ55+(1-EXP(-LN(2)/25))/(LN(2)/25)*Calculateur!BL56*Calculateur!BN56*VLOOKUP('Données projet'!$B$11,Paramètres!$A$1:$I$89,3,0)*0.475*44/12</f>
        <v>5.8935733225590523</v>
      </c>
      <c r="BR56" s="21">
        <f>EXP(-LN(2)/2)*BR55+(1-EXP(-LN(2)/2))/(LN(2)/2)*BL56*BO56*VLOOKUP('Données projet'!$B$11,Paramètres!$A$1:$I$89,3,0)*0.475*44/12</f>
        <v>3.8128277096698281E-3</v>
      </c>
      <c r="BS56" s="22">
        <f t="shared" si="9"/>
        <v>11.65288237334906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219.43439115440339</v>
      </c>
      <c r="CE56" s="59">
        <f t="shared" si="40"/>
        <v>217.8880462742099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5.3402105263174295</v>
      </c>
      <c r="CL56" s="21">
        <f>EXP(-LN(2)/25)*CL55+(1-EXP(-LN(2)/25))/(LN(2)/25)*Calculateur!CG56*Calculateur!CI56*VLOOKUP('Données projet'!$B$12,Paramètres!$A$1:$I$89,3,0)*0.475*44/12</f>
        <v>5.7146371925416464</v>
      </c>
      <c r="CM56" s="21">
        <f>EXP(-LN(2)/2)*CM55+(1-EXP(-LN(2)/2))/(LN(2)/2)*CG56*CJ56*VLOOKUP('Données projet'!$B$12,Paramètres!$A$1:$I$89,3,0)*0.475*44/12</f>
        <v>3.0979593015791865E-3</v>
      </c>
      <c r="CN56" s="22">
        <f t="shared" si="12"/>
        <v>11.057945678160655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237.64646718446005</v>
      </c>
      <c r="T57" s="59">
        <f t="shared" si="34"/>
        <v>156.67965022779907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2.0720589060207431</v>
      </c>
      <c r="AA57" s="21">
        <f>EXP(-LN(2)/25)*AA56+(1-EXP(-LN(2)/25))/(LN(2)/25)*Calculateur!V57*Calculateur!X57*VLOOKUP('Données projet'!$B$9,Paramètres!$A$1:$I$89,3,0)*0.475*44/12</f>
        <v>2.1566341437217509</v>
      </c>
      <c r="AB57" s="21">
        <f>EXP(-LN(2)/2)*AB56+(1-EXP(-LN(2)/2))/(LN(2)/2)*V57*Y57*VLOOKUP('Données projet'!$B$9,Paramètres!$A$1:$I$89,3,0)*0.475*44/12</f>
        <v>1.4899221204770195E-3</v>
      </c>
      <c r="AC57" s="22">
        <f t="shared" si="3"/>
        <v>4.2301829718629715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272.93635583300755</v>
      </c>
      <c r="AO57" s="59">
        <f t="shared" si="36"/>
        <v>179.56041631665812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2.3221349808853149</v>
      </c>
      <c r="AV57" s="21">
        <f>EXP(-LN(2)/25)*AV56+(1-EXP(-LN(2)/25))/(LN(2)/25)*Calculateur!AQ57*Calculateur!AS57*VLOOKUP('Données projet'!$B$10,Paramètres!$A$1:$I$89,3,0)*0.475*44/12</f>
        <v>2.4169175748605833</v>
      </c>
      <c r="AW57" s="21">
        <f>EXP(-LN(2)/2)*AW56+(1-EXP(-LN(2)/2))/(LN(2)/2)*AQ57*AT57*VLOOKUP('Données projet'!$B$10,Paramètres!$A$1:$I$89,3,0)*0.475*44/12</f>
        <v>1.6697403074311431E-3</v>
      </c>
      <c r="AX57" s="21">
        <f t="shared" si="6"/>
        <v>4.7407222960533293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13.5</v>
      </c>
      <c r="BD57" s="12">
        <f>IF('Données projet'!$A$88&gt;35,BD56+BC57-BL56,IF(A57&lt;'Données projet'!$A$88,$BA$205^A57,IF(A57='Données projet'!$A$88,'Données projet'!$B$88,BD56+BC57-BL56)))</f>
        <v>267.49999999999989</v>
      </c>
      <c r="BE57" s="13">
        <f>BD57*VLOOKUP('Données projet'!$B$11,Paramètres!$A$1:$I$89,3,0)*VLOOKUP('Données projet'!$B$11,Paramètres!$A$1:$I$89,5,0)</f>
        <v>125.18999999999994</v>
      </c>
      <c r="BF57" s="13">
        <f t="shared" si="37"/>
        <v>32.882482546564304</v>
      </c>
      <c r="BG57" s="20">
        <f t="shared" si="7"/>
        <v>275.30957376859936</v>
      </c>
      <c r="BH57" s="59">
        <f t="shared" si="8"/>
        <v>568.64290710193268</v>
      </c>
      <c r="BI57" s="59">
        <f ca="1">AVERAGE(OFFSET($BH$3,0,0,'Données projet'!$E$11+1,1))-AVERAGE(OFFSET($H$3,0,0,'Données projet'!$E$11+1,1))</f>
        <v>226.0452828290525</v>
      </c>
      <c r="BJ57" s="59">
        <f t="shared" si="38"/>
        <v>179.89696397462069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5.6426344526517953</v>
      </c>
      <c r="BQ57" s="21">
        <f>EXP(-LN(2)/25)*BQ56+(1-EXP(-LN(2)/25))/(LN(2)/25)*Calculateur!BL57*Calculateur!BN57*VLOOKUP('Données projet'!$B$11,Paramètres!$A$1:$I$89,3,0)*0.475*44/12</f>
        <v>5.7324132501241243</v>
      </c>
      <c r="BR57" s="21">
        <f>EXP(-LN(2)/2)*BR56+(1-EXP(-LN(2)/2))/(LN(2)/2)*BL57*BO57*VLOOKUP('Données projet'!$B$11,Paramètres!$A$1:$I$89,3,0)*0.475*44/12</f>
        <v>2.6960763290035084E-3</v>
      </c>
      <c r="BS57" s="22">
        <f t="shared" si="9"/>
        <v>11.377743779104923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219.43439115440339</v>
      </c>
      <c r="CE57" s="59">
        <f t="shared" si="40"/>
        <v>217.8880462742099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5.2354922551031438</v>
      </c>
      <c r="CL57" s="21">
        <f>EXP(-LN(2)/25)*CL56+(1-EXP(-LN(2)/25))/(LN(2)/25)*Calculateur!CG57*Calculateur!CI57*VLOOKUP('Données projet'!$B$12,Paramètres!$A$1:$I$89,3,0)*0.475*44/12</f>
        <v>5.5583701379918864</v>
      </c>
      <c r="CM57" s="21">
        <f>EXP(-LN(2)/2)*CM56+(1-EXP(-LN(2)/2))/(LN(2)/2)*CG57*CJ57*VLOOKUP('Données projet'!$B$12,Paramètres!$A$1:$I$89,3,0)*0.475*44/12</f>
        <v>2.1905880299865834E-3</v>
      </c>
      <c r="CN57" s="22">
        <f t="shared" si="12"/>
        <v>10.796052981125015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237.64646718446005</v>
      </c>
      <c r="T58" s="59">
        <f t="shared" si="34"/>
        <v>156.67965022779907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2.0314270947048159</v>
      </c>
      <c r="AA58" s="21">
        <f>EXP(-LN(2)/25)*AA57+(1-EXP(-LN(2)/25))/(LN(2)/25)*Calculateur!V58*Calculateur!X58*VLOOKUP('Données projet'!$B$9,Paramètres!$A$1:$I$89,3,0)*0.475*44/12</f>
        <v>2.0976608696492192</v>
      </c>
      <c r="AB58" s="21">
        <f>EXP(-LN(2)/2)*AB57+(1-EXP(-LN(2)/2))/(LN(2)/2)*V58*Y58*VLOOKUP('Données projet'!$B$9,Paramètres!$A$1:$I$89,3,0)*0.475*44/12</f>
        <v>1.0535340348291407E-3</v>
      </c>
      <c r="AC58" s="22">
        <f t="shared" si="3"/>
        <v>4.1301414983888645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272.93635583300755</v>
      </c>
      <c r="AO58" s="59">
        <f t="shared" si="36"/>
        <v>179.56041631665812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2.2765993302726382</v>
      </c>
      <c r="AV58" s="21">
        <f>EXP(-LN(2)/25)*AV57+(1-EXP(-LN(2)/25))/(LN(2)/25)*Calculateur!AQ58*Calculateur!AS58*VLOOKUP('Données projet'!$B$10,Paramètres!$A$1:$I$89,3,0)*0.475*44/12</f>
        <v>2.3508268366758496</v>
      </c>
      <c r="AW58" s="21">
        <f>EXP(-LN(2)/2)*AW57+(1-EXP(-LN(2)/2))/(LN(2)/2)*AQ58*AT58*VLOOKUP('Données projet'!$B$10,Paramètres!$A$1:$I$89,3,0)*0.475*44/12</f>
        <v>1.1806846942050719E-3</v>
      </c>
      <c r="AX58" s="21">
        <f t="shared" si="6"/>
        <v>4.6286068516426928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13.5</v>
      </c>
      <c r="BD58" s="12">
        <f>IF('Données projet'!$A$88&gt;35,BD57+BC58-BL57,IF(A58&lt;'Données projet'!$A$88,$BA$205^A58,IF(A58='Données projet'!$A$88,'Données projet'!$B$88,BD57+BC58-BL57)))</f>
        <v>280.99999999999989</v>
      </c>
      <c r="BE58" s="13">
        <f>BD58*VLOOKUP('Données projet'!$B$11,Paramètres!$A$1:$I$89,3,0)*VLOOKUP('Données projet'!$B$11,Paramètres!$A$1:$I$89,5,0)</f>
        <v>131.50799999999995</v>
      </c>
      <c r="BF58" s="13">
        <f t="shared" si="37"/>
        <v>34.344579617082481</v>
      </c>
      <c r="BG58" s="20">
        <f t="shared" si="7"/>
        <v>288.85990949975189</v>
      </c>
      <c r="BH58" s="59">
        <f t="shared" si="8"/>
        <v>582.19324283308515</v>
      </c>
      <c r="BI58" s="59">
        <f ca="1">AVERAGE(OFFSET($BH$3,0,0,'Données projet'!$E$11+1,1))-AVERAGE(OFFSET($H$3,0,0,'Données projet'!$E$11+1,1))</f>
        <v>226.0452828290525</v>
      </c>
      <c r="BJ58" s="59">
        <f t="shared" si="38"/>
        <v>179.89696397462069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5.5319858327024729</v>
      </c>
      <c r="BQ58" s="21">
        <f>EXP(-LN(2)/25)*BQ57+(1-EXP(-LN(2)/25))/(LN(2)/25)*Calculateur!BL58*Calculateur!BN58*VLOOKUP('Données projet'!$B$11,Paramètres!$A$1:$I$89,3,0)*0.475*44/12</f>
        <v>5.5756601083449686</v>
      </c>
      <c r="BR58" s="21">
        <f>EXP(-LN(2)/2)*BR57+(1-EXP(-LN(2)/2))/(LN(2)/2)*BL58*BO58*VLOOKUP('Données projet'!$B$11,Paramètres!$A$1:$I$89,3,0)*0.475*44/12</f>
        <v>1.9064138548349143E-3</v>
      </c>
      <c r="BS58" s="22">
        <f t="shared" si="9"/>
        <v>11.109552354902275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219.43439115440339</v>
      </c>
      <c r="CE58" s="59">
        <f t="shared" si="40"/>
        <v>217.8880462742099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5.1328274453155309</v>
      </c>
      <c r="CL58" s="21">
        <f>EXP(-LN(2)/25)*CL57+(1-EXP(-LN(2)/25))/(LN(2)/25)*Calculateur!CG58*Calculateur!CI58*VLOOKUP('Données projet'!$B$12,Paramètres!$A$1:$I$89,3,0)*0.475*44/12</f>
        <v>5.4063762142665164</v>
      </c>
      <c r="CM58" s="21">
        <f>EXP(-LN(2)/2)*CM57+(1-EXP(-LN(2)/2))/(LN(2)/2)*CG58*CJ58*VLOOKUP('Données projet'!$B$12,Paramètres!$A$1:$I$89,3,0)*0.475*44/12</f>
        <v>1.5489796507895932E-3</v>
      </c>
      <c r="CN58" s="22">
        <f t="shared" si="12"/>
        <v>10.540752639232837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237.64646718446005</v>
      </c>
      <c r="T59" s="59">
        <f t="shared" si="34"/>
        <v>156.67965022779907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1.9915920484258363</v>
      </c>
      <c r="AA59" s="21">
        <f>EXP(-LN(2)/25)*AA58+(1-EXP(-LN(2)/25))/(LN(2)/25)*Calculateur!V59*Calculateur!X59*VLOOKUP('Données projet'!$B$9,Paramètres!$A$1:$I$89,3,0)*0.475*44/12</f>
        <v>2.0403002228574705</v>
      </c>
      <c r="AB59" s="21">
        <f>EXP(-LN(2)/2)*AB58+(1-EXP(-LN(2)/2))/(LN(2)/2)*V59*Y59*VLOOKUP('Données projet'!$B$9,Paramètres!$A$1:$I$89,3,0)*0.475*44/12</f>
        <v>7.4496106023850975E-4</v>
      </c>
      <c r="AC59" s="22">
        <f t="shared" si="3"/>
        <v>4.0326372323435455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272.93635583300755</v>
      </c>
      <c r="AO59" s="59">
        <f t="shared" si="36"/>
        <v>179.56041631665812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2.2319566059944713</v>
      </c>
      <c r="AV59" s="21">
        <f>EXP(-LN(2)/25)*AV58+(1-EXP(-LN(2)/25))/(LN(2)/25)*Calculateur!AQ59*Calculateur!AS59*VLOOKUP('Données projet'!$B$10,Paramètres!$A$1:$I$89,3,0)*0.475*44/12</f>
        <v>2.286543353202338</v>
      </c>
      <c r="AW59" s="21">
        <f>EXP(-LN(2)/2)*AW58+(1-EXP(-LN(2)/2))/(LN(2)/2)*AQ59*AT59*VLOOKUP('Données projet'!$B$10,Paramètres!$A$1:$I$89,3,0)*0.475*44/12</f>
        <v>8.3487015371557156E-4</v>
      </c>
      <c r="AX59" s="21">
        <f t="shared" si="6"/>
        <v>4.5193348293505249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13.5</v>
      </c>
      <c r="BD59" s="12">
        <f>IF('Données projet'!$A$88&gt;35,BD58+BC59-BL58,IF(A59&lt;'Données projet'!$A$88,$BA$205^A59,IF(A59='Données projet'!$A$88,'Données projet'!$B$88,BD58+BC59-BL58)))</f>
        <v>294.49999999999989</v>
      </c>
      <c r="BE59" s="13">
        <f>BD59*VLOOKUP('Données projet'!$B$11,Paramètres!$A$1:$I$89,3,0)*VLOOKUP('Données projet'!$B$11,Paramètres!$A$1:$I$89,5,0)</f>
        <v>137.82599999999994</v>
      </c>
      <c r="BF59" s="13">
        <f t="shared" si="37"/>
        <v>35.798519897115497</v>
      </c>
      <c r="BG59" s="20">
        <f t="shared" si="7"/>
        <v>302.39603882080934</v>
      </c>
      <c r="BH59" s="59">
        <f t="shared" si="8"/>
        <v>595.72937215414265</v>
      </c>
      <c r="BI59" s="59">
        <f ca="1">AVERAGE(OFFSET($BH$3,0,0,'Données projet'!$E$11+1,1))-AVERAGE(OFFSET($H$3,0,0,'Données projet'!$E$11+1,1))</f>
        <v>226.0452828290525</v>
      </c>
      <c r="BJ59" s="59">
        <f t="shared" si="38"/>
        <v>179.89696397462069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5.423506964701363</v>
      </c>
      <c r="BQ59" s="21">
        <f>EXP(-LN(2)/25)*BQ58+(1-EXP(-LN(2)/25))/(LN(2)/25)*Calculateur!BL59*Calculateur!BN59*VLOOKUP('Données projet'!$B$11,Paramètres!$A$1:$I$89,3,0)*0.475*44/12</f>
        <v>5.423193389471054</v>
      </c>
      <c r="BR59" s="21">
        <f>EXP(-LN(2)/2)*BR58+(1-EXP(-LN(2)/2))/(LN(2)/2)*BL59*BO59*VLOOKUP('Données projet'!$B$11,Paramètres!$A$1:$I$89,3,0)*0.475*44/12</f>
        <v>1.3480381645017544E-3</v>
      </c>
      <c r="BS59" s="22">
        <f t="shared" si="9"/>
        <v>10.848048392336917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219.43439115440339</v>
      </c>
      <c r="CE59" s="59">
        <f t="shared" si="40"/>
        <v>217.8880462742099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5.0321758298285024</v>
      </c>
      <c r="CL59" s="21">
        <f>EXP(-LN(2)/25)*CL58+(1-EXP(-LN(2)/25))/(LN(2)/25)*Calculateur!CG59*Calculateur!CI59*VLOOKUP('Données projet'!$B$12,Paramètres!$A$1:$I$89,3,0)*0.475*44/12</f>
        <v>5.2585385723784297</v>
      </c>
      <c r="CM59" s="21">
        <f>EXP(-LN(2)/2)*CM58+(1-EXP(-LN(2)/2))/(LN(2)/2)*CG59*CJ59*VLOOKUP('Données projet'!$B$12,Paramètres!$A$1:$I$89,3,0)*0.475*44/12</f>
        <v>1.0952940149932917E-3</v>
      </c>
      <c r="CN59" s="22">
        <f t="shared" si="12"/>
        <v>10.291809696221925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237.64646718446005</v>
      </c>
      <c r="T60" s="59">
        <f t="shared" si="34"/>
        <v>156.67965022779907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1.9525381431074085</v>
      </c>
      <c r="AA60" s="21">
        <f>EXP(-LN(2)/25)*AA59+(1-EXP(-LN(2)/25))/(LN(2)/25)*Calculateur!V60*Calculateur!X60*VLOOKUP('Données projet'!$B$9,Paramètres!$A$1:$I$89,3,0)*0.475*44/12</f>
        <v>1.9845081059687073</v>
      </c>
      <c r="AB60" s="21">
        <f>EXP(-LN(2)/2)*AB59+(1-EXP(-LN(2)/2))/(LN(2)/2)*V60*Y60*VLOOKUP('Données projet'!$B$9,Paramètres!$A$1:$I$89,3,0)*0.475*44/12</f>
        <v>5.2676701741457036E-4</v>
      </c>
      <c r="AC60" s="22">
        <f t="shared" si="3"/>
        <v>3.9375730160935305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272.93635583300755</v>
      </c>
      <c r="AO60" s="59">
        <f t="shared" si="36"/>
        <v>179.56041631665812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2.1881892983100264</v>
      </c>
      <c r="AV60" s="21">
        <f>EXP(-LN(2)/25)*AV59+(1-EXP(-LN(2)/25))/(LN(2)/25)*Calculateur!AQ60*Calculateur!AS60*VLOOKUP('Données projet'!$B$10,Paramètres!$A$1:$I$89,3,0)*0.475*44/12</f>
        <v>2.2240177049649312</v>
      </c>
      <c r="AW60" s="21">
        <f>EXP(-LN(2)/2)*AW59+(1-EXP(-LN(2)/2))/(LN(2)/2)*AQ60*AT60*VLOOKUP('Données projet'!$B$10,Paramètres!$A$1:$I$89,3,0)*0.475*44/12</f>
        <v>5.9034234710253594E-4</v>
      </c>
      <c r="AX60" s="21">
        <f t="shared" si="6"/>
        <v>4.4127973456220602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13.5</v>
      </c>
      <c r="BD60" s="12">
        <f>IF('Données projet'!$A$88&gt;35,BD59+BC60-BL59,IF(A60&lt;'Données projet'!$A$88,$BA$205^A60,IF(A60='Données projet'!$A$88,'Données projet'!$B$88,BD59+BC60-BL59)))</f>
        <v>307.99999999999989</v>
      </c>
      <c r="BE60" s="13">
        <f>BD60*VLOOKUP('Données projet'!$B$11,Paramètres!$A$1:$I$89,3,0)*VLOOKUP('Données projet'!$B$11,Paramètres!$A$1:$I$89,5,0)</f>
        <v>144.14399999999995</v>
      </c>
      <c r="BF60" s="13">
        <f t="shared" si="37"/>
        <v>37.244720006976216</v>
      </c>
      <c r="BG60" s="20">
        <f t="shared" si="7"/>
        <v>315.91868734548348</v>
      </c>
      <c r="BH60" s="59">
        <f t="shared" si="8"/>
        <v>609.25202067881673</v>
      </c>
      <c r="BI60" s="59">
        <f ca="1">AVERAGE(OFFSET($BH$3,0,0,'Données projet'!$E$11+1,1))-AVERAGE(OFFSET($H$3,0,0,'Données projet'!$E$11+1,1))</f>
        <v>226.0452828290525</v>
      </c>
      <c r="BJ60" s="59">
        <f t="shared" si="38"/>
        <v>179.89696397462069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5.3171553011361787</v>
      </c>
      <c r="BQ60" s="21">
        <f>EXP(-LN(2)/25)*BQ59+(1-EXP(-LN(2)/25))/(LN(2)/25)*Calculateur!BL60*Calculateur!BN60*VLOOKUP('Données projet'!$B$11,Paramètres!$A$1:$I$89,3,0)*0.475*44/12</f>
        <v>5.2748958810426227</v>
      </c>
      <c r="BR60" s="21">
        <f>EXP(-LN(2)/2)*BR59+(1-EXP(-LN(2)/2))/(LN(2)/2)*BL60*BO60*VLOOKUP('Données projet'!$B$11,Paramètres!$A$1:$I$89,3,0)*0.475*44/12</f>
        <v>9.5320692741745724E-4</v>
      </c>
      <c r="BS60" s="22">
        <f t="shared" si="9"/>
        <v>10.59300438910622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219.43439115440339</v>
      </c>
      <c r="CE60" s="59">
        <f t="shared" si="40"/>
        <v>217.8880462742099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4.9334979311297511</v>
      </c>
      <c r="CL60" s="21">
        <f>EXP(-LN(2)/25)*CL59+(1-EXP(-LN(2)/25))/(LN(2)/25)*Calculateur!CG60*Calculateur!CI60*VLOOKUP('Données projet'!$B$12,Paramètres!$A$1:$I$89,3,0)*0.475*44/12</f>
        <v>5.1147435585822167</v>
      </c>
      <c r="CM60" s="21">
        <f>EXP(-LN(2)/2)*CM59+(1-EXP(-LN(2)/2))/(LN(2)/2)*CG60*CJ60*VLOOKUP('Données projet'!$B$12,Paramètres!$A$1:$I$89,3,0)*0.475*44/12</f>
        <v>7.7448982539479662E-4</v>
      </c>
      <c r="CN60" s="22">
        <f t="shared" si="12"/>
        <v>10.049015979537362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237.64646718446005</v>
      </c>
      <c r="T61" s="59">
        <f t="shared" si="34"/>
        <v>156.67965022779907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1.9142500610517448</v>
      </c>
      <c r="AA61" s="21">
        <f>EXP(-LN(2)/25)*AA60+(1-EXP(-LN(2)/25))/(LN(2)/25)*Calculateur!V61*Calculateur!X61*VLOOKUP('Données projet'!$B$9,Paramètres!$A$1:$I$89,3,0)*0.475*44/12</f>
        <v>1.9302416274502474</v>
      </c>
      <c r="AB61" s="21">
        <f>EXP(-LN(2)/2)*AB60+(1-EXP(-LN(2)/2))/(LN(2)/2)*V61*Y61*VLOOKUP('Données projet'!$B$9,Paramètres!$A$1:$I$89,3,0)*0.475*44/12</f>
        <v>3.7248053011925487E-4</v>
      </c>
      <c r="AC61" s="22">
        <f t="shared" si="3"/>
        <v>3.8448641690321113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272.93635583300755</v>
      </c>
      <c r="AO61" s="59">
        <f t="shared" si="36"/>
        <v>179.56041631665812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2.1452802408338516</v>
      </c>
      <c r="AV61" s="21">
        <f>EXP(-LN(2)/25)*AV60+(1-EXP(-LN(2)/25))/(LN(2)/25)*Calculateur!AQ61*Calculateur!AS61*VLOOKUP('Données projet'!$B$10,Paramètres!$A$1:$I$89,3,0)*0.475*44/12</f>
        <v>2.163201823866657</v>
      </c>
      <c r="AW61" s="21">
        <f>EXP(-LN(2)/2)*AW60+(1-EXP(-LN(2)/2))/(LN(2)/2)*AQ61*AT61*VLOOKUP('Données projet'!$B$10,Paramètres!$A$1:$I$89,3,0)*0.475*44/12</f>
        <v>4.1743507685778578E-4</v>
      </c>
      <c r="AX61" s="21">
        <f t="shared" si="6"/>
        <v>4.3088994997773664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13.5</v>
      </c>
      <c r="BD61" s="12">
        <f>IF('Données projet'!$A$88&gt;35,BD60+BC61-BL60,IF(A61&lt;'Données projet'!$A$88,$BA$205^A61,IF(A61='Données projet'!$A$88,'Données projet'!$B$88,BD60+BC61-BL60)))</f>
        <v>321.49999999999989</v>
      </c>
      <c r="BE61" s="13">
        <f>BD61*VLOOKUP('Données projet'!$B$11,Paramètres!$A$1:$I$89,3,0)*VLOOKUP('Données projet'!$B$11,Paramètres!$A$1:$I$89,5,0)</f>
        <v>150.46199999999993</v>
      </c>
      <c r="BF61" s="13">
        <f t="shared" si="37"/>
        <v>38.683557979918994</v>
      </c>
      <c r="BG61" s="20">
        <f t="shared" si="7"/>
        <v>329.42851348169211</v>
      </c>
      <c r="BH61" s="59">
        <f t="shared" si="8"/>
        <v>622.76184681502536</v>
      </c>
      <c r="BI61" s="59">
        <f ca="1">AVERAGE(OFFSET($BH$3,0,0,'Données projet'!$E$11+1,1))-AVERAGE(OFFSET($H$3,0,0,'Données projet'!$E$11+1,1))</f>
        <v>226.0452828290525</v>
      </c>
      <c r="BJ61" s="59">
        <f t="shared" si="38"/>
        <v>179.89696397462069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5.212889128825398</v>
      </c>
      <c r="BQ61" s="21">
        <f>EXP(-LN(2)/25)*BQ60+(1-EXP(-LN(2)/25))/(LN(2)/25)*Calculateur!BL61*Calculateur!BN61*VLOOKUP('Données projet'!$B$11,Paramètres!$A$1:$I$89,3,0)*0.475*44/12</f>
        <v>5.1306535757807934</v>
      </c>
      <c r="BR61" s="21">
        <f>EXP(-LN(2)/2)*BR60+(1-EXP(-LN(2)/2))/(LN(2)/2)*BL61*BO61*VLOOKUP('Données projet'!$B$11,Paramètres!$A$1:$I$89,3,0)*0.475*44/12</f>
        <v>6.7401908225087732E-4</v>
      </c>
      <c r="BS61" s="22">
        <f t="shared" si="9"/>
        <v>10.344216723688442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219.43439115440339</v>
      </c>
      <c r="CE61" s="59">
        <f t="shared" si="40"/>
        <v>217.8880462742099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4.8367550458369069</v>
      </c>
      <c r="CL61" s="21">
        <f>EXP(-LN(2)/25)*CL60+(1-EXP(-LN(2)/25))/(LN(2)/25)*Calculateur!CG61*Calculateur!CI61*VLOOKUP('Données projet'!$B$12,Paramètres!$A$1:$I$89,3,0)*0.475*44/12</f>
        <v>4.974880627000112</v>
      </c>
      <c r="CM61" s="21">
        <f>EXP(-LN(2)/2)*CM60+(1-EXP(-LN(2)/2))/(LN(2)/2)*CG61*CJ61*VLOOKUP('Données projet'!$B$12,Paramètres!$A$1:$I$89,3,0)*0.475*44/12</f>
        <v>5.4764700749664584E-4</v>
      </c>
      <c r="CN61" s="22">
        <f t="shared" si="12"/>
        <v>9.8121833198445163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237.64646718446005</v>
      </c>
      <c r="T62" s="59">
        <f t="shared" si="34"/>
        <v>156.67965022779907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1.8767127849317686</v>
      </c>
      <c r="AA62" s="21">
        <f>EXP(-LN(2)/25)*AA61+(1-EXP(-LN(2)/25))/(LN(2)/25)*Calculateur!V62*Calculateur!X62*VLOOKUP('Données projet'!$B$9,Paramètres!$A$1:$I$89,3,0)*0.475*44/12</f>
        <v>1.8774590686406247</v>
      </c>
      <c r="AB62" s="21">
        <f>EXP(-LN(2)/2)*AB61+(1-EXP(-LN(2)/2))/(LN(2)/2)*V62*Y62*VLOOKUP('Données projet'!$B$9,Paramètres!$A$1:$I$89,3,0)*0.475*44/12</f>
        <v>2.6338350870728518E-4</v>
      </c>
      <c r="AC62" s="22">
        <f t="shared" si="3"/>
        <v>3.7544352370811009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272.93635583300755</v>
      </c>
      <c r="AO62" s="59">
        <f t="shared" si="36"/>
        <v>179.56041631665812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2.1032126038028438</v>
      </c>
      <c r="AV62" s="21">
        <f>EXP(-LN(2)/25)*AV61+(1-EXP(-LN(2)/25))/(LN(2)/25)*Calculateur!AQ62*Calculateur!AS62*VLOOKUP('Données projet'!$B$10,Paramètres!$A$1:$I$89,3,0)*0.475*44/12</f>
        <v>2.1040489562351836</v>
      </c>
      <c r="AW62" s="21">
        <f>EXP(-LN(2)/2)*AW61+(1-EXP(-LN(2)/2))/(LN(2)/2)*AQ62*AT62*VLOOKUP('Données projet'!$B$10,Paramètres!$A$1:$I$89,3,0)*0.475*44/12</f>
        <v>2.9517117355126797E-4</v>
      </c>
      <c r="AX62" s="21">
        <f t="shared" si="6"/>
        <v>4.2075567312115787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13.5</v>
      </c>
      <c r="BD62" s="12">
        <f>IF('Données projet'!$A$88&gt;35,BD61+BC62-BL61,IF(A62&lt;'Données projet'!$A$88,$BA$205^A62,IF(A62='Données projet'!$A$88,'Données projet'!$B$88,BD61+BC62-BL61)))</f>
        <v>334.99999999999989</v>
      </c>
      <c r="BE62" s="13">
        <f>BD62*VLOOKUP('Données projet'!$B$11,Paramètres!$A$1:$I$89,3,0)*VLOOKUP('Données projet'!$B$11,Paramètres!$A$1:$I$89,5,0)</f>
        <v>156.77999999999994</v>
      </c>
      <c r="BF62" s="13">
        <f t="shared" si="37"/>
        <v>40.115378305457938</v>
      </c>
      <c r="BG62" s="20">
        <f t="shared" si="7"/>
        <v>342.92611721533916</v>
      </c>
      <c r="BH62" s="59">
        <f t="shared" si="8"/>
        <v>636.25945054867248</v>
      </c>
      <c r="BI62" s="59">
        <f ca="1">AVERAGE(OFFSET($BH$3,0,0,'Données projet'!$E$11+1,1))-AVERAGE(OFFSET($H$3,0,0,'Données projet'!$E$11+1,1))</f>
        <v>226.0452828290525</v>
      </c>
      <c r="BJ62" s="59">
        <f t="shared" si="38"/>
        <v>179.89696397462069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5.1106675525575458</v>
      </c>
      <c r="BQ62" s="21">
        <f>EXP(-LN(2)/25)*BQ61+(1-EXP(-LN(2)/25))/(LN(2)/25)*Calculateur!BL62*Calculateur!BN62*VLOOKUP('Données projet'!$B$11,Paramètres!$A$1:$I$89,3,0)*0.475*44/12</f>
        <v>4.9903555839417226</v>
      </c>
      <c r="BR62" s="21">
        <f>EXP(-LN(2)/2)*BR61+(1-EXP(-LN(2)/2))/(LN(2)/2)*BL62*BO62*VLOOKUP('Données projet'!$B$11,Paramètres!$A$1:$I$89,3,0)*0.475*44/12</f>
        <v>4.7660346370872873E-4</v>
      </c>
      <c r="BS62" s="22">
        <f t="shared" si="9"/>
        <v>10.101499739962977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219.43439115440339</v>
      </c>
      <c r="CE62" s="59">
        <f t="shared" si="40"/>
        <v>217.8880462742099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4.7419092295173222</v>
      </c>
      <c r="CL62" s="21">
        <f>EXP(-LN(2)/25)*CL61+(1-EXP(-LN(2)/25))/(LN(2)/25)*Calculateur!CG62*Calculateur!CI62*VLOOKUP('Données projet'!$B$12,Paramètres!$A$1:$I$89,3,0)*0.475*44/12</f>
        <v>4.8388422546371919</v>
      </c>
      <c r="CM62" s="21">
        <f>EXP(-LN(2)/2)*CM61+(1-EXP(-LN(2)/2))/(LN(2)/2)*CG62*CJ62*VLOOKUP('Données projet'!$B$12,Paramètres!$A$1:$I$89,3,0)*0.475*44/12</f>
        <v>3.8724491269739831E-4</v>
      </c>
      <c r="CN62" s="22">
        <f t="shared" si="12"/>
        <v>9.581138729067213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237.64646718446005</v>
      </c>
      <c r="T63" s="59">
        <f t="shared" si="34"/>
        <v>156.67965022779907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1.8399115919010276</v>
      </c>
      <c r="AA63" s="21">
        <f>EXP(-LN(2)/25)*AA62+(1-EXP(-LN(2)/25))/(LN(2)/25)*Calculateur!V63*Calculateur!X63*VLOOKUP('Données projet'!$B$9,Paramètres!$A$1:$I$89,3,0)*0.475*44/12</f>
        <v>1.8261198516773653</v>
      </c>
      <c r="AB63" s="21">
        <f>EXP(-LN(2)/2)*AB62+(1-EXP(-LN(2)/2))/(LN(2)/2)*V63*Y63*VLOOKUP('Données projet'!$B$9,Paramètres!$A$1:$I$89,3,0)*0.475*44/12</f>
        <v>1.8624026505962744E-4</v>
      </c>
      <c r="AC63" s="22">
        <f t="shared" si="3"/>
        <v>3.6662176838434526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272.93635583300755</v>
      </c>
      <c r="AO63" s="59">
        <f t="shared" si="36"/>
        <v>179.56041631665812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2.0619698874752892</v>
      </c>
      <c r="AV63" s="21">
        <f>EXP(-LN(2)/25)*AV62+(1-EXP(-LN(2)/25))/(LN(2)/25)*Calculateur!AQ63*Calculateur!AS63*VLOOKUP('Données projet'!$B$10,Paramètres!$A$1:$I$89,3,0)*0.475*44/12</f>
        <v>2.0465136268798068</v>
      </c>
      <c r="AW63" s="21">
        <f>EXP(-LN(2)/2)*AW62+(1-EXP(-LN(2)/2))/(LN(2)/2)*AQ63*AT63*VLOOKUP('Données projet'!$B$10,Paramètres!$A$1:$I$89,3,0)*0.475*44/12</f>
        <v>2.0871753842889289E-4</v>
      </c>
      <c r="AX63" s="21">
        <f t="shared" si="6"/>
        <v>4.1086922318935253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348.5</v>
      </c>
      <c r="BB63" s="12">
        <f>VLOOKUP(A63,'Données projet'!$A$87:$I$107,9,0)</f>
        <v>13.5</v>
      </c>
      <c r="BC63" s="12">
        <f t="array" ref="BC63">INDEX(BB:BB,MIN(IF(ISNUMBER(BB63:BB259),ROW(BB63:BB259),"")))</f>
        <v>13.5</v>
      </c>
      <c r="BD63" s="12">
        <f>IF('Données projet'!$A$88&gt;35,BD62+BC63-BL62,IF(A63&lt;'Données projet'!$A$88,$BA$205^A63,IF(A63='Données projet'!$A$88,'Données projet'!$B$88,BD62+BC63-BL62)))</f>
        <v>348.49999999999989</v>
      </c>
      <c r="BE63" s="13">
        <f>BD63*VLOOKUP('Données projet'!$B$11,Paramètres!$A$1:$I$89,3,0)*VLOOKUP('Données projet'!$B$11,Paramètres!$A$1:$I$89,5,0)</f>
        <v>163.09799999999993</v>
      </c>
      <c r="BF63" s="13">
        <f t="shared" si="37"/>
        <v>41.540496136845142</v>
      </c>
      <c r="BG63" s="20">
        <f t="shared" si="7"/>
        <v>356.4120474383385</v>
      </c>
      <c r="BH63" s="59">
        <f t="shared" si="8"/>
        <v>649.74538077167176</v>
      </c>
      <c r="BI63" s="59">
        <f ca="1">AVERAGE(OFFSET($BH$3,0,0,'Données projet'!$E$11+1,1))-AVERAGE(OFFSET($H$3,0,0,'Données projet'!$E$11+1,1))</f>
        <v>226.0452828290525</v>
      </c>
      <c r="BJ63" s="59">
        <f t="shared" si="38"/>
        <v>179.89696397462069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5.0104504790513014</v>
      </c>
      <c r="BQ63" s="21">
        <f>EXP(-LN(2)/25)*BQ62+(1-EXP(-LN(2)/25))/(LN(2)/25)*Calculateur!BL63*Calculateur!BN63*VLOOKUP('Données projet'!$B$11,Paramètres!$A$1:$I$89,3,0)*0.475*44/12</f>
        <v>4.853894048067442</v>
      </c>
      <c r="BR63" s="21">
        <f>EXP(-LN(2)/2)*BR62+(1-EXP(-LN(2)/2))/(LN(2)/2)*BL63*BO63*VLOOKUP('Données projet'!$B$11,Paramètres!$A$1:$I$89,3,0)*0.475*44/12</f>
        <v>3.3700954112543871E-4</v>
      </c>
      <c r="BS63" s="22">
        <f t="shared" si="9"/>
        <v>9.8646815366598677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219.43439115440339</v>
      </c>
      <c r="CE63" s="59">
        <f t="shared" si="40"/>
        <v>217.8880462742099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4.6489232818055291</v>
      </c>
      <c r="CL63" s="21">
        <f>EXP(-LN(2)/25)*CL62+(1-EXP(-LN(2)/25))/(LN(2)/25)*Calculateur!CG63*Calculateur!CI63*VLOOKUP('Données projet'!$B$12,Paramètres!$A$1:$I$89,3,0)*0.475*44/12</f>
        <v>4.706523858720483</v>
      </c>
      <c r="CM63" s="21">
        <f>EXP(-LN(2)/2)*CM62+(1-EXP(-LN(2)/2))/(LN(2)/2)*CG63*CJ63*VLOOKUP('Données projet'!$B$12,Paramètres!$A$1:$I$89,3,0)*0.475*44/12</f>
        <v>2.7382350374832292E-4</v>
      </c>
      <c r="CN63" s="22">
        <f t="shared" si="12"/>
        <v>9.3557209640297607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237.64646718446005</v>
      </c>
      <c r="T64" s="59">
        <f t="shared" si="34"/>
        <v>156.67965022779907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1.8038320478191079</v>
      </c>
      <c r="AA64" s="21">
        <f>EXP(-LN(2)/25)*AA63+(1-EXP(-LN(2)/25))/(LN(2)/25)*Calculateur!V64*Calculateur!X64*VLOOKUP('Données projet'!$B$9,Paramètres!$A$1:$I$89,3,0)*0.475*44/12</f>
        <v>1.7761845083017784</v>
      </c>
      <c r="AB64" s="21">
        <f>EXP(-LN(2)/2)*AB63+(1-EXP(-LN(2)/2))/(LN(2)/2)*V64*Y64*VLOOKUP('Données projet'!$B$9,Paramètres!$A$1:$I$89,3,0)*0.475*44/12</f>
        <v>1.3169175435364259E-4</v>
      </c>
      <c r="AC64" s="22">
        <f t="shared" si="3"/>
        <v>3.5801482478752398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272.93635583300755</v>
      </c>
      <c r="AO64" s="59">
        <f t="shared" si="36"/>
        <v>179.56041631665812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2.0215359156593449</v>
      </c>
      <c r="AV64" s="21">
        <f>EXP(-LN(2)/25)*AV63+(1-EXP(-LN(2)/25))/(LN(2)/25)*Calculateur!AQ64*Calculateur!AS64*VLOOKUP('Données projet'!$B$10,Paramètres!$A$1:$I$89,3,0)*0.475*44/12</f>
        <v>1.9905516041313043</v>
      </c>
      <c r="AW64" s="21">
        <f>EXP(-LN(2)/2)*AW63+(1-EXP(-LN(2)/2))/(LN(2)/2)*AQ64*AT64*VLOOKUP('Données projet'!$B$10,Paramètres!$A$1:$I$89,3,0)*0.475*44/12</f>
        <v>1.4758558677563399E-4</v>
      </c>
      <c r="AX64" s="21">
        <f t="shared" si="6"/>
        <v>4.0122351053774246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283.99999999999989</v>
      </c>
      <c r="BE64" s="13">
        <f>BD64*VLOOKUP('Données projet'!$B$11,Paramètres!$A$1:$I$89,3,0)*VLOOKUP('Données projet'!$B$11,Paramètres!$A$1:$I$89,5,0)</f>
        <v>132.91199999999995</v>
      </c>
      <c r="BF64" s="13">
        <f t="shared" si="37"/>
        <v>34.668367043546574</v>
      </c>
      <c r="BG64" s="20">
        <f t="shared" si="7"/>
        <v>291.86913926751021</v>
      </c>
      <c r="BH64" s="59">
        <f t="shared" si="8"/>
        <v>585.20247260084352</v>
      </c>
      <c r="BI64" s="59">
        <f ca="1">AVERAGE(OFFSET($BH$3,0,0,'Données projet'!$E$11+1,1))-AVERAGE(OFFSET($H$3,0,0,'Données projet'!$E$11+1,1))</f>
        <v>226.0452828290525</v>
      </c>
      <c r="BJ64" s="59">
        <f t="shared" si="38"/>
        <v>179.89696397462069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4.9121986012301351</v>
      </c>
      <c r="BQ64" s="21">
        <f>EXP(-LN(2)/25)*BQ63+(1-EXP(-LN(2)/25))/(LN(2)/25)*Calculateur!BL64*Calculateur!BN64*VLOOKUP('Données projet'!$B$11,Paramètres!$A$1:$I$89,3,0)*0.475*44/12</f>
        <v>4.7211640600678431</v>
      </c>
      <c r="BR64" s="21">
        <f>EXP(-LN(2)/2)*BR63+(1-EXP(-LN(2)/2))/(LN(2)/2)*BL64*BO64*VLOOKUP('Données projet'!$B$11,Paramètres!$A$1:$I$89,3,0)*0.475*44/12</f>
        <v>2.3830173185436439E-4</v>
      </c>
      <c r="BS64" s="22">
        <f t="shared" si="9"/>
        <v>9.6336009630298332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219.43439115440339</v>
      </c>
      <c r="CE64" s="59">
        <f t="shared" si="40"/>
        <v>217.8880462742099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4.5577607318125359</v>
      </c>
      <c r="CL64" s="21">
        <f>EXP(-LN(2)/25)*CL63+(1-EXP(-LN(2)/25))/(LN(2)/25)*Calculateur!CG64*Calculateur!CI64*VLOOKUP('Données projet'!$B$12,Paramètres!$A$1:$I$89,3,0)*0.475*44/12</f>
        <v>4.5778237162984388</v>
      </c>
      <c r="CM64" s="21">
        <f>EXP(-LN(2)/2)*CM63+(1-EXP(-LN(2)/2))/(LN(2)/2)*CG64*CJ64*VLOOKUP('Données projet'!$B$12,Paramètres!$A$1:$I$89,3,0)*0.475*44/12</f>
        <v>1.9362245634869916E-4</v>
      </c>
      <c r="CN64" s="22">
        <f t="shared" si="12"/>
        <v>9.1357780705673246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237.64646718446005</v>
      </c>
      <c r="T65" s="59">
        <f t="shared" si="34"/>
        <v>156.67965022779907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1.7684600015902858</v>
      </c>
      <c r="AA65" s="21">
        <f>EXP(-LN(2)/25)*AA64+(1-EXP(-LN(2)/25))/(LN(2)/25)*Calculateur!V65*Calculateur!X65*VLOOKUP('Données projet'!$B$9,Paramètres!$A$1:$I$89,3,0)*0.475*44/12</f>
        <v>1.7276146495167826</v>
      </c>
      <c r="AB65" s="21">
        <f>EXP(-LN(2)/2)*AB64+(1-EXP(-LN(2)/2))/(LN(2)/2)*V65*Y65*VLOOKUP('Données projet'!$B$9,Paramètres!$A$1:$I$89,3,0)*0.475*44/12</f>
        <v>9.3120132529813719E-5</v>
      </c>
      <c r="AC65" s="22">
        <f t="shared" si="3"/>
        <v>3.4961677712395982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272.93635583300755</v>
      </c>
      <c r="AO65" s="59">
        <f t="shared" si="36"/>
        <v>179.56041631665812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1.9818948293684235</v>
      </c>
      <c r="AV65" s="21">
        <f>EXP(-LN(2)/25)*AV64+(1-EXP(-LN(2)/25))/(LN(2)/25)*Calculateur!AQ65*Calculateur!AS65*VLOOKUP('Données projet'!$B$10,Paramètres!$A$1:$I$89,3,0)*0.475*44/12</f>
        <v>1.9361198658377743</v>
      </c>
      <c r="AW65" s="21">
        <f>EXP(-LN(2)/2)*AW64+(1-EXP(-LN(2)/2))/(LN(2)/2)*AQ65*AT65*VLOOKUP('Données projet'!$B$10,Paramètres!$A$1:$I$89,3,0)*0.475*44/12</f>
        <v>1.0435876921444644E-4</v>
      </c>
      <c r="AX65" s="21">
        <f t="shared" si="6"/>
        <v>3.9181190539754125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299.49999999999989</v>
      </c>
      <c r="BE65" s="13">
        <f>BD65*VLOOKUP('Données projet'!$B$11,Paramètres!$A$1:$I$89,3,0)*VLOOKUP('Données projet'!$B$11,Paramètres!$A$1:$I$89,5,0)</f>
        <v>140.16599999999994</v>
      </c>
      <c r="BF65" s="13">
        <f t="shared" si="37"/>
        <v>36.33503114084008</v>
      </c>
      <c r="BG65" s="20">
        <f t="shared" si="7"/>
        <v>307.40596257029637</v>
      </c>
      <c r="BH65" s="59">
        <f t="shared" si="8"/>
        <v>600.73929590362968</v>
      </c>
      <c r="BI65" s="59">
        <f ca="1">AVERAGE(OFFSET($BH$3,0,0,'Données projet'!$E$11+1,1))-AVERAGE(OFFSET($H$3,0,0,'Données projet'!$E$11+1,1))</f>
        <v>226.0452828290525</v>
      </c>
      <c r="BJ65" s="59">
        <f t="shared" si="38"/>
        <v>179.89696397462069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4.8158733828053144</v>
      </c>
      <c r="BQ65" s="21">
        <f>EXP(-LN(2)/25)*BQ64+(1-EXP(-LN(2)/25))/(LN(2)/25)*Calculateur!BL65*Calculateur!BN65*VLOOKUP('Données projet'!$B$11,Paramètres!$A$1:$I$89,3,0)*0.475*44/12</f>
        <v>4.59206358057006</v>
      </c>
      <c r="BR65" s="21">
        <f>EXP(-LN(2)/2)*BR64+(1-EXP(-LN(2)/2))/(LN(2)/2)*BL65*BO65*VLOOKUP('Données projet'!$B$11,Paramètres!$A$1:$I$89,3,0)*0.475*44/12</f>
        <v>1.6850477056271938E-4</v>
      </c>
      <c r="BS65" s="22">
        <f t="shared" si="9"/>
        <v>9.4081054681459371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219.43439115440339</v>
      </c>
      <c r="CE65" s="59">
        <f t="shared" si="40"/>
        <v>217.8880462742099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4.4683858238212402</v>
      </c>
      <c r="CL65" s="21">
        <f>EXP(-LN(2)/25)*CL64+(1-EXP(-LN(2)/25))/(LN(2)/25)*Calculateur!CG65*Calculateur!CI65*VLOOKUP('Données projet'!$B$12,Paramètres!$A$1:$I$89,3,0)*0.475*44/12</f>
        <v>4.4526428860389711</v>
      </c>
      <c r="CM65" s="21">
        <f>EXP(-LN(2)/2)*CM64+(1-EXP(-LN(2)/2))/(LN(2)/2)*CG65*CJ65*VLOOKUP('Données projet'!$B$12,Paramètres!$A$1:$I$89,3,0)*0.475*44/12</f>
        <v>1.3691175187416146E-4</v>
      </c>
      <c r="CN65" s="22">
        <f t="shared" si="12"/>
        <v>8.9211656216120847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237.64646718446005</v>
      </c>
      <c r="T66" s="59">
        <f t="shared" si="34"/>
        <v>156.67965022779907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1.733781579613193</v>
      </c>
      <c r="AA66" s="21">
        <f>EXP(-LN(2)/25)*AA65+(1-EXP(-LN(2)/25))/(LN(2)/25)*Calculateur!V66*Calculateur!X66*VLOOKUP('Données projet'!$B$9,Paramètres!$A$1:$I$89,3,0)*0.475*44/12</f>
        <v>1.6803729360744402</v>
      </c>
      <c r="AB66" s="21">
        <f>EXP(-LN(2)/2)*AB65+(1-EXP(-LN(2)/2))/(LN(2)/2)*V66*Y66*VLOOKUP('Données projet'!$B$9,Paramètres!$A$1:$I$89,3,0)*0.475*44/12</f>
        <v>6.5845877176821295E-5</v>
      </c>
      <c r="AC66" s="22">
        <f t="shared" si="3"/>
        <v>3.4142203615648099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272.93635583300755</v>
      </c>
      <c r="AO66" s="59">
        <f t="shared" si="36"/>
        <v>179.56041631665812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1.9430310806009921</v>
      </c>
      <c r="AV66" s="21">
        <f>EXP(-LN(2)/25)*AV65+(1-EXP(-LN(2)/25))/(LN(2)/25)*Calculateur!AQ66*Calculateur!AS66*VLOOKUP('Données projet'!$B$10,Paramètres!$A$1:$I$89,3,0)*0.475*44/12</f>
        <v>1.8831765662903217</v>
      </c>
      <c r="AW66" s="21">
        <f>EXP(-LN(2)/2)*AW65+(1-EXP(-LN(2)/2))/(LN(2)/2)*AQ66*AT66*VLOOKUP('Données projet'!$B$10,Paramètres!$A$1:$I$89,3,0)*0.475*44/12</f>
        <v>7.3792793387816993E-5</v>
      </c>
      <c r="AX66" s="21">
        <f t="shared" si="6"/>
        <v>3.8262814396847018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314.99999999999989</v>
      </c>
      <c r="BE66" s="13">
        <f>BD66*VLOOKUP('Données projet'!$B$11,Paramètres!$A$1:$I$89,3,0)*VLOOKUP('Données projet'!$B$11,Paramètres!$A$1:$I$89,5,0)</f>
        <v>147.41999999999993</v>
      </c>
      <c r="BF66" s="13">
        <f t="shared" si="37"/>
        <v>37.991680647570291</v>
      </c>
      <c r="BG66" s="20">
        <f t="shared" si="7"/>
        <v>322.92534379451814</v>
      </c>
      <c r="BH66" s="59">
        <f t="shared" si="8"/>
        <v>616.25867712785146</v>
      </c>
      <c r="BI66" s="59">
        <f ca="1">AVERAGE(OFFSET($BH$3,0,0,'Données projet'!$E$11+1,1))-AVERAGE(OFFSET($H$3,0,0,'Données projet'!$E$11+1,1))</f>
        <v>226.0452828290525</v>
      </c>
      <c r="BJ66" s="59">
        <f t="shared" si="38"/>
        <v>179.89696397462069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4.721437043161222</v>
      </c>
      <c r="BQ66" s="21">
        <f>EXP(-LN(2)/25)*BQ65+(1-EXP(-LN(2)/25))/(LN(2)/25)*Calculateur!BL66*Calculateur!BN66*VLOOKUP('Données projet'!$B$11,Paramètres!$A$1:$I$89,3,0)*0.475*44/12</f>
        <v>4.4664933604732431</v>
      </c>
      <c r="BR66" s="21">
        <f>EXP(-LN(2)/2)*BR65+(1-EXP(-LN(2)/2))/(LN(2)/2)*BL66*BO66*VLOOKUP('Données projet'!$B$11,Paramètres!$A$1:$I$89,3,0)*0.475*44/12</f>
        <v>1.1915086592718222E-4</v>
      </c>
      <c r="BS66" s="22">
        <f t="shared" si="9"/>
        <v>9.1880495545003917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219.43439115440339</v>
      </c>
      <c r="CE66" s="59">
        <f t="shared" si="40"/>
        <v>217.8880462742099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4.3807635032623429</v>
      </c>
      <c r="CL66" s="21">
        <f>EXP(-LN(2)/25)*CL65+(1-EXP(-LN(2)/25))/(LN(2)/25)*Calculateur!CG66*Calculateur!CI66*VLOOKUP('Données projet'!$B$12,Paramètres!$A$1:$I$89,3,0)*0.475*44/12</f>
        <v>4.330885132165923</v>
      </c>
      <c r="CM66" s="21">
        <f>EXP(-LN(2)/2)*CM65+(1-EXP(-LN(2)/2))/(LN(2)/2)*CG66*CJ66*VLOOKUP('Données projet'!$B$12,Paramètres!$A$1:$I$89,3,0)*0.475*44/12</f>
        <v>9.6811228174349578E-5</v>
      </c>
      <c r="CN66" s="22">
        <f t="shared" si="12"/>
        <v>8.7117454466564386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237.64646718446005</v>
      </c>
      <c r="T67" s="59">
        <f t="shared" si="34"/>
        <v>156.67965022779907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1.6997831803393222</v>
      </c>
      <c r="AA67" s="21">
        <f>EXP(-LN(2)/25)*AA66+(1-EXP(-LN(2)/25))/(LN(2)/25)*Calculateur!V67*Calculateur!X67*VLOOKUP('Données projet'!$B$9,Paramètres!$A$1:$I$89,3,0)*0.475*44/12</f>
        <v>1.6344230497705123</v>
      </c>
      <c r="AB67" s="21">
        <f>EXP(-LN(2)/2)*AB66+(1-EXP(-LN(2)/2))/(LN(2)/2)*V67*Y67*VLOOKUP('Données projet'!$B$9,Paramètres!$A$1:$I$89,3,0)*0.475*44/12</f>
        <v>4.6560066264906859E-5</v>
      </c>
      <c r="AC67" s="22">
        <f t="shared" si="3"/>
        <v>3.334252790176099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272.93635583300755</v>
      </c>
      <c r="AO67" s="59">
        <f t="shared" si="36"/>
        <v>179.56041631665812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1.9049294262423437</v>
      </c>
      <c r="AV67" s="21">
        <f>EXP(-LN(2)/25)*AV66+(1-EXP(-LN(2)/25))/(LN(2)/25)*Calculateur!AQ67*Calculateur!AS67*VLOOKUP('Données projet'!$B$10,Paramètres!$A$1:$I$89,3,0)*0.475*44/12</f>
        <v>1.8316810040531613</v>
      </c>
      <c r="AW67" s="21">
        <f>EXP(-LN(2)/2)*AW66+(1-EXP(-LN(2)/2))/(LN(2)/2)*AQ67*AT67*VLOOKUP('Données projet'!$B$10,Paramètres!$A$1:$I$89,3,0)*0.475*44/12</f>
        <v>5.2179384607223222E-5</v>
      </c>
      <c r="AX67" s="21">
        <f t="shared" si="6"/>
        <v>3.7366626096801121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330.49999999999989</v>
      </c>
      <c r="BE67" s="13">
        <f>BD67*VLOOKUP('Données projet'!$B$11,Paramètres!$A$1:$I$89,3,0)*VLOOKUP('Données projet'!$B$11,Paramètres!$A$1:$I$89,5,0)</f>
        <v>154.67399999999995</v>
      </c>
      <c r="BF67" s="13">
        <f t="shared" si="37"/>
        <v>39.63886458604275</v>
      </c>
      <c r="BG67" s="20">
        <f t="shared" si="7"/>
        <v>338.42823915402437</v>
      </c>
      <c r="BH67" s="59">
        <f t="shared" si="8"/>
        <v>631.76157248735763</v>
      </c>
      <c r="BI67" s="59">
        <f ca="1">AVERAGE(OFFSET($BH$3,0,0,'Données projet'!$E$11+1,1))-AVERAGE(OFFSET($H$3,0,0,'Données projet'!$E$11+1,1))</f>
        <v>226.0452828290525</v>
      </c>
      <c r="BJ67" s="59">
        <f t="shared" si="38"/>
        <v>179.89696397462069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4.6288525425370706</v>
      </c>
      <c r="BQ67" s="21">
        <f>EXP(-LN(2)/25)*BQ66+(1-EXP(-LN(2)/25))/(LN(2)/25)*Calculateur!BL67*Calculateur!BN67*VLOOKUP('Données projet'!$B$11,Paramètres!$A$1:$I$89,3,0)*0.475*44/12</f>
        <v>4.3443568646484243</v>
      </c>
      <c r="BR67" s="21">
        <f>EXP(-LN(2)/2)*BR66+(1-EXP(-LN(2)/2))/(LN(2)/2)*BL67*BO67*VLOOKUP('Données projet'!$B$11,Paramètres!$A$1:$I$89,3,0)*0.475*44/12</f>
        <v>8.4252385281359705E-5</v>
      </c>
      <c r="BS67" s="22">
        <f t="shared" si="9"/>
        <v>8.9732936595707766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219.43439115440339</v>
      </c>
      <c r="CE67" s="59">
        <f t="shared" si="40"/>
        <v>217.8880462742099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4.2948594029652671</v>
      </c>
      <c r="CL67" s="21">
        <f>EXP(-LN(2)/25)*CL66+(1-EXP(-LN(2)/25))/(LN(2)/25)*Calculateur!CG67*Calculateur!CI67*VLOOKUP('Données projet'!$B$12,Paramètres!$A$1:$I$89,3,0)*0.475*44/12</f>
        <v>4.2124568504754949</v>
      </c>
      <c r="CM67" s="21">
        <f>EXP(-LN(2)/2)*CM66+(1-EXP(-LN(2)/2))/(LN(2)/2)*CG67*CJ67*VLOOKUP('Données projet'!$B$12,Paramètres!$A$1:$I$89,3,0)*0.475*44/12</f>
        <v>6.845587593708073E-5</v>
      </c>
      <c r="CN67" s="22">
        <f t="shared" si="12"/>
        <v>8.5073847093166997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237.64646718446005</v>
      </c>
      <c r="T68" s="59">
        <f t="shared" si="34"/>
        <v>156.67965022779907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1.6664514689382359</v>
      </c>
      <c r="AA68" s="21">
        <f>EXP(-LN(2)/25)*AA67+(1-EXP(-LN(2)/25))/(LN(2)/25)*Calculateur!V68*Calculateur!X68*VLOOKUP('Données projet'!$B$9,Paramètres!$A$1:$I$89,3,0)*0.475*44/12</f>
        <v>1.589729665523965</v>
      </c>
      <c r="AB68" s="21">
        <f>EXP(-LN(2)/2)*AB67+(1-EXP(-LN(2)/2))/(LN(2)/2)*V68*Y68*VLOOKUP('Données projet'!$B$9,Paramètres!$A$1:$I$89,3,0)*0.475*44/12</f>
        <v>3.2922938588410648E-5</v>
      </c>
      <c r="AC68" s="22">
        <f t="shared" ref="AC68:AC131" si="57">SUM(Z68:AB68)</f>
        <v>3.2562140574007894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272.93635583300755</v>
      </c>
      <c r="AO68" s="59">
        <f t="shared" si="36"/>
        <v>179.56041631665812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1.8675749220859541</v>
      </c>
      <c r="AV68" s="21">
        <f>EXP(-LN(2)/25)*AV67+(1-EXP(-LN(2)/25))/(LN(2)/25)*Calculateur!AQ68*Calculateur!AS68*VLOOKUP('Données projet'!$B$10,Paramètres!$A$1:$I$89,3,0)*0.475*44/12</f>
        <v>1.7815935906734099</v>
      </c>
      <c r="AW68" s="21">
        <f>EXP(-LN(2)/2)*AW67+(1-EXP(-LN(2)/2))/(LN(2)/2)*AQ68*AT68*VLOOKUP('Données projet'!$B$10,Paramètres!$A$1:$I$89,3,0)*0.475*44/12</f>
        <v>3.6896396693908496E-5</v>
      </c>
      <c r="AX68" s="21">
        <f t="shared" ref="AX68:AX131" si="60">SUM(AU68:AW68)</f>
        <v>3.6492054091560582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345.99999999999989</v>
      </c>
      <c r="BE68" s="13">
        <f>BD68*VLOOKUP('Données projet'!$B$11,Paramètres!$A$1:$I$89,3,0)*VLOOKUP('Données projet'!$B$11,Paramètres!$A$1:$I$89,5,0)</f>
        <v>161.92799999999994</v>
      </c>
      <c r="BF68" s="13">
        <f t="shared" si="37"/>
        <v>41.277077571585316</v>
      </c>
      <c r="BG68" s="20">
        <f t="shared" ref="BG68:BG131" si="61">(BE68+BF68)*0.475*44/12</f>
        <v>353.91551010384433</v>
      </c>
      <c r="BH68" s="59">
        <f t="shared" ref="BH68:BH131" si="62">BG68+(AY68+AZ68)*44/12</f>
        <v>647.24884343717758</v>
      </c>
      <c r="BI68" s="59">
        <f ca="1">AVERAGE(OFFSET($BH$3,0,0,'Données projet'!$E$11+1,1))-AVERAGE(OFFSET($H$3,0,0,'Données projet'!$E$11+1,1))</f>
        <v>226.0452828290525</v>
      </c>
      <c r="BJ68" s="59">
        <f t="shared" si="38"/>
        <v>179.89696397462069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4.5380835674991902</v>
      </c>
      <c r="BQ68" s="21">
        <f>EXP(-LN(2)/25)*BQ67+(1-EXP(-LN(2)/25))/(LN(2)/25)*Calculateur!BL68*Calculateur!BN68*VLOOKUP('Données projet'!$B$11,Paramètres!$A$1:$I$89,3,0)*0.475*44/12</f>
        <v>4.2255601977248149</v>
      </c>
      <c r="BR68" s="21">
        <f>EXP(-LN(2)/2)*BR67+(1-EXP(-LN(2)/2))/(LN(2)/2)*BL68*BO68*VLOOKUP('Données projet'!$B$11,Paramètres!$A$1:$I$89,3,0)*0.475*44/12</f>
        <v>5.9575432963591118E-5</v>
      </c>
      <c r="BS68" s="22">
        <f t="shared" ref="BS68:BS131" si="63">SUM(BP68:BR68)</f>
        <v>8.7637033406569689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219.43439115440339</v>
      </c>
      <c r="CE68" s="59">
        <f t="shared" si="40"/>
        <v>217.8880462742099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4.2106398296786898</v>
      </c>
      <c r="CL68" s="21">
        <f>EXP(-LN(2)/25)*CL67+(1-EXP(-LN(2)/25))/(LN(2)/25)*Calculateur!CG68*Calculateur!CI68*VLOOKUP('Données projet'!$B$12,Paramètres!$A$1:$I$89,3,0)*0.475*44/12</f>
        <v>4.0972669963757644</v>
      </c>
      <c r="CM68" s="21">
        <f>EXP(-LN(2)/2)*CM67+(1-EXP(-LN(2)/2))/(LN(2)/2)*CG68*CJ68*VLOOKUP('Données projet'!$B$12,Paramètres!$A$1:$I$89,3,0)*0.475*44/12</f>
        <v>4.8405614087174789E-5</v>
      </c>
      <c r="CN68" s="22">
        <f t="shared" ref="CN68:CN131" si="66">SUM(CK68:CM68)</f>
        <v>8.3079552316685419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237.64646718446005</v>
      </c>
      <c r="T69" s="59">
        <f t="shared" ref="T69:T132" si="88">$T$3</f>
        <v>156.67965022779907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1.6337733720673886</v>
      </c>
      <c r="AA69" s="21">
        <f>EXP(-LN(2)/25)*AA68+(1-EXP(-LN(2)/25))/(LN(2)/25)*Calculateur!V69*Calculateur!X69*VLOOKUP('Données projet'!$B$9,Paramètres!$A$1:$I$89,3,0)*0.475*44/12</f>
        <v>1.5462584242199624</v>
      </c>
      <c r="AB69" s="21">
        <f>EXP(-LN(2)/2)*AB68+(1-EXP(-LN(2)/2))/(LN(2)/2)*V69*Y69*VLOOKUP('Données projet'!$B$9,Paramètres!$A$1:$I$89,3,0)*0.475*44/12</f>
        <v>2.328003313245343E-5</v>
      </c>
      <c r="AC69" s="22">
        <f t="shared" si="57"/>
        <v>3.1800550763204836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272.93635583300755</v>
      </c>
      <c r="AO69" s="59">
        <f t="shared" ref="AO69:AO132" si="90">$AO$3</f>
        <v>179.56041631665812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1.8309529169720735</v>
      </c>
      <c r="AV69" s="21">
        <f>EXP(-LN(2)/25)*AV68+(1-EXP(-LN(2)/25))/(LN(2)/25)*Calculateur!AQ69*Calculateur!AS69*VLOOKUP('Données projet'!$B$10,Paramètres!$A$1:$I$89,3,0)*0.475*44/12</f>
        <v>1.7328758202465104</v>
      </c>
      <c r="AW69" s="21">
        <f>EXP(-LN(2)/2)*AW68+(1-EXP(-LN(2)/2))/(LN(2)/2)*AQ69*AT69*VLOOKUP('Données projet'!$B$10,Paramètres!$A$1:$I$89,3,0)*0.475*44/12</f>
        <v>2.6089692303611611E-5</v>
      </c>
      <c r="AX69" s="21">
        <f t="shared" si="60"/>
        <v>3.5638548269108874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361.49999999999989</v>
      </c>
      <c r="BE69" s="13">
        <f>BD69*VLOOKUP('Données projet'!$B$11,Paramètres!$A$1:$I$89,3,0)*VLOOKUP('Données projet'!$B$11,Paramètres!$A$1:$I$89,5,0)</f>
        <v>169.18199999999996</v>
      </c>
      <c r="BF69" s="13">
        <f t="shared" ref="BF69:BF132" si="91">EXP(-1.0587+0.8836*LN(BE69)+0.284)</f>
        <v>42.906767398977124</v>
      </c>
      <c r="BG69" s="20">
        <f t="shared" si="61"/>
        <v>369.38793655321842</v>
      </c>
      <c r="BH69" s="59">
        <f t="shared" si="62"/>
        <v>662.72126988655168</v>
      </c>
      <c r="BI69" s="59">
        <f ca="1">AVERAGE(OFFSET($BH$3,0,0,'Données projet'!$E$11+1,1))-AVERAGE(OFFSET($H$3,0,0,'Données projet'!$E$11+1,1))</f>
        <v>226.0452828290525</v>
      </c>
      <c r="BJ69" s="59">
        <f t="shared" ref="BJ69:BJ132" si="92">$BJ$3</f>
        <v>179.89696397462069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4.4490945166981941</v>
      </c>
      <c r="BQ69" s="21">
        <f>EXP(-LN(2)/25)*BQ68+(1-EXP(-LN(2)/25))/(LN(2)/25)*Calculateur!BL69*Calculateur!BN69*VLOOKUP('Données projet'!$B$11,Paramètres!$A$1:$I$89,3,0)*0.475*44/12</f>
        <v>4.1100120319054767</v>
      </c>
      <c r="BR69" s="21">
        <f>EXP(-LN(2)/2)*BR68+(1-EXP(-LN(2)/2))/(LN(2)/2)*BL69*BO69*VLOOKUP('Données projet'!$B$11,Paramètres!$A$1:$I$89,3,0)*0.475*44/12</f>
        <v>4.212619264067986E-5</v>
      </c>
      <c r="BS69" s="22">
        <f t="shared" si="63"/>
        <v>8.5591486747963117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219.43439115440339</v>
      </c>
      <c r="CE69" s="59">
        <f t="shared" ref="CE69:CE132" si="94">$CE$3</f>
        <v>217.8880462742099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4.1280717508553941</v>
      </c>
      <c r="CL69" s="21">
        <f>EXP(-LN(2)/25)*CL68+(1-EXP(-LN(2)/25))/(LN(2)/25)*Calculateur!CG69*Calculateur!CI69*VLOOKUP('Données projet'!$B$12,Paramètres!$A$1:$I$89,3,0)*0.475*44/12</f>
        <v>3.9852270148939621</v>
      </c>
      <c r="CM69" s="21">
        <f>EXP(-LN(2)/2)*CM68+(1-EXP(-LN(2)/2))/(LN(2)/2)*CG69*CJ69*VLOOKUP('Données projet'!$B$12,Paramètres!$A$1:$I$89,3,0)*0.475*44/12</f>
        <v>3.4227937968540365E-5</v>
      </c>
      <c r="CN69" s="22">
        <f t="shared" si="66"/>
        <v>8.1133329936873242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237.64646718446005</v>
      </c>
      <c r="T70" s="59">
        <f t="shared" si="88"/>
        <v>156.67965022779907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1.6017360727445076</v>
      </c>
      <c r="AA70" s="21">
        <f>EXP(-LN(2)/25)*AA69+(1-EXP(-LN(2)/25))/(LN(2)/25)*Calculateur!V70*Calculateur!X70*VLOOKUP('Données projet'!$B$9,Paramètres!$A$1:$I$89,3,0)*0.475*44/12</f>
        <v>1.503975906295471</v>
      </c>
      <c r="AB70" s="21">
        <f>EXP(-LN(2)/2)*AB69+(1-EXP(-LN(2)/2))/(LN(2)/2)*V70*Y70*VLOOKUP('Données projet'!$B$9,Paramètres!$A$1:$I$89,3,0)*0.475*44/12</f>
        <v>1.6461469294205324E-5</v>
      </c>
      <c r="AC70" s="22">
        <f t="shared" si="57"/>
        <v>3.1057284405092727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272.93635583300755</v>
      </c>
      <c r="AO70" s="59">
        <f t="shared" si="90"/>
        <v>179.56041631665812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1.7950490470412586</v>
      </c>
      <c r="AV70" s="21">
        <f>EXP(-LN(2)/25)*AV69+(1-EXP(-LN(2)/25))/(LN(2)/25)*Calculateur!AQ70*Calculateur!AS70*VLOOKUP('Données projet'!$B$10,Paramètres!$A$1:$I$89,3,0)*0.475*44/12</f>
        <v>1.6854902398138907</v>
      </c>
      <c r="AW70" s="21">
        <f>EXP(-LN(2)/2)*AW69+(1-EXP(-LN(2)/2))/(LN(2)/2)*AQ70*AT70*VLOOKUP('Données projet'!$B$10,Paramètres!$A$1:$I$89,3,0)*0.475*44/12</f>
        <v>1.8448198346954248E-5</v>
      </c>
      <c r="AX70" s="21">
        <f t="shared" si="60"/>
        <v>3.4805577350534964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376.99999999999989</v>
      </c>
      <c r="BE70" s="13">
        <f>BD70*VLOOKUP('Données projet'!$B$11,Paramètres!$A$1:$I$89,3,0)*VLOOKUP('Données projet'!$B$11,Paramètres!$A$1:$I$89,5,0)</f>
        <v>176.43599999999992</v>
      </c>
      <c r="BF70" s="13">
        <f t="shared" si="91"/>
        <v>44.52834129105058</v>
      </c>
      <c r="BG70" s="20">
        <f t="shared" si="61"/>
        <v>384.84622774857962</v>
      </c>
      <c r="BH70" s="59">
        <f t="shared" si="62"/>
        <v>678.17956108191288</v>
      </c>
      <c r="BI70" s="59">
        <f ca="1">AVERAGE(OFFSET($BH$3,0,0,'Données projet'!$E$11+1,1))-AVERAGE(OFFSET($H$3,0,0,'Données projet'!$E$11+1,1))</f>
        <v>226.0452828290525</v>
      </c>
      <c r="BJ70" s="59">
        <f t="shared" si="92"/>
        <v>179.89696397462069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4.3618504869054444</v>
      </c>
      <c r="BQ70" s="21">
        <f>EXP(-LN(2)/25)*BQ69+(1-EXP(-LN(2)/25))/(LN(2)/25)*Calculateur!BL70*Calculateur!BN70*VLOOKUP('Données projet'!$B$11,Paramètres!$A$1:$I$89,3,0)*0.475*44/12</f>
        <v>3.9976235367568824</v>
      </c>
      <c r="BR70" s="21">
        <f>EXP(-LN(2)/2)*BR69+(1-EXP(-LN(2)/2))/(LN(2)/2)*BL70*BO70*VLOOKUP('Données projet'!$B$11,Paramètres!$A$1:$I$89,3,0)*0.475*44/12</f>
        <v>2.9787716481795566E-5</v>
      </c>
      <c r="BS70" s="22">
        <f t="shared" si="63"/>
        <v>8.3595038113788078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219.43439115440339</v>
      </c>
      <c r="CE70" s="59">
        <f t="shared" si="94"/>
        <v>217.8880462742099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4.0471227816962685</v>
      </c>
      <c r="CL70" s="21">
        <f>EXP(-LN(2)/25)*CL69+(1-EXP(-LN(2)/25))/(LN(2)/25)*Calculateur!CG70*Calculateur!CI70*VLOOKUP('Données projet'!$B$12,Paramètres!$A$1:$I$89,3,0)*0.475*44/12</f>
        <v>3.8762507725977065</v>
      </c>
      <c r="CM70" s="21">
        <f>EXP(-LN(2)/2)*CM69+(1-EXP(-LN(2)/2))/(LN(2)/2)*CG70*CJ70*VLOOKUP('Données projet'!$B$12,Paramètres!$A$1:$I$89,3,0)*0.475*44/12</f>
        <v>2.4202807043587394E-5</v>
      </c>
      <c r="CN70" s="22">
        <f t="shared" si="66"/>
        <v>7.9233977571010188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237.64646718446005</v>
      </c>
      <c r="T71" s="59">
        <f t="shared" si="88"/>
        <v>156.67965022779907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1.5703270053205252</v>
      </c>
      <c r="AA71" s="21">
        <f>EXP(-LN(2)/25)*AA70+(1-EXP(-LN(2)/25))/(LN(2)/25)*Calculateur!V71*Calculateur!X71*VLOOKUP('Données projet'!$B$9,Paramètres!$A$1:$I$89,3,0)*0.475*44/12</f>
        <v>1.4628496060471659</v>
      </c>
      <c r="AB71" s="21">
        <f>EXP(-LN(2)/2)*AB70+(1-EXP(-LN(2)/2))/(LN(2)/2)*V71*Y71*VLOOKUP('Données projet'!$B$9,Paramètres!$A$1:$I$89,3,0)*0.475*44/12</f>
        <v>1.1640016566226715E-5</v>
      </c>
      <c r="AC71" s="22">
        <f t="shared" si="57"/>
        <v>3.033188251384257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272.93635583300755</v>
      </c>
      <c r="AO71" s="59">
        <f t="shared" si="90"/>
        <v>179.56041631665812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1.7598492301005886</v>
      </c>
      <c r="AV71" s="21">
        <f>EXP(-LN(2)/25)*AV70+(1-EXP(-LN(2)/25))/(LN(2)/25)*Calculateur!AQ71*Calculateur!AS71*VLOOKUP('Données projet'!$B$10,Paramètres!$A$1:$I$89,3,0)*0.475*44/12</f>
        <v>1.6394004205701003</v>
      </c>
      <c r="AW71" s="21">
        <f>EXP(-LN(2)/2)*AW70+(1-EXP(-LN(2)/2))/(LN(2)/2)*AQ71*AT71*VLOOKUP('Données projet'!$B$10,Paramètres!$A$1:$I$89,3,0)*0.475*44/12</f>
        <v>1.3044846151805806E-5</v>
      </c>
      <c r="AX71" s="21">
        <f t="shared" si="60"/>
        <v>3.3992626955168408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392.49999999999989</v>
      </c>
      <c r="BE71" s="13">
        <f>BD71*VLOOKUP('Données projet'!$B$11,Paramètres!$A$1:$I$89,3,0)*VLOOKUP('Données projet'!$B$11,Paramètres!$A$1:$I$89,5,0)</f>
        <v>183.68999999999994</v>
      </c>
      <c r="BF71" s="13">
        <f t="shared" si="91"/>
        <v>46.14217109072662</v>
      </c>
      <c r="BG71" s="20">
        <f t="shared" si="61"/>
        <v>400.29103131634878</v>
      </c>
      <c r="BH71" s="59">
        <f t="shared" si="62"/>
        <v>693.62436464968209</v>
      </c>
      <c r="BI71" s="59">
        <f ca="1">AVERAGE(OFFSET($BH$3,0,0,'Données projet'!$E$11+1,1))-AVERAGE(OFFSET($H$3,0,0,'Données projet'!$E$11+1,1))</f>
        <v>226.0452828290525</v>
      </c>
      <c r="BJ71" s="59">
        <f t="shared" si="92"/>
        <v>179.89696397462069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4.2763172593233261</v>
      </c>
      <c r="BQ71" s="21">
        <f>EXP(-LN(2)/25)*BQ70+(1-EXP(-LN(2)/25))/(LN(2)/25)*Calculateur!BL71*Calculateur!BN71*VLOOKUP('Données projet'!$B$11,Paramètres!$A$1:$I$89,3,0)*0.475*44/12</f>
        <v>3.8883083109183803</v>
      </c>
      <c r="BR71" s="21">
        <f>EXP(-LN(2)/2)*BR70+(1-EXP(-LN(2)/2))/(LN(2)/2)*BL71*BO71*VLOOKUP('Données projet'!$B$11,Paramètres!$A$1:$I$89,3,0)*0.475*44/12</f>
        <v>2.1063096320339933E-5</v>
      </c>
      <c r="BS71" s="22">
        <f t="shared" si="63"/>
        <v>8.1646466333380268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219.43439115440339</v>
      </c>
      <c r="CE71" s="59">
        <f t="shared" si="94"/>
        <v>217.8880462742099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3.9677611724483572</v>
      </c>
      <c r="CL71" s="21">
        <f>EXP(-LN(2)/25)*CL70+(1-EXP(-LN(2)/25))/(LN(2)/25)*Calculateur!CG71*Calculateur!CI71*VLOOKUP('Données projet'!$B$12,Paramètres!$A$1:$I$89,3,0)*0.475*44/12</f>
        <v>3.7702544913778535</v>
      </c>
      <c r="CM71" s="21">
        <f>EXP(-LN(2)/2)*CM70+(1-EXP(-LN(2)/2))/(LN(2)/2)*CG71*CJ71*VLOOKUP('Données projet'!$B$12,Paramètres!$A$1:$I$89,3,0)*0.475*44/12</f>
        <v>1.7113968984270182E-5</v>
      </c>
      <c r="CN71" s="22">
        <f t="shared" si="66"/>
        <v>7.7380327777951949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237.64646718446005</v>
      </c>
      <c r="T72" s="59">
        <f t="shared" si="88"/>
        <v>156.67965022779907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1.5395338505510876</v>
      </c>
      <c r="AA72" s="21">
        <f>EXP(-LN(2)/25)*AA71+(1-EXP(-LN(2)/25))/(LN(2)/25)*Calculateur!V72*Calculateur!X72*VLOOKUP('Données projet'!$B$9,Paramètres!$A$1:$I$89,3,0)*0.475*44/12</f>
        <v>1.4228479066418886</v>
      </c>
      <c r="AB72" s="21">
        <f>EXP(-LN(2)/2)*AB71+(1-EXP(-LN(2)/2))/(LN(2)/2)*V72*Y72*VLOOKUP('Données projet'!$B$9,Paramètres!$A$1:$I$89,3,0)*0.475*44/12</f>
        <v>8.2307346471026619E-6</v>
      </c>
      <c r="AC72" s="22">
        <f t="shared" si="57"/>
        <v>2.9623899879276236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272.93635583300755</v>
      </c>
      <c r="AO72" s="59">
        <f t="shared" si="90"/>
        <v>179.56041631665812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1.7253396601003568</v>
      </c>
      <c r="AV72" s="21">
        <f>EXP(-LN(2)/25)*AV71+(1-EXP(-LN(2)/25))/(LN(2)/25)*Calculateur!AQ72*Calculateur!AS72*VLOOKUP('Données projet'!$B$10,Paramètres!$A$1:$I$89,3,0)*0.475*44/12</f>
        <v>1.5945709298572897</v>
      </c>
      <c r="AW72" s="21">
        <f>EXP(-LN(2)/2)*AW71+(1-EXP(-LN(2)/2))/(LN(2)/2)*AQ72*AT72*VLOOKUP('Données projet'!$B$10,Paramètres!$A$1:$I$89,3,0)*0.475*44/12</f>
        <v>9.2240991734771241E-6</v>
      </c>
      <c r="AX72" s="21">
        <f t="shared" si="60"/>
        <v>3.3199198140568198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407.99999999999989</v>
      </c>
      <c r="BE72" s="13">
        <f>BD72*VLOOKUP('Données projet'!$B$11,Paramètres!$A$1:$I$89,3,0)*VLOOKUP('Données projet'!$B$11,Paramètres!$A$1:$I$89,5,0)</f>
        <v>190.94399999999996</v>
      </c>
      <c r="BF72" s="13">
        <f t="shared" si="91"/>
        <v>47.748597609826554</v>
      </c>
      <c r="BG72" s="20">
        <f t="shared" si="61"/>
        <v>415.72294083711449</v>
      </c>
      <c r="BH72" s="59">
        <f t="shared" si="62"/>
        <v>709.05627417044775</v>
      </c>
      <c r="BI72" s="59">
        <f ca="1">AVERAGE(OFFSET($BH$3,0,0,'Données projet'!$E$11+1,1))-AVERAGE(OFFSET($H$3,0,0,'Données projet'!$E$11+1,1))</f>
        <v>226.0452828290525</v>
      </c>
      <c r="BJ72" s="59">
        <f t="shared" si="92"/>
        <v>179.89696397462069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4.1924612861639758</v>
      </c>
      <c r="BQ72" s="21">
        <f>EXP(-LN(2)/25)*BQ71+(1-EXP(-LN(2)/25))/(LN(2)/25)*Calculateur!BL72*Calculateur!BN72*VLOOKUP('Données projet'!$B$11,Paramètres!$A$1:$I$89,3,0)*0.475*44/12</f>
        <v>3.7819823156790697</v>
      </c>
      <c r="BR72" s="21">
        <f>EXP(-LN(2)/2)*BR71+(1-EXP(-LN(2)/2))/(LN(2)/2)*BL72*BO72*VLOOKUP('Données projet'!$B$11,Paramètres!$A$1:$I$89,3,0)*0.475*44/12</f>
        <v>1.4893858240897785E-5</v>
      </c>
      <c r="BS72" s="22">
        <f t="shared" si="63"/>
        <v>7.9744584957012865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219.43439115440339</v>
      </c>
      <c r="CE72" s="59">
        <f t="shared" si="94"/>
        <v>217.8880462742099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3.8899557959519955</v>
      </c>
      <c r="CL72" s="21">
        <f>EXP(-LN(2)/25)*CL71+(1-EXP(-LN(2)/25))/(LN(2)/25)*Calculateur!CG72*Calculateur!CI72*VLOOKUP('Données projet'!$B$12,Paramètres!$A$1:$I$89,3,0)*0.475*44/12</f>
        <v>3.6671566840420593</v>
      </c>
      <c r="CM72" s="21">
        <f>EXP(-LN(2)/2)*CM71+(1-EXP(-LN(2)/2))/(LN(2)/2)*CG72*CJ72*VLOOKUP('Données projet'!$B$12,Paramètres!$A$1:$I$89,3,0)*0.475*44/12</f>
        <v>1.2101403521793697E-5</v>
      </c>
      <c r="CN72" s="22">
        <f t="shared" si="66"/>
        <v>7.5571245813975771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237.64646718446005</v>
      </c>
      <c r="T73" s="59">
        <f t="shared" si="88"/>
        <v>156.67965022779907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1.5093445307647089</v>
      </c>
      <c r="AA73" s="21">
        <f>EXP(-LN(2)/25)*AA72+(1-EXP(-LN(2)/25))/(LN(2)/25)*Calculateur!V73*Calculateur!X73*VLOOKUP('Données projet'!$B$9,Paramètres!$A$1:$I$89,3,0)*0.475*44/12</f>
        <v>1.3839400558104467</v>
      </c>
      <c r="AB73" s="21">
        <f>EXP(-LN(2)/2)*AB72+(1-EXP(-LN(2)/2))/(LN(2)/2)*V73*Y73*VLOOKUP('Données projet'!$B$9,Paramètres!$A$1:$I$89,3,0)*0.475*44/12</f>
        <v>5.8200082831133574E-6</v>
      </c>
      <c r="AC73" s="22">
        <f t="shared" si="57"/>
        <v>2.8932904065834388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272.93635583300755</v>
      </c>
      <c r="AO73" s="59">
        <f t="shared" si="90"/>
        <v>179.56041631665812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1.6915068017190702</v>
      </c>
      <c r="AV73" s="21">
        <f>EXP(-LN(2)/25)*AV72+(1-EXP(-LN(2)/25))/(LN(2)/25)*Calculateur!AQ73*Calculateur!AS73*VLOOKUP('Données projet'!$B$10,Paramètres!$A$1:$I$89,3,0)*0.475*44/12</f>
        <v>1.5509673039255014</v>
      </c>
      <c r="AW73" s="21">
        <f>EXP(-LN(2)/2)*AW72+(1-EXP(-LN(2)/2))/(LN(2)/2)*AQ73*AT73*VLOOKUP('Données projet'!$B$10,Paramètres!$A$1:$I$89,3,0)*0.475*44/12</f>
        <v>6.5224230759029028E-6</v>
      </c>
      <c r="AX73" s="21">
        <f t="shared" si="60"/>
        <v>3.2424806280676477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423.5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423.49999999999989</v>
      </c>
      <c r="BE73" s="13">
        <f>BD73*VLOOKUP('Données projet'!$B$11,Paramètres!$A$1:$I$89,3,0)*VLOOKUP('Données projet'!$B$11,Paramètres!$A$1:$I$89,5,0)</f>
        <v>198.19799999999995</v>
      </c>
      <c r="BF73" s="13">
        <f t="shared" si="91"/>
        <v>49.347934298451406</v>
      </c>
      <c r="BG73" s="20">
        <f t="shared" si="61"/>
        <v>431.14250223646945</v>
      </c>
      <c r="BH73" s="59">
        <f t="shared" si="62"/>
        <v>724.47583556980271</v>
      </c>
      <c r="BI73" s="59">
        <f ca="1">AVERAGE(OFFSET($BH$3,0,0,'Données projet'!$E$11+1,1))-AVERAGE(OFFSET($H$3,0,0,'Données projet'!$E$11+1,1))</f>
        <v>226.0452828290525</v>
      </c>
      <c r="BJ73" s="59">
        <f t="shared" si="92"/>
        <v>179.89696397462069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87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4.1102496774911872</v>
      </c>
      <c r="BQ73" s="21">
        <f>EXP(-LN(2)/25)*BQ72+(1-EXP(-LN(2)/25))/(LN(2)/25)*Calculateur!BL73*Calculateur!BN73*VLOOKUP('Données projet'!$B$11,Paramètres!$A$1:$I$89,3,0)*0.475*44/12</f>
        <v>3.6785638103710192</v>
      </c>
      <c r="BR73" s="21">
        <f>EXP(-LN(2)/2)*BR72+(1-EXP(-LN(2)/2))/(LN(2)/2)*BL73*BO73*VLOOKUP('Données projet'!$B$11,Paramètres!$A$1:$I$89,3,0)*0.475*44/12</f>
        <v>1.0531548160169968E-5</v>
      </c>
      <c r="BS73" s="22">
        <f t="shared" si="63"/>
        <v>7.7888240194103666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219.43439115440339</v>
      </c>
      <c r="CE73" s="59">
        <f t="shared" si="94"/>
        <v>217.8880462742099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3.8136761354321336</v>
      </c>
      <c r="CL73" s="21">
        <f>EXP(-LN(2)/25)*CL72+(1-EXP(-LN(2)/25))/(LN(2)/25)*Calculateur!CG73*Calculateur!CI73*VLOOKUP('Données projet'!$B$12,Paramètres!$A$1:$I$89,3,0)*0.475*44/12</f>
        <v>3.5668780916695404</v>
      </c>
      <c r="CM73" s="21">
        <f>EXP(-LN(2)/2)*CM72+(1-EXP(-LN(2)/2))/(LN(2)/2)*CG73*CJ73*VLOOKUP('Données projet'!$B$12,Paramètres!$A$1:$I$89,3,0)*0.475*44/12</f>
        <v>8.5569844921350912E-6</v>
      </c>
      <c r="CN73" s="22">
        <f t="shared" si="66"/>
        <v>7.3805627840861669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237.64646718446005</v>
      </c>
      <c r="T74" s="59">
        <f t="shared" si="88"/>
        <v>156.67965022779907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1.4797472051256741</v>
      </c>
      <c r="AA74" s="21">
        <f>EXP(-LN(2)/25)*AA73+(1-EXP(-LN(2)/25))/(LN(2)/25)*Calculateur!V74*Calculateur!X74*VLOOKUP('Données projet'!$B$9,Paramètres!$A$1:$I$89,3,0)*0.475*44/12</f>
        <v>1.3460961422060655</v>
      </c>
      <c r="AB74" s="21">
        <f>EXP(-LN(2)/2)*AB73+(1-EXP(-LN(2)/2))/(LN(2)/2)*V74*Y74*VLOOKUP('Données projet'!$B$9,Paramètres!$A$1:$I$89,3,0)*0.475*44/12</f>
        <v>4.115367323551331E-6</v>
      </c>
      <c r="AC74" s="22">
        <f t="shared" si="57"/>
        <v>2.8258474626990631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272.93635583300755</v>
      </c>
      <c r="AO74" s="59">
        <f t="shared" si="90"/>
        <v>179.56041631665812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1.6583373850546346</v>
      </c>
      <c r="AV74" s="21">
        <f>EXP(-LN(2)/25)*AV73+(1-EXP(-LN(2)/25))/(LN(2)/25)*Calculateur!AQ74*Calculateur!AS74*VLOOKUP('Données projet'!$B$10,Paramètres!$A$1:$I$89,3,0)*0.475*44/12</f>
        <v>1.5085560214378329</v>
      </c>
      <c r="AW74" s="21">
        <f>EXP(-LN(2)/2)*AW73+(1-EXP(-LN(2)/2))/(LN(2)/2)*AQ74*AT74*VLOOKUP('Données projet'!$B$10,Paramètres!$A$1:$I$89,3,0)*0.475*44/12</f>
        <v>4.6120495867385621E-6</v>
      </c>
      <c r="AX74" s="21">
        <f t="shared" si="60"/>
        <v>3.1668980185420539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353.49999999999989</v>
      </c>
      <c r="BE74" s="13">
        <f>BD74*VLOOKUP('Données projet'!$B$11,Paramètres!$A$1:$I$89,3,0)*VLOOKUP('Données projet'!$B$11,Paramètres!$A$1:$I$89,5,0)</f>
        <v>165.43799999999993</v>
      </c>
      <c r="BF74" s="13">
        <f t="shared" si="91"/>
        <v>42.066675415215769</v>
      </c>
      <c r="BG74" s="20">
        <f t="shared" si="61"/>
        <v>361.40397634816736</v>
      </c>
      <c r="BH74" s="59">
        <f t="shared" si="62"/>
        <v>654.73730968150062</v>
      </c>
      <c r="BI74" s="59">
        <f ca="1">AVERAGE(OFFSET($BH$3,0,0,'Données projet'!$E$11+1,1))-AVERAGE(OFFSET($H$3,0,0,'Données projet'!$E$11+1,1))</f>
        <v>226.0452828290525</v>
      </c>
      <c r="BJ74" s="59">
        <f t="shared" si="92"/>
        <v>179.89696397462069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4.0296501883203417</v>
      </c>
      <c r="BQ74" s="21">
        <f>EXP(-LN(2)/25)*BQ73+(1-EXP(-LN(2)/25))/(LN(2)/25)*Calculateur!BL74*Calculateur!BN74*VLOOKUP('Données projet'!$B$11,Paramètres!$A$1:$I$89,3,0)*0.475*44/12</f>
        <v>3.5779732895291603</v>
      </c>
      <c r="BR74" s="21">
        <f>EXP(-LN(2)/2)*BR73+(1-EXP(-LN(2)/2))/(LN(2)/2)*BL74*BO74*VLOOKUP('Données projet'!$B$11,Paramètres!$A$1:$I$89,3,0)*0.475*44/12</f>
        <v>7.4469291204488931E-6</v>
      </c>
      <c r="BS74" s="22">
        <f t="shared" si="63"/>
        <v>7.6076309247786229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736.78305738011409</v>
      </c>
      <c r="CD74" s="59">
        <f ca="1">AVERAGE(OFFSET($CC$3,0,0,'Données projet'!$E$12+1,1))-AVERAGE(OFFSET($H$3,0,0,'Données projet'!$E$12+1,1))</f>
        <v>219.43439115440339</v>
      </c>
      <c r="CE74" s="59">
        <f t="shared" si="94"/>
        <v>217.8880462742099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3.7388922725290676</v>
      </c>
      <c r="CL74" s="21">
        <f>EXP(-LN(2)/25)*CL73+(1-EXP(-LN(2)/25))/(LN(2)/25)*Calculateur!CG74*Calculateur!CI74*VLOOKUP('Données projet'!$B$12,Paramètres!$A$1:$I$89,3,0)*0.475*44/12</f>
        <v>3.4693416226788703</v>
      </c>
      <c r="CM74" s="21">
        <f>EXP(-LN(2)/2)*CM73+(1-EXP(-LN(2)/2))/(LN(2)/2)*CG74*CJ74*VLOOKUP('Données projet'!$B$12,Paramètres!$A$1:$I$89,3,0)*0.475*44/12</f>
        <v>6.0507017608968486E-6</v>
      </c>
      <c r="CN74" s="22">
        <f t="shared" si="66"/>
        <v>7.2082399459096989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237.64646718446005</v>
      </c>
      <c r="T75" s="59">
        <f t="shared" si="88"/>
        <v>156.67965022779907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1.4507302649898348</v>
      </c>
      <c r="AA75" s="21">
        <f>EXP(-LN(2)/25)*AA74+(1-EXP(-LN(2)/25))/(LN(2)/25)*Calculateur!V75*Calculateur!X75*VLOOKUP('Données projet'!$B$9,Paramètres!$A$1:$I$89,3,0)*0.475*44/12</f>
        <v>1.3092870724093211</v>
      </c>
      <c r="AB75" s="21">
        <f>EXP(-LN(2)/2)*AB74+(1-EXP(-LN(2)/2))/(LN(2)/2)*V75*Y75*VLOOKUP('Données projet'!$B$9,Paramètres!$A$1:$I$89,3,0)*0.475*44/12</f>
        <v>2.9100041415566787E-6</v>
      </c>
      <c r="AC75" s="22">
        <f t="shared" si="57"/>
        <v>2.7600202474032978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272.93635583300755</v>
      </c>
      <c r="AO75" s="59">
        <f t="shared" si="90"/>
        <v>179.56041631665812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1.6258184004196421</v>
      </c>
      <c r="AV75" s="21">
        <f>EXP(-LN(2)/25)*AV74+(1-EXP(-LN(2)/25))/(LN(2)/25)*Calculateur!AQ75*Calculateur!AS75*VLOOKUP('Données projet'!$B$10,Paramètres!$A$1:$I$89,3,0)*0.475*44/12</f>
        <v>1.4673044777001021</v>
      </c>
      <c r="AW75" s="21">
        <f>EXP(-LN(2)/2)*AW74+(1-EXP(-LN(2)/2))/(LN(2)/2)*AQ75*AT75*VLOOKUP('Données projet'!$B$10,Paramètres!$A$1:$I$89,3,0)*0.475*44/12</f>
        <v>3.2612115379514514E-6</v>
      </c>
      <c r="AX75" s="21">
        <f t="shared" si="60"/>
        <v>3.0931261393312823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370.49999999999989</v>
      </c>
      <c r="BE75" s="13">
        <f>BD75*VLOOKUP('Données projet'!$B$11,Paramètres!$A$1:$I$89,3,0)*VLOOKUP('Données projet'!$B$11,Paramètres!$A$1:$I$89,5,0)</f>
        <v>173.39399999999998</v>
      </c>
      <c r="BF75" s="13">
        <f t="shared" si="91"/>
        <v>43.849289930196633</v>
      </c>
      <c r="BG75" s="20">
        <f t="shared" si="61"/>
        <v>378.36539662842574</v>
      </c>
      <c r="BH75" s="59">
        <f t="shared" si="62"/>
        <v>671.698729961759</v>
      </c>
      <c r="BI75" s="59">
        <f ca="1">AVERAGE(OFFSET($BH$3,0,0,'Données projet'!$E$11+1,1))-AVERAGE(OFFSET($H$3,0,0,'Données projet'!$E$11+1,1))</f>
        <v>226.0452828290525</v>
      </c>
      <c r="BJ75" s="59">
        <f t="shared" si="92"/>
        <v>179.89696397462069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3.9506312059713027</v>
      </c>
      <c r="BQ75" s="21">
        <f>EXP(-LN(2)/25)*BQ74+(1-EXP(-LN(2)/25))/(LN(2)/25)*Calculateur!BL75*Calculateur!BN75*VLOOKUP('Données projet'!$B$11,Paramètres!$A$1:$I$89,3,0)*0.475*44/12</f>
        <v>3.4801334217695477</v>
      </c>
      <c r="BR75" s="21">
        <f>EXP(-LN(2)/2)*BR74+(1-EXP(-LN(2)/2))/(LN(2)/2)*BL75*BO75*VLOOKUP('Données projet'!$B$11,Paramètres!$A$1:$I$89,3,0)*0.475*44/12</f>
        <v>5.265774080084985E-6</v>
      </c>
      <c r="BS75" s="22">
        <f t="shared" si="63"/>
        <v>7.4307698935149302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742.52655929381251</v>
      </c>
      <c r="CD75" s="59">
        <f ca="1">AVERAGE(OFFSET($CC$3,0,0,'Données projet'!$E$12+1,1))-AVERAGE(OFFSET($H$3,0,0,'Données projet'!$E$12+1,1))</f>
        <v>219.43439115440339</v>
      </c>
      <c r="CE75" s="59">
        <f t="shared" si="94"/>
        <v>217.8880462742099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3.6655748755638782</v>
      </c>
      <c r="CL75" s="21">
        <f>EXP(-LN(2)/25)*CL74+(1-EXP(-LN(2)/25))/(LN(2)/25)*Calculateur!CG75*Calculateur!CI75*VLOOKUP('Données projet'!$B$12,Paramètres!$A$1:$I$89,3,0)*0.475*44/12</f>
        <v>3.3744722935619698</v>
      </c>
      <c r="CM75" s="21">
        <f>EXP(-LN(2)/2)*CM74+(1-EXP(-LN(2)/2))/(LN(2)/2)*CG75*CJ75*VLOOKUP('Données projet'!$B$12,Paramètres!$A$1:$I$89,3,0)*0.475*44/12</f>
        <v>4.2784922460675456E-6</v>
      </c>
      <c r="CN75" s="22">
        <f t="shared" si="66"/>
        <v>7.0400514476180938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237.64646718446005</v>
      </c>
      <c r="T76" s="59">
        <f t="shared" si="88"/>
        <v>156.67965022779907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1.4222823293514733</v>
      </c>
      <c r="AA76" s="21">
        <f>EXP(-LN(2)/25)*AA75+(1-EXP(-LN(2)/25))/(LN(2)/25)*Calculateur!V76*Calculateur!X76*VLOOKUP('Données projet'!$B$9,Paramètres!$A$1:$I$89,3,0)*0.475*44/12</f>
        <v>1.2734845485618735</v>
      </c>
      <c r="AB76" s="21">
        <f>EXP(-LN(2)/2)*AB75+(1-EXP(-LN(2)/2))/(LN(2)/2)*V76*Y76*VLOOKUP('Données projet'!$B$9,Paramètres!$A$1:$I$89,3,0)*0.475*44/12</f>
        <v>2.0576836617756655E-6</v>
      </c>
      <c r="AC76" s="22">
        <f t="shared" si="57"/>
        <v>2.6957689355970085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272.93635583300755</v>
      </c>
      <c r="AO76" s="59">
        <f t="shared" si="90"/>
        <v>179.56041631665812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1.5939370932387198</v>
      </c>
      <c r="AV76" s="21">
        <f>EXP(-LN(2)/25)*AV75+(1-EXP(-LN(2)/25))/(LN(2)/25)*Calculateur!AQ76*Calculateur!AS76*VLOOKUP('Données projet'!$B$10,Paramètres!$A$1:$I$89,3,0)*0.475*44/12</f>
        <v>1.4271809595952039</v>
      </c>
      <c r="AW76" s="21">
        <f>EXP(-LN(2)/2)*AW75+(1-EXP(-LN(2)/2))/(LN(2)/2)*AQ76*AT76*VLOOKUP('Données projet'!$B$10,Paramètres!$A$1:$I$89,3,0)*0.475*44/12</f>
        <v>2.306024793369281E-6</v>
      </c>
      <c r="AX76" s="21">
        <f t="shared" si="60"/>
        <v>3.0211203588587168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387.49999999999989</v>
      </c>
      <c r="BE76" s="13">
        <f>BD76*VLOOKUP('Données projet'!$B$11,Paramètres!$A$1:$I$89,3,0)*VLOOKUP('Données projet'!$B$11,Paramètres!$A$1:$I$89,5,0)</f>
        <v>181.34999999999994</v>
      </c>
      <c r="BF76" s="13">
        <f t="shared" si="91"/>
        <v>45.622405555921837</v>
      </c>
      <c r="BG76" s="20">
        <f t="shared" si="61"/>
        <v>395.310273009897</v>
      </c>
      <c r="BH76" s="59">
        <f t="shared" si="62"/>
        <v>688.64360634323032</v>
      </c>
      <c r="BI76" s="59">
        <f ca="1">AVERAGE(OFFSET($BH$3,0,0,'Données projet'!$E$11+1,1))-AVERAGE(OFFSET($H$3,0,0,'Données projet'!$E$11+1,1))</f>
        <v>226.0452828290525</v>
      </c>
      <c r="BJ76" s="59">
        <f t="shared" si="92"/>
        <v>179.89696397462069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3.8731617376693084</v>
      </c>
      <c r="BQ76" s="21">
        <f>EXP(-LN(2)/25)*BQ75+(1-EXP(-LN(2)/25))/(LN(2)/25)*Calculateur!BL76*Calculateur!BN76*VLOOKUP('Données projet'!$B$11,Paramètres!$A$1:$I$89,3,0)*0.475*44/12</f>
        <v>3.3849689903389968</v>
      </c>
      <c r="BR76" s="21">
        <f>EXP(-LN(2)/2)*BR75+(1-EXP(-LN(2)/2))/(LN(2)/2)*BL76*BO76*VLOOKUP('Données projet'!$B$11,Paramètres!$A$1:$I$89,3,0)*0.475*44/12</f>
        <v>3.7234645602244474E-6</v>
      </c>
      <c r="BS76" s="22">
        <f t="shared" si="63"/>
        <v>7.2581344514728654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748.26848994397483</v>
      </c>
      <c r="CD76" s="59">
        <f ca="1">AVERAGE(OFFSET($CC$3,0,0,'Données projet'!$E$12+1,1))-AVERAGE(OFFSET($H$3,0,0,'Données projet'!$E$12+1,1))</f>
        <v>219.43439115440339</v>
      </c>
      <c r="CE76" s="59">
        <f t="shared" si="94"/>
        <v>217.8880462742099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3.5936951880339798</v>
      </c>
      <c r="CL76" s="21">
        <f>EXP(-LN(2)/25)*CL75+(1-EXP(-LN(2)/25))/(LN(2)/25)*Calculateur!CG76*Calculateur!CI76*VLOOKUP('Données projet'!$B$12,Paramètres!$A$1:$I$89,3,0)*0.475*44/12</f>
        <v>3.2821971712387321</v>
      </c>
      <c r="CM76" s="21">
        <f>EXP(-LN(2)/2)*CM75+(1-EXP(-LN(2)/2))/(LN(2)/2)*CG76*CJ76*VLOOKUP('Données projet'!$B$12,Paramètres!$A$1:$I$89,3,0)*0.475*44/12</f>
        <v>3.0253508804484243E-6</v>
      </c>
      <c r="CN76" s="22">
        <f t="shared" si="66"/>
        <v>6.8758953846235915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237.64646718446005</v>
      </c>
      <c r="T77" s="59">
        <f t="shared" si="88"/>
        <v>156.67965022779907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1.3943922403794526</v>
      </c>
      <c r="AA77" s="21">
        <f>EXP(-LN(2)/25)*AA76+(1-EXP(-LN(2)/25))/(LN(2)/25)*Calculateur!V77*Calculateur!X77*VLOOKUP('Données projet'!$B$9,Paramètres!$A$1:$I$89,3,0)*0.475*44/12</f>
        <v>1.2386610466118073</v>
      </c>
      <c r="AB77" s="21">
        <f>EXP(-LN(2)/2)*AB76+(1-EXP(-LN(2)/2))/(LN(2)/2)*V77*Y77*VLOOKUP('Données projet'!$B$9,Paramètres!$A$1:$I$89,3,0)*0.475*44/12</f>
        <v>1.4550020707783394E-6</v>
      </c>
      <c r="AC77" s="22">
        <f t="shared" si="57"/>
        <v>2.6330547419933308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272.93635583300755</v>
      </c>
      <c r="AO77" s="59">
        <f t="shared" si="90"/>
        <v>179.56041631665812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1.5626809590459381</v>
      </c>
      <c r="AV77" s="21">
        <f>EXP(-LN(2)/25)*AV76+(1-EXP(-LN(2)/25))/(LN(2)/25)*Calculateur!AQ77*Calculateur!AS77*VLOOKUP('Données projet'!$B$10,Paramètres!$A$1:$I$89,3,0)*0.475*44/12</f>
        <v>1.3881546212028881</v>
      </c>
      <c r="AW77" s="21">
        <f>EXP(-LN(2)/2)*AW76+(1-EXP(-LN(2)/2))/(LN(2)/2)*AQ77*AT77*VLOOKUP('Données projet'!$B$10,Paramètres!$A$1:$I$89,3,0)*0.475*44/12</f>
        <v>1.6306057689757257E-6</v>
      </c>
      <c r="AX77" s="21">
        <f t="shared" si="60"/>
        <v>2.9508372108545955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404.49999999999989</v>
      </c>
      <c r="BE77" s="13">
        <f>BD77*VLOOKUP('Données projet'!$B$11,Paramètres!$A$1:$I$89,3,0)*VLOOKUP('Données projet'!$B$11,Paramètres!$A$1:$I$89,5,0)</f>
        <v>189.30599999999993</v>
      </c>
      <c r="BF77" s="13">
        <f t="shared" si="91"/>
        <v>47.386486642979079</v>
      </c>
      <c r="BG77" s="20">
        <f t="shared" si="61"/>
        <v>412.23941423652178</v>
      </c>
      <c r="BH77" s="59">
        <f t="shared" si="62"/>
        <v>705.5727475698551</v>
      </c>
      <c r="BI77" s="59">
        <f ca="1">AVERAGE(OFFSET($BH$3,0,0,'Données projet'!$E$11+1,1))-AVERAGE(OFFSET($H$3,0,0,'Données projet'!$E$11+1,1))</f>
        <v>226.0452828290525</v>
      </c>
      <c r="BJ77" s="59">
        <f t="shared" si="92"/>
        <v>179.89696397462069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3.7972113983890061</v>
      </c>
      <c r="BQ77" s="21">
        <f>EXP(-LN(2)/25)*BQ76+(1-EXP(-LN(2)/25))/(LN(2)/25)*Calculateur!BL77*Calculateur!BN77*VLOOKUP('Données projet'!$B$11,Paramètres!$A$1:$I$89,3,0)*0.475*44/12</f>
        <v>3.2924068352903944</v>
      </c>
      <c r="BR77" s="21">
        <f>EXP(-LN(2)/2)*BR76+(1-EXP(-LN(2)/2))/(LN(2)/2)*BL77*BO77*VLOOKUP('Données projet'!$B$11,Paramètres!$A$1:$I$89,3,0)*0.475*44/12</f>
        <v>2.6328870400424929E-6</v>
      </c>
      <c r="BS77" s="22">
        <f t="shared" si="63"/>
        <v>7.0896208665664409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754.00887197494399</v>
      </c>
      <c r="CD77" s="59">
        <f ca="1">AVERAGE(OFFSET($CC$3,0,0,'Données projet'!$E$12+1,1))-AVERAGE(OFFSET($H$3,0,0,'Données projet'!$E$12+1,1))</f>
        <v>219.43439115440339</v>
      </c>
      <c r="CE77" s="59">
        <f t="shared" si="94"/>
        <v>217.8880462742099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3.5232250173342621</v>
      </c>
      <c r="CL77" s="21">
        <f>EXP(-LN(2)/25)*CL76+(1-EXP(-LN(2)/25))/(LN(2)/25)*Calculateur!CG77*Calculateur!CI77*VLOOKUP('Données projet'!$B$12,Paramètres!$A$1:$I$89,3,0)*0.475*44/12</f>
        <v>3.1924453169879614</v>
      </c>
      <c r="CM77" s="21">
        <f>EXP(-LN(2)/2)*CM76+(1-EXP(-LN(2)/2))/(LN(2)/2)*CG77*CJ77*VLOOKUP('Données projet'!$B$12,Paramètres!$A$1:$I$89,3,0)*0.475*44/12</f>
        <v>2.1392461230337728E-6</v>
      </c>
      <c r="CN77" s="22">
        <f t="shared" si="66"/>
        <v>6.7156724735683468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237.64646718446005</v>
      </c>
      <c r="T78" s="59">
        <f t="shared" si="88"/>
        <v>156.67965022779907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1.3670490590408988</v>
      </c>
      <c r="AA78" s="21">
        <f>EXP(-LN(2)/25)*AA77+(1-EXP(-LN(2)/25))/(LN(2)/25)*Calculateur!V78*Calculateur!X78*VLOOKUP('Données projet'!$B$9,Paramètres!$A$1:$I$89,3,0)*0.475*44/12</f>
        <v>1.204789795153854</v>
      </c>
      <c r="AB78" s="21">
        <f>EXP(-LN(2)/2)*AB77+(1-EXP(-LN(2)/2))/(LN(2)/2)*V78*Y78*VLOOKUP('Données projet'!$B$9,Paramètres!$A$1:$I$89,3,0)*0.475*44/12</f>
        <v>1.0288418308878327E-6</v>
      </c>
      <c r="AC78" s="22">
        <f t="shared" si="57"/>
        <v>2.5718398830365836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272.93635583300755</v>
      </c>
      <c r="AO78" s="59">
        <f t="shared" si="90"/>
        <v>179.56041631665812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1.5320377385803174</v>
      </c>
      <c r="AV78" s="21">
        <f>EXP(-LN(2)/25)*AV77+(1-EXP(-LN(2)/25))/(LN(2)/25)*Calculateur!AQ78*Calculateur!AS78*VLOOKUP('Données projet'!$B$10,Paramètres!$A$1:$I$89,3,0)*0.475*44/12</f>
        <v>1.3501954600862163</v>
      </c>
      <c r="AW78" s="21">
        <f>EXP(-LN(2)/2)*AW77+(1-EXP(-LN(2)/2))/(LN(2)/2)*AQ78*AT78*VLOOKUP('Données projet'!$B$10,Paramètres!$A$1:$I$89,3,0)*0.475*44/12</f>
        <v>1.1530123966846405E-6</v>
      </c>
      <c r="AX78" s="21">
        <f t="shared" si="60"/>
        <v>2.8822343516789304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421.49999999999989</v>
      </c>
      <c r="BE78" s="13">
        <f>BD78*VLOOKUP('Données projet'!$B$11,Paramètres!$A$1:$I$89,3,0)*VLOOKUP('Données projet'!$B$11,Paramètres!$A$1:$I$89,5,0)</f>
        <v>197.26199999999994</v>
      </c>
      <c r="BF78" s="13">
        <f t="shared" si="91"/>
        <v>49.141956303266518</v>
      </c>
      <c r="BG78" s="20">
        <f t="shared" si="61"/>
        <v>429.15355722818907</v>
      </c>
      <c r="BH78" s="59">
        <f t="shared" si="62"/>
        <v>722.48689056152239</v>
      </c>
      <c r="BI78" s="59">
        <f ca="1">AVERAGE(OFFSET($BH$3,0,0,'Données projet'!$E$11+1,1))-AVERAGE(OFFSET($H$3,0,0,'Données projet'!$E$11+1,1))</f>
        <v>226.0452828290525</v>
      </c>
      <c r="BJ78" s="59">
        <f t="shared" si="92"/>
        <v>179.89696397462069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3.7227503989368578</v>
      </c>
      <c r="BQ78" s="21">
        <f>EXP(-LN(2)/25)*BQ77+(1-EXP(-LN(2)/25))/(LN(2)/25)*Calculateur!BL78*Calculateur!BN78*VLOOKUP('Données projet'!$B$11,Paramètres!$A$1:$I$89,3,0)*0.475*44/12</f>
        <v>3.2023757972392279</v>
      </c>
      <c r="BR78" s="21">
        <f>EXP(-LN(2)/2)*BR77+(1-EXP(-LN(2)/2))/(LN(2)/2)*BL78*BO78*VLOOKUP('Données projet'!$B$11,Paramètres!$A$1:$I$89,3,0)*0.475*44/12</f>
        <v>1.8617322801122239E-6</v>
      </c>
      <c r="BS78" s="22">
        <f t="shared" si="63"/>
        <v>6.9251280579083661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759.74772742027665</v>
      </c>
      <c r="CD78" s="59">
        <f ca="1">AVERAGE(OFFSET($CC$3,0,0,'Données projet'!$E$12+1,1))-AVERAGE(OFFSET($H$3,0,0,'Données projet'!$E$12+1,1))</f>
        <v>219.43439115440339</v>
      </c>
      <c r="CE78" s="59">
        <f t="shared" si="94"/>
        <v>217.8880462742099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3.4541367236994063</v>
      </c>
      <c r="CL78" s="21">
        <f>EXP(-LN(2)/25)*CL77+(1-EXP(-LN(2)/25))/(LN(2)/25)*Calculateur!CG78*Calculateur!CI78*VLOOKUP('Données projet'!$B$12,Paramètres!$A$1:$I$89,3,0)*0.475*44/12</f>
        <v>3.1051477319115226</v>
      </c>
      <c r="CM78" s="21">
        <f>EXP(-LN(2)/2)*CM77+(1-EXP(-LN(2)/2))/(LN(2)/2)*CG78*CJ78*VLOOKUP('Données projet'!$B$12,Paramètres!$A$1:$I$89,3,0)*0.475*44/12</f>
        <v>1.5126754402242122E-6</v>
      </c>
      <c r="CN78" s="22">
        <f t="shared" si="66"/>
        <v>6.5592859682863685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237.64646718446005</v>
      </c>
      <c r="T79" s="59">
        <f t="shared" si="88"/>
        <v>156.67965022779907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1.3402420608107002</v>
      </c>
      <c r="AA79" s="21">
        <f>EXP(-LN(2)/25)*AA78+(1-EXP(-LN(2)/25))/(LN(2)/25)*Calculateur!V79*Calculateur!X79*VLOOKUP('Données projet'!$B$9,Paramètres!$A$1:$I$89,3,0)*0.475*44/12</f>
        <v>1.17184475484823</v>
      </c>
      <c r="AB79" s="21">
        <f>EXP(-LN(2)/2)*AB78+(1-EXP(-LN(2)/2))/(LN(2)/2)*V79*Y79*VLOOKUP('Données projet'!$B$9,Paramètres!$A$1:$I$89,3,0)*0.475*44/12</f>
        <v>7.2750103538916968E-7</v>
      </c>
      <c r="AC79" s="22">
        <f t="shared" si="57"/>
        <v>2.5120875431599656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272.93635583300755</v>
      </c>
      <c r="AO79" s="59">
        <f t="shared" si="90"/>
        <v>179.56041631665812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1.5019954129775086</v>
      </c>
      <c r="AV79" s="21">
        <f>EXP(-LN(2)/25)*AV78+(1-EXP(-LN(2)/25))/(LN(2)/25)*Calculateur!AQ79*Calculateur!AS79*VLOOKUP('Données projet'!$B$10,Paramètres!$A$1:$I$89,3,0)*0.475*44/12</f>
        <v>1.3132742942264652</v>
      </c>
      <c r="AW79" s="21">
        <f>EXP(-LN(2)/2)*AW78+(1-EXP(-LN(2)/2))/(LN(2)/2)*AQ79*AT79*VLOOKUP('Données projet'!$B$10,Paramètres!$A$1:$I$89,3,0)*0.475*44/12</f>
        <v>8.1530288448786285E-7</v>
      </c>
      <c r="AX79" s="21">
        <f t="shared" si="60"/>
        <v>2.8152705225068582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438.49999999999989</v>
      </c>
      <c r="BE79" s="13">
        <f>BD79*VLOOKUP('Données projet'!$B$11,Paramètres!$A$1:$I$89,3,0)*VLOOKUP('Données projet'!$B$11,Paramètres!$A$1:$I$89,5,0)</f>
        <v>205.21799999999996</v>
      </c>
      <c r="BF79" s="13">
        <f t="shared" si="91"/>
        <v>50.889201586985514</v>
      </c>
      <c r="BG79" s="20">
        <f t="shared" si="61"/>
        <v>446.05337609733306</v>
      </c>
      <c r="BH79" s="59">
        <f t="shared" si="62"/>
        <v>739.38670943066631</v>
      </c>
      <c r="BI79" s="59">
        <f ca="1">AVERAGE(OFFSET($BH$3,0,0,'Données projet'!$E$11+1,1))-AVERAGE(OFFSET($H$3,0,0,'Données projet'!$E$11+1,1))</f>
        <v>226.0452828290525</v>
      </c>
      <c r="BJ79" s="59">
        <f t="shared" si="92"/>
        <v>179.89696397462069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3.649749534267241</v>
      </c>
      <c r="BQ79" s="21">
        <f>EXP(-LN(2)/25)*BQ78+(1-EXP(-LN(2)/25))/(LN(2)/25)*Calculateur!BL79*Calculateur!BN79*VLOOKUP('Données projet'!$B$11,Paramètres!$A$1:$I$89,3,0)*0.475*44/12</f>
        <v>3.114806662658097</v>
      </c>
      <c r="BR79" s="21">
        <f>EXP(-LN(2)/2)*BR78+(1-EXP(-LN(2)/2))/(LN(2)/2)*BL79*BO79*VLOOKUP('Données projet'!$B$11,Paramètres!$A$1:$I$89,3,0)*0.475*44/12</f>
        <v>1.3164435200212467E-6</v>
      </c>
      <c r="BS79" s="22">
        <f t="shared" si="63"/>
        <v>6.7645575133688585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749.28161043143746</v>
      </c>
      <c r="CD79" s="59">
        <f ca="1">AVERAGE(OFFSET($CC$3,0,0,'Données projet'!$E$12+1,1))-AVERAGE(OFFSET($H$3,0,0,'Données projet'!$E$12+1,1))</f>
        <v>219.43439115440339</v>
      </c>
      <c r="CE79" s="59">
        <f t="shared" si="94"/>
        <v>217.8880462742099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3.3864032093630319</v>
      </c>
      <c r="CL79" s="21">
        <f>EXP(-LN(2)/25)*CL78+(1-EXP(-LN(2)/25))/(LN(2)/25)*Calculateur!CG79*Calculateur!CI79*VLOOKUP('Données projet'!$B$12,Paramètres!$A$1:$I$89,3,0)*0.475*44/12</f>
        <v>3.0202373038897798</v>
      </c>
      <c r="CM79" s="21">
        <f>EXP(-LN(2)/2)*CM78+(1-EXP(-LN(2)/2))/(LN(2)/2)*CG79*CJ79*VLOOKUP('Données projet'!$B$12,Paramètres!$A$1:$I$89,3,0)*0.475*44/12</f>
        <v>1.0696230615168864E-6</v>
      </c>
      <c r="CN79" s="22">
        <f t="shared" si="66"/>
        <v>6.4066415828758734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237.64646718446005</v>
      </c>
      <c r="T80" s="59">
        <f t="shared" si="88"/>
        <v>156.67965022779907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1.3139607314651414</v>
      </c>
      <c r="AA80" s="21">
        <f>EXP(-LN(2)/25)*AA79+(1-EXP(-LN(2)/25))/(LN(2)/25)*Calculateur!V80*Calculateur!X80*VLOOKUP('Données projet'!$B$9,Paramètres!$A$1:$I$89,3,0)*0.475*44/12</f>
        <v>1.1398005984022679</v>
      </c>
      <c r="AB80" s="21">
        <f>EXP(-LN(2)/2)*AB79+(1-EXP(-LN(2)/2))/(LN(2)/2)*V80*Y80*VLOOKUP('Données projet'!$B$9,Paramètres!$A$1:$I$89,3,0)*0.475*44/12</f>
        <v>5.1442091544391637E-7</v>
      </c>
      <c r="AC80" s="22">
        <f t="shared" si="57"/>
        <v>2.4537618442883247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272.93635583300755</v>
      </c>
      <c r="AO80" s="59">
        <f t="shared" si="90"/>
        <v>179.56041631665812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1.4725421990557617</v>
      </c>
      <c r="AV80" s="21">
        <f>EXP(-LN(2)/25)*AV79+(1-EXP(-LN(2)/25))/(LN(2)/25)*Calculateur!AQ80*Calculateur!AS80*VLOOKUP('Données projet'!$B$10,Paramètres!$A$1:$I$89,3,0)*0.475*44/12</f>
        <v>1.277362739588749</v>
      </c>
      <c r="AW80" s="21">
        <f>EXP(-LN(2)/2)*AW79+(1-EXP(-LN(2)/2))/(LN(2)/2)*AQ80*AT80*VLOOKUP('Données projet'!$B$10,Paramètres!$A$1:$I$89,3,0)*0.475*44/12</f>
        <v>5.7650619834232026E-7</v>
      </c>
      <c r="AX80" s="21">
        <f t="shared" si="60"/>
        <v>2.7499055151507088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455.49999999999989</v>
      </c>
      <c r="BE80" s="13">
        <f>BD80*VLOOKUP('Données projet'!$B$11,Paramètres!$A$1:$I$89,3,0)*VLOOKUP('Données projet'!$B$11,Paramètres!$A$1:$I$89,5,0)</f>
        <v>213.17399999999995</v>
      </c>
      <c r="BF80" s="13">
        <f t="shared" si="91"/>
        <v>52.628577834232573</v>
      </c>
      <c r="BG80" s="20">
        <f t="shared" si="61"/>
        <v>462.93948972795494</v>
      </c>
      <c r="BH80" s="59">
        <f t="shared" si="62"/>
        <v>756.27282306128825</v>
      </c>
      <c r="BI80" s="59">
        <f ca="1">AVERAGE(OFFSET($BH$3,0,0,'Données projet'!$E$11+1,1))-AVERAGE(OFFSET($H$3,0,0,'Données projet'!$E$11+1,1))</f>
        <v>226.0452828290525</v>
      </c>
      <c r="BJ80" s="59">
        <f t="shared" si="92"/>
        <v>179.89696397462069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3.5781801720276647</v>
      </c>
      <c r="BQ80" s="21">
        <f>EXP(-LN(2)/25)*BQ79+(1-EXP(-LN(2)/25))/(LN(2)/25)*Calculateur!BL80*Calculateur!BN80*VLOOKUP('Données projet'!$B$11,Paramètres!$A$1:$I$89,3,0)*0.475*44/12</f>
        <v>3.0296321106671478</v>
      </c>
      <c r="BR80" s="21">
        <f>EXP(-LN(2)/2)*BR79+(1-EXP(-LN(2)/2))/(LN(2)/2)*BL80*BO80*VLOOKUP('Données projet'!$B$11,Paramètres!$A$1:$I$89,3,0)*0.475*44/12</f>
        <v>9.3086614005611217E-7</v>
      </c>
      <c r="BS80" s="22">
        <f t="shared" si="63"/>
        <v>6.6078132135609522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754.00887197494399</v>
      </c>
      <c r="CD80" s="59">
        <f ca="1">AVERAGE(OFFSET($CC$3,0,0,'Données projet'!$E$12+1,1))-AVERAGE(OFFSET($H$3,0,0,'Données projet'!$E$12+1,1))</f>
        <v>219.43439115440339</v>
      </c>
      <c r="CE80" s="59">
        <f t="shared" si="94"/>
        <v>217.8880462742099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3.3199979079294293</v>
      </c>
      <c r="CL80" s="21">
        <f>EXP(-LN(2)/25)*CL79+(1-EXP(-LN(2)/25))/(LN(2)/25)*Calculateur!CG80*Calculateur!CI80*VLOOKUP('Données projet'!$B$12,Paramètres!$A$1:$I$89,3,0)*0.475*44/12</f>
        <v>2.9376487559875368</v>
      </c>
      <c r="CM80" s="21">
        <f>EXP(-LN(2)/2)*CM79+(1-EXP(-LN(2)/2))/(LN(2)/2)*CG80*CJ80*VLOOKUP('Données projet'!$B$12,Paramètres!$A$1:$I$89,3,0)*0.475*44/12</f>
        <v>7.5633772011210608E-7</v>
      </c>
      <c r="CN80" s="22">
        <f t="shared" si="66"/>
        <v>6.2576474202546866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237.64646718446005</v>
      </c>
      <c r="T81" s="59">
        <f t="shared" si="88"/>
        <v>156.67965022779907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1.2881947629580208</v>
      </c>
      <c r="AA81" s="21">
        <f>EXP(-LN(2)/25)*AA80+(1-EXP(-LN(2)/25))/(LN(2)/25)*Calculateur!V81*Calculateur!X81*VLOOKUP('Données projet'!$B$9,Paramètres!$A$1:$I$89,3,0)*0.475*44/12</f>
        <v>1.1086326910994495</v>
      </c>
      <c r="AB81" s="21">
        <f>EXP(-LN(2)/2)*AB80+(1-EXP(-LN(2)/2))/(LN(2)/2)*V81*Y81*VLOOKUP('Données projet'!$B$9,Paramètres!$A$1:$I$89,3,0)*0.475*44/12</f>
        <v>3.6375051769458484E-7</v>
      </c>
      <c r="AC81" s="22">
        <f t="shared" si="57"/>
        <v>2.396827817807988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272.93635583300755</v>
      </c>
      <c r="AO81" s="59">
        <f t="shared" si="90"/>
        <v>179.56041631665812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1.4436665446943335</v>
      </c>
      <c r="AV81" s="21">
        <f>EXP(-LN(2)/25)*AV80+(1-EXP(-LN(2)/25))/(LN(2)/25)*Calculateur!AQ81*Calculateur!AS81*VLOOKUP('Données projet'!$B$10,Paramètres!$A$1:$I$89,3,0)*0.475*44/12</f>
        <v>1.2424331883011077</v>
      </c>
      <c r="AW81" s="21">
        <f>EXP(-LN(2)/2)*AW80+(1-EXP(-LN(2)/2))/(LN(2)/2)*AQ81*AT81*VLOOKUP('Données projet'!$B$10,Paramètres!$A$1:$I$89,3,0)*0.475*44/12</f>
        <v>4.0765144224393142E-7</v>
      </c>
      <c r="AX81" s="21">
        <f t="shared" si="60"/>
        <v>2.6861001406468836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472.49999999999989</v>
      </c>
      <c r="BE81" s="13">
        <f>BD81*VLOOKUP('Données projet'!$B$11,Paramètres!$A$1:$I$89,3,0)*VLOOKUP('Données projet'!$B$11,Paramètres!$A$1:$I$89,5,0)</f>
        <v>221.12999999999997</v>
      </c>
      <c r="BF81" s="13">
        <f t="shared" si="91"/>
        <v>54.360412358692685</v>
      </c>
      <c r="BG81" s="20">
        <f t="shared" si="61"/>
        <v>479.81246819138977</v>
      </c>
      <c r="BH81" s="59">
        <f t="shared" si="62"/>
        <v>773.14580152472308</v>
      </c>
      <c r="BI81" s="59">
        <f ca="1">AVERAGE(OFFSET($BH$3,0,0,'Données projet'!$E$11+1,1))-AVERAGE(OFFSET($H$3,0,0,'Données projet'!$E$11+1,1))</f>
        <v>226.0452828290525</v>
      </c>
      <c r="BJ81" s="59">
        <f t="shared" si="92"/>
        <v>179.89696397462069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3.5080142413286057</v>
      </c>
      <c r="BQ81" s="21">
        <f>EXP(-LN(2)/25)*BQ80+(1-EXP(-LN(2)/25))/(LN(2)/25)*Calculateur!BL81*Calculateur!BN81*VLOOKUP('Données projet'!$B$11,Paramètres!$A$1:$I$89,3,0)*0.475*44/12</f>
        <v>2.9467866612795262</v>
      </c>
      <c r="BR81" s="21">
        <f>EXP(-LN(2)/2)*BR80+(1-EXP(-LN(2)/2))/(LN(2)/2)*BL81*BO81*VLOOKUP('Données projet'!$B$11,Paramètres!$A$1:$I$89,3,0)*0.475*44/12</f>
        <v>6.5822176001062344E-7</v>
      </c>
      <c r="BS81" s="22">
        <f t="shared" si="63"/>
        <v>6.4548015608298916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758.7350981976856</v>
      </c>
      <c r="CD81" s="59">
        <f ca="1">AVERAGE(OFFSET($CC$3,0,0,'Données projet'!$E$12+1,1))-AVERAGE(OFFSET($H$3,0,0,'Données projet'!$E$12+1,1))</f>
        <v>219.43439115440339</v>
      </c>
      <c r="CE81" s="59">
        <f t="shared" si="94"/>
        <v>217.8880462742099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3.2548947739537049</v>
      </c>
      <c r="CL81" s="21">
        <f>EXP(-LN(2)/25)*CL80+(1-EXP(-LN(2)/25))/(LN(2)/25)*Calculateur!CG81*Calculateur!CI81*VLOOKUP('Données projet'!$B$12,Paramètres!$A$1:$I$89,3,0)*0.475*44/12</f>
        <v>2.8573185962708236</v>
      </c>
      <c r="CM81" s="21">
        <f>EXP(-LN(2)/2)*CM80+(1-EXP(-LN(2)/2))/(LN(2)/2)*CG81*CJ81*VLOOKUP('Données projet'!$B$12,Paramètres!$A$1:$I$89,3,0)*0.475*44/12</f>
        <v>5.348115307584432E-7</v>
      </c>
      <c r="CN81" s="22">
        <f t="shared" si="66"/>
        <v>6.11221390503606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237.64646718446005</v>
      </c>
      <c r="T82" s="59">
        <f t="shared" si="88"/>
        <v>156.67965022779907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1.262934049377636</v>
      </c>
      <c r="AA82" s="21">
        <f>EXP(-LN(2)/25)*AA81+(1-EXP(-LN(2)/25))/(LN(2)/25)*Calculateur!V82*Calculateur!X82*VLOOKUP('Données projet'!$B$9,Paramètres!$A$1:$I$89,3,0)*0.475*44/12</f>
        <v>1.0783170718608757</v>
      </c>
      <c r="AB82" s="21">
        <f>EXP(-LN(2)/2)*AB81+(1-EXP(-LN(2)/2))/(LN(2)/2)*V82*Y82*VLOOKUP('Données projet'!$B$9,Paramètres!$A$1:$I$89,3,0)*0.475*44/12</f>
        <v>2.5721045772195818E-7</v>
      </c>
      <c r="AC82" s="22">
        <f t="shared" si="57"/>
        <v>2.3412513784489692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272.93635583300755</v>
      </c>
      <c r="AO82" s="59">
        <f t="shared" si="90"/>
        <v>179.56041631665812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1.4153571243025229</v>
      </c>
      <c r="AV82" s="21">
        <f>EXP(-LN(2)/25)*AV81+(1-EXP(-LN(2)/25))/(LN(2)/25)*Calculateur!AQ82*Calculateur!AS82*VLOOKUP('Données projet'!$B$10,Paramètres!$A$1:$I$89,3,0)*0.475*44/12</f>
        <v>1.2084587874302921</v>
      </c>
      <c r="AW82" s="21">
        <f>EXP(-LN(2)/2)*AW81+(1-EXP(-LN(2)/2))/(LN(2)/2)*AQ82*AT82*VLOOKUP('Données projet'!$B$10,Paramètres!$A$1:$I$89,3,0)*0.475*44/12</f>
        <v>2.8825309917116013E-7</v>
      </c>
      <c r="AX82" s="21">
        <f t="shared" si="60"/>
        <v>2.6238161999859142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489.49999999999989</v>
      </c>
      <c r="BE82" s="13">
        <f>BD82*VLOOKUP('Données projet'!$B$11,Paramètres!$A$1:$I$89,3,0)*VLOOKUP('Données projet'!$B$11,Paramètres!$A$1:$I$89,5,0)</f>
        <v>229.08599999999993</v>
      </c>
      <c r="BF82" s="13">
        <f t="shared" si="91"/>
        <v>56.085007586294346</v>
      </c>
      <c r="BG82" s="20">
        <f t="shared" si="61"/>
        <v>496.6728382127958</v>
      </c>
      <c r="BH82" s="59">
        <f t="shared" si="62"/>
        <v>790.00617154612905</v>
      </c>
      <c r="BI82" s="59">
        <f ca="1">AVERAGE(OFFSET($BH$3,0,0,'Données projet'!$E$11+1,1))-AVERAGE(OFFSET($H$3,0,0,'Données projet'!$E$11+1,1))</f>
        <v>226.0452828290525</v>
      </c>
      <c r="BJ82" s="59">
        <f t="shared" si="92"/>
        <v>179.89696397462069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3.4392242217335633</v>
      </c>
      <c r="BQ82" s="21">
        <f>EXP(-LN(2)/25)*BQ81+(1-EXP(-LN(2)/25))/(LN(2)/25)*Calculateur!BL82*Calculateur!BN82*VLOOKUP('Données projet'!$B$11,Paramètres!$A$1:$I$89,3,0)*0.475*44/12</f>
        <v>2.8662066250620621</v>
      </c>
      <c r="BR82" s="21">
        <f>EXP(-LN(2)/2)*BR81+(1-EXP(-LN(2)/2))/(LN(2)/2)*BL82*BO82*VLOOKUP('Données projet'!$B$11,Paramètres!$A$1:$I$89,3,0)*0.475*44/12</f>
        <v>4.6543307002805614E-7</v>
      </c>
      <c r="BS82" s="22">
        <f t="shared" si="63"/>
        <v>6.3054313122286949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763.46030110593597</v>
      </c>
      <c r="CD82" s="59">
        <f ca="1">AVERAGE(OFFSET($CC$3,0,0,'Données projet'!$E$12+1,1))-AVERAGE(OFFSET($H$3,0,0,'Données projet'!$E$12+1,1))</f>
        <v>219.43439115440339</v>
      </c>
      <c r="CE82" s="59">
        <f t="shared" si="94"/>
        <v>217.8880462742099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3.1910682727262536</v>
      </c>
      <c r="CL82" s="21">
        <f>EXP(-LN(2)/25)*CL81+(1-EXP(-LN(2)/25))/(LN(2)/25)*Calculateur!CG82*Calculateur!CI82*VLOOKUP('Données projet'!$B$12,Paramètres!$A$1:$I$89,3,0)*0.475*44/12</f>
        <v>2.7791850689959436</v>
      </c>
      <c r="CM82" s="21">
        <f>EXP(-LN(2)/2)*CM81+(1-EXP(-LN(2)/2))/(LN(2)/2)*CG82*CJ82*VLOOKUP('Données projet'!$B$12,Paramètres!$A$1:$I$89,3,0)*0.475*44/12</f>
        <v>3.7816886005605304E-7</v>
      </c>
      <c r="CN82" s="22">
        <f t="shared" si="66"/>
        <v>5.9702537198910566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237.64646718446005</v>
      </c>
      <c r="T83" s="59">
        <f t="shared" si="88"/>
        <v>156.67965022779907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1.2381686829830485</v>
      </c>
      <c r="AA83" s="21">
        <f>EXP(-LN(2)/25)*AA82+(1-EXP(-LN(2)/25))/(LN(2)/25)*Calculateur!V83*Calculateur!X83*VLOOKUP('Données projet'!$B$9,Paramètres!$A$1:$I$89,3,0)*0.475*44/12</f>
        <v>1.0488304348246098</v>
      </c>
      <c r="AB83" s="21">
        <f>EXP(-LN(2)/2)*AB82+(1-EXP(-LN(2)/2))/(LN(2)/2)*V83*Y83*VLOOKUP('Données projet'!$B$9,Paramètres!$A$1:$I$89,3,0)*0.475*44/12</f>
        <v>1.8187525884729242E-7</v>
      </c>
      <c r="AC83" s="22">
        <f t="shared" si="57"/>
        <v>2.2869992996829174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272.93635583300755</v>
      </c>
      <c r="AO83" s="59">
        <f t="shared" si="90"/>
        <v>179.56041631665812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1.3876028343775542</v>
      </c>
      <c r="AV83" s="21">
        <f>EXP(-LN(2)/25)*AV82+(1-EXP(-LN(2)/25))/(LN(2)/25)*Calculateur!AQ83*Calculateur!AS83*VLOOKUP('Données projet'!$B$10,Paramètres!$A$1:$I$89,3,0)*0.475*44/12</f>
        <v>1.175413418337925</v>
      </c>
      <c r="AW83" s="21">
        <f>EXP(-LN(2)/2)*AW82+(1-EXP(-LN(2)/2))/(LN(2)/2)*AQ83*AT83*VLOOKUP('Données projet'!$B$10,Paramètres!$A$1:$I$89,3,0)*0.475*44/12</f>
        <v>2.0382572112196571E-7</v>
      </c>
      <c r="AX83" s="21">
        <f t="shared" si="60"/>
        <v>2.5630164565412001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506.5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506.49999999999989</v>
      </c>
      <c r="BE83" s="13">
        <f>BD83*VLOOKUP('Données projet'!$B$11,Paramètres!$A$1:$I$89,3,0)*VLOOKUP('Données projet'!$B$11,Paramètres!$A$1:$I$89,5,0)</f>
        <v>237.04199999999994</v>
      </c>
      <c r="BF83" s="13">
        <f t="shared" si="91"/>
        <v>57.802643745601223</v>
      </c>
      <c r="BG83" s="20">
        <f t="shared" si="61"/>
        <v>513.52108785692201</v>
      </c>
      <c r="BH83" s="59">
        <f t="shared" si="62"/>
        <v>806.85442119025538</v>
      </c>
      <c r="BI83" s="59">
        <f ca="1">AVERAGE(OFFSET($BH$3,0,0,'Données projet'!$E$11+1,1))-AVERAGE(OFFSET($H$3,0,0,'Données projet'!$E$11+1,1))</f>
        <v>226.0452828290525</v>
      </c>
      <c r="BJ83" s="59">
        <f t="shared" si="92"/>
        <v>179.89696397462069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3.3717831324650107</v>
      </c>
      <c r="BQ83" s="21">
        <f>EXP(-LN(2)/25)*BQ82+(1-EXP(-LN(2)/25))/(LN(2)/25)*Calculateur!BL83*Calculateur!BN83*VLOOKUP('Données projet'!$B$11,Paramètres!$A$1:$I$89,3,0)*0.475*44/12</f>
        <v>2.7878300541724843</v>
      </c>
      <c r="BR83" s="21">
        <f>EXP(-LN(2)/2)*BR82+(1-EXP(-LN(2)/2))/(LN(2)/2)*BL83*BO83*VLOOKUP('Données projet'!$B$11,Paramètres!$A$1:$I$89,3,0)*0.475*44/12</f>
        <v>3.2911088000531177E-7</v>
      </c>
      <c r="BS83" s="22">
        <f t="shared" si="63"/>
        <v>6.1596135157483749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768.18449244472868</v>
      </c>
      <c r="CD83" s="59">
        <f ca="1">AVERAGE(OFFSET($CC$3,0,0,'Données projet'!$E$12+1,1))-AVERAGE(OFFSET($H$3,0,0,'Données projet'!$E$12+1,1))</f>
        <v>219.43439115440339</v>
      </c>
      <c r="CE83" s="59">
        <f t="shared" si="94"/>
        <v>217.8880462742099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275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3.128493370257551</v>
      </c>
      <c r="CL83" s="21">
        <f>EXP(-LN(2)/25)*CL82+(1-EXP(-LN(2)/25))/(LN(2)/25)*Calculateur!CG83*Calculateur!CI83*VLOOKUP('Données projet'!$B$12,Paramètres!$A$1:$I$89,3,0)*0.475*44/12</f>
        <v>2.7031881071332586</v>
      </c>
      <c r="CM83" s="21">
        <f>EXP(-LN(2)/2)*CM82+(1-EXP(-LN(2)/2))/(LN(2)/2)*CG83*CJ83*VLOOKUP('Données projet'!$B$12,Paramètres!$A$1:$I$89,3,0)*0.475*44/12</f>
        <v>2.674057653792216E-7</v>
      </c>
      <c r="CN83" s="22">
        <f t="shared" si="66"/>
        <v>5.8316817447965743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237.64646718446005</v>
      </c>
      <c r="T84" s="59">
        <f t="shared" si="88"/>
        <v>156.67965022779907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1.213888950318077</v>
      </c>
      <c r="AA84" s="21">
        <f>EXP(-LN(2)/25)*AA83+(1-EXP(-LN(2)/25))/(LN(2)/25)*Calculateur!V84*Calculateur!X84*VLOOKUP('Données projet'!$B$9,Paramètres!$A$1:$I$89,3,0)*0.475*44/12</f>
        <v>1.0201501114287355</v>
      </c>
      <c r="AB84" s="21">
        <f>EXP(-LN(2)/2)*AB83+(1-EXP(-LN(2)/2))/(LN(2)/2)*V84*Y84*VLOOKUP('Données projet'!$B$9,Paramètres!$A$1:$I$89,3,0)*0.475*44/12</f>
        <v>1.2860522886097909E-7</v>
      </c>
      <c r="AC84" s="22">
        <f t="shared" si="57"/>
        <v>2.2340391903520409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272.93635583300755</v>
      </c>
      <c r="AO84" s="59">
        <f t="shared" si="90"/>
        <v>179.56041631665812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1.3603927891495688</v>
      </c>
      <c r="AV84" s="21">
        <f>EXP(-LN(2)/25)*AV83+(1-EXP(-LN(2)/25))/(LN(2)/25)*Calculateur!AQ84*Calculateur!AS84*VLOOKUP('Données projet'!$B$10,Paramètres!$A$1:$I$89,3,0)*0.475*44/12</f>
        <v>1.1432716766011692</v>
      </c>
      <c r="AW84" s="21">
        <f>EXP(-LN(2)/2)*AW83+(1-EXP(-LN(2)/2))/(LN(2)/2)*AQ84*AT84*VLOOKUP('Données projet'!$B$10,Paramètres!$A$1:$I$89,3,0)*0.475*44/12</f>
        <v>1.4412654958558006E-7</v>
      </c>
      <c r="AX84" s="21">
        <f t="shared" si="60"/>
        <v>2.5036646098772879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430.99999999999989</v>
      </c>
      <c r="BE84" s="13">
        <f>BD84*VLOOKUP('Données projet'!$B$11,Paramètres!$A$1:$I$89,3,0)*VLOOKUP('Données projet'!$B$11,Paramètres!$A$1:$I$89,5,0)</f>
        <v>201.70799999999994</v>
      </c>
      <c r="BF84" s="13">
        <f t="shared" si="91"/>
        <v>50.119348451854243</v>
      </c>
      <c r="BG84" s="20">
        <f t="shared" si="61"/>
        <v>438.59929855364607</v>
      </c>
      <c r="BH84" s="59">
        <f t="shared" si="62"/>
        <v>731.93263188697938</v>
      </c>
      <c r="BI84" s="59">
        <f ca="1">AVERAGE(OFFSET($BH$3,0,0,'Données projet'!$E$11+1,1))-AVERAGE(OFFSET($H$3,0,0,'Données projet'!$E$11+1,1))</f>
        <v>226.0452828290525</v>
      </c>
      <c r="BJ84" s="59">
        <f t="shared" si="92"/>
        <v>179.89696397462069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3.305664521822012</v>
      </c>
      <c r="BQ84" s="21">
        <f>EXP(-LN(2)/25)*BQ83+(1-EXP(-LN(2)/25))/(LN(2)/25)*Calculateur!BL84*Calculateur!BN84*VLOOKUP('Données projet'!$B$11,Paramètres!$A$1:$I$89,3,0)*0.475*44/12</f>
        <v>2.711596694735527</v>
      </c>
      <c r="BR84" s="21">
        <f>EXP(-LN(2)/2)*BR83+(1-EXP(-LN(2)/2))/(LN(2)/2)*BL84*BO84*VLOOKUP('Données projet'!$B$11,Paramètres!$A$1:$I$89,3,0)*0.475*44/12</f>
        <v>2.327165350140281E-7</v>
      </c>
      <c r="BS84" s="22">
        <f t="shared" si="63"/>
        <v>6.0172614492740744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-1.7053025658242404E-13</v>
      </c>
      <c r="BZ84" s="13">
        <f>BY84*VLOOKUP('Données projet'!$B$12,Paramètres!$A$1:$I$89,3,0)*VLOOKUP('Données projet'!$B$12,Paramètres!$A$1:$I$89,5,0)</f>
        <v>-1.3567387213697657E-13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219.43439115440339</v>
      </c>
      <c r="CE84" s="59">
        <f t="shared" si="94"/>
        <v>217.8880462742099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3.0671455234593381</v>
      </c>
      <c r="CL84" s="21">
        <f>EXP(-LN(2)/25)*CL83+(1-EXP(-LN(2)/25))/(LN(2)/25)*Calculateur!CG84*Calculateur!CI84*VLOOKUP('Données projet'!$B$12,Paramètres!$A$1:$I$89,3,0)*0.475*44/12</f>
        <v>2.6292692861892153</v>
      </c>
      <c r="CM84" s="21">
        <f>EXP(-LN(2)/2)*CM83+(1-EXP(-LN(2)/2))/(LN(2)/2)*CG84*CJ84*VLOOKUP('Données projet'!$B$12,Paramètres!$A$1:$I$89,3,0)*0.475*44/12</f>
        <v>1.8908443002802652E-7</v>
      </c>
      <c r="CN84" s="22">
        <f t="shared" si="66"/>
        <v>5.6964149987329833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237.64646718446005</v>
      </c>
      <c r="T85" s="59">
        <f t="shared" si="88"/>
        <v>156.67965022779907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1.1900853284014907</v>
      </c>
      <c r="AA85" s="21">
        <f>EXP(-LN(2)/25)*AA84+(1-EXP(-LN(2)/25))/(LN(2)/25)*Calculateur!V85*Calculateur!X85*VLOOKUP('Données projet'!$B$9,Paramètres!$A$1:$I$89,3,0)*0.475*44/12</f>
        <v>0.99225405298435387</v>
      </c>
      <c r="AB85" s="21">
        <f>EXP(-LN(2)/2)*AB84+(1-EXP(-LN(2)/2))/(LN(2)/2)*V85*Y85*VLOOKUP('Données projet'!$B$9,Paramètres!$A$1:$I$89,3,0)*0.475*44/12</f>
        <v>9.093762942364621E-8</v>
      </c>
      <c r="AC85" s="22">
        <f t="shared" si="57"/>
        <v>2.1823394723234739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272.93635583300755</v>
      </c>
      <c r="AO85" s="59">
        <f t="shared" si="90"/>
        <v>179.56041631665812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1.3337163163120154</v>
      </c>
      <c r="AV85" s="21">
        <f>EXP(-LN(2)/25)*AV84+(1-EXP(-LN(2)/25))/(LN(2)/25)*Calculateur!AQ85*Calculateur!AS85*VLOOKUP('Données projet'!$B$10,Paramètres!$A$1:$I$89,3,0)*0.475*44/12</f>
        <v>1.1120088524824658</v>
      </c>
      <c r="AW85" s="21">
        <f>EXP(-LN(2)/2)*AW84+(1-EXP(-LN(2)/2))/(LN(2)/2)*AQ85*AT85*VLOOKUP('Données projet'!$B$10,Paramètres!$A$1:$I$89,3,0)*0.475*44/12</f>
        <v>1.0191286056098286E-7</v>
      </c>
      <c r="AX85" s="21">
        <f t="shared" si="60"/>
        <v>2.4457252707073414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448.49999999999989</v>
      </c>
      <c r="BE85" s="13">
        <f>BD85*VLOOKUP('Données projet'!$B$11,Paramètres!$A$1:$I$89,3,0)*VLOOKUP('Données projet'!$B$11,Paramètres!$A$1:$I$89,5,0)</f>
        <v>209.89799999999994</v>
      </c>
      <c r="BF85" s="13">
        <f t="shared" si="91"/>
        <v>51.913295501810218</v>
      </c>
      <c r="BG85" s="20">
        <f t="shared" si="61"/>
        <v>455.98800633231934</v>
      </c>
      <c r="BH85" s="59">
        <f t="shared" si="62"/>
        <v>749.32133966565266</v>
      </c>
      <c r="BI85" s="59">
        <f ca="1">AVERAGE(OFFSET($BH$3,0,0,'Données projet'!$E$11+1,1))-AVERAGE(OFFSET($H$3,0,0,'Données projet'!$E$11+1,1))</f>
        <v>226.0452828290525</v>
      </c>
      <c r="BJ85" s="59">
        <f t="shared" si="92"/>
        <v>179.89696397462069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3.240842456805352</v>
      </c>
      <c r="BQ85" s="21">
        <f>EXP(-LN(2)/25)*BQ84+(1-EXP(-LN(2)/25))/(LN(2)/25)*Calculateur!BL85*Calculateur!BN85*VLOOKUP('Données projet'!$B$11,Paramètres!$A$1:$I$89,3,0)*0.475*44/12</f>
        <v>2.6374479405213114</v>
      </c>
      <c r="BR85" s="21">
        <f>EXP(-LN(2)/2)*BR84+(1-EXP(-LN(2)/2))/(LN(2)/2)*BL85*BO85*VLOOKUP('Données projet'!$B$11,Paramètres!$A$1:$I$89,3,0)*0.475*44/12</f>
        <v>1.6455544000265591E-7</v>
      </c>
      <c r="BS85" s="22">
        <f t="shared" si="63"/>
        <v>5.8782905618821042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-1.7053025658242404E-13</v>
      </c>
      <c r="BZ85" s="13">
        <f>BY85*VLOOKUP('Données projet'!$B$12,Paramètres!$A$1:$I$89,3,0)*VLOOKUP('Données projet'!$B$12,Paramètres!$A$1:$I$89,5,0)</f>
        <v>-1.3567387213697657E-13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219.43439115440339</v>
      </c>
      <c r="CE85" s="59">
        <f t="shared" si="94"/>
        <v>217.8880462742099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3.0070006705183463</v>
      </c>
      <c r="CL85" s="21">
        <f>EXP(-LN(2)/25)*CL84+(1-EXP(-LN(2)/25))/(LN(2)/25)*Calculateur!CG85*Calculateur!CI85*VLOOKUP('Données projet'!$B$12,Paramètres!$A$1:$I$89,3,0)*0.475*44/12</f>
        <v>2.5573717792911088</v>
      </c>
      <c r="CM85" s="21">
        <f>EXP(-LN(2)/2)*CM84+(1-EXP(-LN(2)/2))/(LN(2)/2)*CG85*CJ85*VLOOKUP('Données projet'!$B$12,Paramètres!$A$1:$I$89,3,0)*0.475*44/12</f>
        <v>1.337028826896108E-7</v>
      </c>
      <c r="CN85" s="22">
        <f t="shared" si="66"/>
        <v>5.5643725835123377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237.64646718446005</v>
      </c>
      <c r="T86" s="59">
        <f t="shared" si="88"/>
        <v>156.67965022779907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1.1667484809919131</v>
      </c>
      <c r="AA86" s="21">
        <f>EXP(-LN(2)/25)*AA85+(1-EXP(-LN(2)/25))/(LN(2)/25)*Calculateur!V86*Calculateur!X86*VLOOKUP('Données projet'!$B$9,Paramètres!$A$1:$I$89,3,0)*0.475*44/12</f>
        <v>0.96512081372512393</v>
      </c>
      <c r="AB86" s="21">
        <f>EXP(-LN(2)/2)*AB85+(1-EXP(-LN(2)/2))/(LN(2)/2)*V86*Y86*VLOOKUP('Données projet'!$B$9,Paramètres!$A$1:$I$89,3,0)*0.475*44/12</f>
        <v>6.4302614430489546E-8</v>
      </c>
      <c r="AC86" s="22">
        <f t="shared" si="57"/>
        <v>2.1318693590196514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272.93635583300755</v>
      </c>
      <c r="AO86" s="59">
        <f t="shared" si="90"/>
        <v>179.56041631665812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1.3075629528357646</v>
      </c>
      <c r="AV86" s="21">
        <f>EXP(-LN(2)/25)*AV85+(1-EXP(-LN(2)/25))/(LN(2)/25)*Calculateur!AQ86*Calculateur!AS86*VLOOKUP('Données projet'!$B$10,Paramètres!$A$1:$I$89,3,0)*0.475*44/12</f>
        <v>1.0816009119333287</v>
      </c>
      <c r="AW86" s="21">
        <f>EXP(-LN(2)/2)*AW85+(1-EXP(-LN(2)/2))/(LN(2)/2)*AQ86*AT86*VLOOKUP('Données projet'!$B$10,Paramètres!$A$1:$I$89,3,0)*0.475*44/12</f>
        <v>7.2063274792790032E-8</v>
      </c>
      <c r="AX86" s="21">
        <f t="shared" si="60"/>
        <v>2.3891639368323685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465.99999999999989</v>
      </c>
      <c r="BE86" s="13">
        <f>BD86*VLOOKUP('Données projet'!$B$11,Paramètres!$A$1:$I$89,3,0)*VLOOKUP('Données projet'!$B$11,Paramètres!$A$1:$I$89,5,0)</f>
        <v>218.08799999999997</v>
      </c>
      <c r="BF86" s="13">
        <f t="shared" si="91"/>
        <v>53.699111087780629</v>
      </c>
      <c r="BG86" s="20">
        <f t="shared" si="61"/>
        <v>473.36255181121783</v>
      </c>
      <c r="BH86" s="59">
        <f t="shared" si="62"/>
        <v>766.69588514455108</v>
      </c>
      <c r="BI86" s="59">
        <f ca="1">AVERAGE(OFFSET($BH$3,0,0,'Données projet'!$E$11+1,1))-AVERAGE(OFFSET($H$3,0,0,'Données projet'!$E$11+1,1))</f>
        <v>226.0452828290525</v>
      </c>
      <c r="BJ86" s="59">
        <f t="shared" si="92"/>
        <v>179.89696397462069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3.177291512946113</v>
      </c>
      <c r="BQ86" s="21">
        <f>EXP(-LN(2)/25)*BQ85+(1-EXP(-LN(2)/25))/(LN(2)/25)*Calculateur!BL86*Calculateur!BN86*VLOOKUP('Données projet'!$B$11,Paramètres!$A$1:$I$89,3,0)*0.475*44/12</f>
        <v>2.5653267878903967</v>
      </c>
      <c r="BR86" s="21">
        <f>EXP(-LN(2)/2)*BR85+(1-EXP(-LN(2)/2))/(LN(2)/2)*BL86*BO86*VLOOKUP('Données projet'!$B$11,Paramètres!$A$1:$I$89,3,0)*0.475*44/12</f>
        <v>1.1635826750701407E-7</v>
      </c>
      <c r="BS86" s="22">
        <f t="shared" si="63"/>
        <v>5.7426184171947776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-1.7053025658242404E-13</v>
      </c>
      <c r="BZ86" s="13">
        <f>BY86*VLOOKUP('Données projet'!$B$12,Paramètres!$A$1:$I$89,3,0)*VLOOKUP('Données projet'!$B$12,Paramètres!$A$1:$I$89,5,0)</f>
        <v>-1.3567387213697657E-13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219.43439115440339</v>
      </c>
      <c r="CE86" s="59">
        <f t="shared" si="94"/>
        <v>217.8880462742099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2.948035221458789</v>
      </c>
      <c r="CL86" s="21">
        <f>EXP(-LN(2)/25)*CL85+(1-EXP(-LN(2)/25))/(LN(2)/25)*Calculateur!CG86*Calculateur!CI86*VLOOKUP('Données projet'!$B$12,Paramètres!$A$1:$I$89,3,0)*0.475*44/12</f>
        <v>2.4874403135000565</v>
      </c>
      <c r="CM86" s="21">
        <f>EXP(-LN(2)/2)*CM85+(1-EXP(-LN(2)/2))/(LN(2)/2)*CG86*CJ86*VLOOKUP('Données projet'!$B$12,Paramètres!$A$1:$I$89,3,0)*0.475*44/12</f>
        <v>9.454221501401326E-8</v>
      </c>
      <c r="CN86" s="22">
        <f t="shared" si="66"/>
        <v>5.4354756295010604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237.64646718446005</v>
      </c>
      <c r="T87" s="59">
        <f t="shared" si="88"/>
        <v>156.67965022779907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1.1438692549259659</v>
      </c>
      <c r="AA87" s="21">
        <f>EXP(-LN(2)/25)*AA86+(1-EXP(-LN(2)/25))/(LN(2)/25)*Calculateur!V87*Calculateur!X87*VLOOKUP('Données projet'!$B$9,Paramètres!$A$1:$I$89,3,0)*0.475*44/12</f>
        <v>0.93872953432031259</v>
      </c>
      <c r="AB87" s="21">
        <f>EXP(-LN(2)/2)*AB86+(1-EXP(-LN(2)/2))/(LN(2)/2)*V87*Y87*VLOOKUP('Données projet'!$B$9,Paramètres!$A$1:$I$89,3,0)*0.475*44/12</f>
        <v>4.5468814711823105E-8</v>
      </c>
      <c r="AC87" s="22">
        <f t="shared" si="57"/>
        <v>2.082598834715093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272.93635583300755</v>
      </c>
      <c r="AO87" s="59">
        <f t="shared" si="90"/>
        <v>179.56041631665812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1.2819224408653065</v>
      </c>
      <c r="AV87" s="21">
        <f>EXP(-LN(2)/25)*AV86+(1-EXP(-LN(2)/25))/(LN(2)/25)*Calculateur!AQ87*Calculateur!AS87*VLOOKUP('Données projet'!$B$10,Paramètres!$A$1:$I$89,3,0)*0.475*44/12</f>
        <v>1.052024478117592</v>
      </c>
      <c r="AW87" s="21">
        <f>EXP(-LN(2)/2)*AW86+(1-EXP(-LN(2)/2))/(LN(2)/2)*AQ87*AT87*VLOOKUP('Données projet'!$B$10,Paramètres!$A$1:$I$89,3,0)*0.475*44/12</f>
        <v>5.0956430280491428E-8</v>
      </c>
      <c r="AX87" s="21">
        <f t="shared" si="60"/>
        <v>2.3339469699393289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483.49999999999989</v>
      </c>
      <c r="BE87" s="13">
        <f>BD87*VLOOKUP('Données projet'!$B$11,Paramètres!$A$1:$I$89,3,0)*VLOOKUP('Données projet'!$B$11,Paramètres!$A$1:$I$89,5,0)</f>
        <v>226.27799999999993</v>
      </c>
      <c r="BF87" s="13">
        <f t="shared" si="91"/>
        <v>55.477135539319008</v>
      </c>
      <c r="BG87" s="20">
        <f t="shared" si="61"/>
        <v>490.72352773098049</v>
      </c>
      <c r="BH87" s="59">
        <f t="shared" si="62"/>
        <v>784.05686106431381</v>
      </c>
      <c r="BI87" s="59">
        <f ca="1">AVERAGE(OFFSET($BH$3,0,0,'Données projet'!$E$11+1,1))-AVERAGE(OFFSET($H$3,0,0,'Données projet'!$E$11+1,1))</f>
        <v>226.0452828290525</v>
      </c>
      <c r="BJ87" s="59">
        <f t="shared" si="92"/>
        <v>179.89696397462069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3.1149867643337052</v>
      </c>
      <c r="BQ87" s="21">
        <f>EXP(-LN(2)/25)*BQ86+(1-EXP(-LN(2)/25))/(LN(2)/25)*Calculateur!BL87*Calculateur!BN87*VLOOKUP('Données projet'!$B$11,Paramètres!$A$1:$I$89,3,0)*0.475*44/12</f>
        <v>2.4951777919708613</v>
      </c>
      <c r="BR87" s="21">
        <f>EXP(-LN(2)/2)*BR86+(1-EXP(-LN(2)/2))/(LN(2)/2)*BL87*BO87*VLOOKUP('Données projet'!$B$11,Paramètres!$A$1:$I$89,3,0)*0.475*44/12</f>
        <v>8.227772000132797E-8</v>
      </c>
      <c r="BS87" s="22">
        <f t="shared" si="63"/>
        <v>5.6101646385822859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-1.7053025658242404E-13</v>
      </c>
      <c r="BZ87" s="13">
        <f>BY87*VLOOKUP('Données projet'!$B$12,Paramètres!$A$1:$I$89,3,0)*VLOOKUP('Données projet'!$B$12,Paramètres!$A$1:$I$89,5,0)</f>
        <v>-1.3567387213697657E-13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219.43439115440339</v>
      </c>
      <c r="CE87" s="59">
        <f t="shared" si="94"/>
        <v>217.8880462742099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2.8902260488899172</v>
      </c>
      <c r="CL87" s="21">
        <f>EXP(-LN(2)/25)*CL86+(1-EXP(-LN(2)/25))/(LN(2)/25)*Calculateur!CG87*Calculateur!CI87*VLOOKUP('Données projet'!$B$12,Paramètres!$A$1:$I$89,3,0)*0.475*44/12</f>
        <v>2.4194211273185964</v>
      </c>
      <c r="CM87" s="21">
        <f>EXP(-LN(2)/2)*CM86+(1-EXP(-LN(2)/2))/(LN(2)/2)*CG87*CJ87*VLOOKUP('Données projet'!$B$12,Paramètres!$A$1:$I$89,3,0)*0.475*44/12</f>
        <v>6.68514413448054E-8</v>
      </c>
      <c r="CN87" s="22">
        <f t="shared" si="66"/>
        <v>5.3096472430599553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237.64646718446005</v>
      </c>
      <c r="T88" s="59">
        <f t="shared" si="88"/>
        <v>156.67965022779907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1.1214386765282218</v>
      </c>
      <c r="AA88" s="21">
        <f>EXP(-LN(2)/25)*AA87+(1-EXP(-LN(2)/25))/(LN(2)/25)*Calculateur!V88*Calculateur!X88*VLOOKUP('Données projet'!$B$9,Paramètres!$A$1:$I$89,3,0)*0.475*44/12</f>
        <v>0.9130599258386829</v>
      </c>
      <c r="AB88" s="21">
        <f>EXP(-LN(2)/2)*AB87+(1-EXP(-LN(2)/2))/(LN(2)/2)*V88*Y88*VLOOKUP('Données projet'!$B$9,Paramètres!$A$1:$I$89,3,0)*0.475*44/12</f>
        <v>3.2151307215244773E-8</v>
      </c>
      <c r="AC88" s="22">
        <f t="shared" si="57"/>
        <v>2.0344986345182123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272.93635583300755</v>
      </c>
      <c r="AO88" s="59">
        <f t="shared" si="90"/>
        <v>179.56041631665812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1.256784723695421</v>
      </c>
      <c r="AV88" s="21">
        <f>EXP(-LN(2)/25)*AV87+(1-EXP(-LN(2)/25))/(LN(2)/25)*Calculateur!AQ88*Calculateur!AS88*VLOOKUP('Données projet'!$B$10,Paramètres!$A$1:$I$89,3,0)*0.475*44/12</f>
        <v>1.0232568134399036</v>
      </c>
      <c r="AW88" s="21">
        <f>EXP(-LN(2)/2)*AW87+(1-EXP(-LN(2)/2))/(LN(2)/2)*AQ88*AT88*VLOOKUP('Données projet'!$B$10,Paramètres!$A$1:$I$89,3,0)*0.475*44/12</f>
        <v>3.6031637396395016E-8</v>
      </c>
      <c r="AX88" s="21">
        <f t="shared" si="60"/>
        <v>2.2800415731669617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500.99999999999989</v>
      </c>
      <c r="BE88" s="13">
        <f>BD88*VLOOKUP('Données projet'!$B$11,Paramètres!$A$1:$I$89,3,0)*VLOOKUP('Données projet'!$B$11,Paramètres!$A$1:$I$89,5,0)</f>
        <v>234.46799999999996</v>
      </c>
      <c r="BF88" s="13">
        <f t="shared" si="91"/>
        <v>57.247683153605394</v>
      </c>
      <c r="BG88" s="20">
        <f t="shared" si="61"/>
        <v>508.0714814925293</v>
      </c>
      <c r="BH88" s="59">
        <f t="shared" si="62"/>
        <v>801.40481482586256</v>
      </c>
      <c r="BI88" s="59">
        <f ca="1">AVERAGE(OFFSET($BH$3,0,0,'Données projet'!$E$11+1,1))-AVERAGE(OFFSET($H$3,0,0,'Données projet'!$E$11+1,1))</f>
        <v>226.0452828290525</v>
      </c>
      <c r="BJ88" s="59">
        <f t="shared" si="92"/>
        <v>179.89696397462069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3.0539037738394428</v>
      </c>
      <c r="BQ88" s="21">
        <f>EXP(-LN(2)/25)*BQ87+(1-EXP(-LN(2)/25))/(LN(2)/25)*Calculateur!BL88*Calculateur!BN88*VLOOKUP('Données projet'!$B$11,Paramètres!$A$1:$I$89,3,0)*0.475*44/12</f>
        <v>2.426947024033721</v>
      </c>
      <c r="BR88" s="21">
        <f>EXP(-LN(2)/2)*BR87+(1-EXP(-LN(2)/2))/(LN(2)/2)*BL88*BO88*VLOOKUP('Données projet'!$B$11,Paramètres!$A$1:$I$89,3,0)*0.475*44/12</f>
        <v>5.8179133753507044E-8</v>
      </c>
      <c r="BS88" s="22">
        <f t="shared" si="63"/>
        <v>5.4808508560522968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-1.7053025658242404E-13</v>
      </c>
      <c r="BZ88" s="13">
        <f>BY88*VLOOKUP('Données projet'!$B$12,Paramètres!$A$1:$I$89,3,0)*VLOOKUP('Données projet'!$B$12,Paramètres!$A$1:$I$89,5,0)</f>
        <v>-1.3567387213697657E-13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219.43439115440339</v>
      </c>
      <c r="CE88" s="59">
        <f t="shared" si="94"/>
        <v>217.8880462742099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2.8335504789350074</v>
      </c>
      <c r="CL88" s="21">
        <f>EXP(-LN(2)/25)*CL87+(1-EXP(-LN(2)/25))/(LN(2)/25)*Calculateur!CG88*Calculateur!CI88*VLOOKUP('Données projet'!$B$12,Paramètres!$A$1:$I$89,3,0)*0.475*44/12</f>
        <v>2.3532619293602419</v>
      </c>
      <c r="CM88" s="21">
        <f>EXP(-LN(2)/2)*CM87+(1-EXP(-LN(2)/2))/(LN(2)/2)*CG88*CJ88*VLOOKUP('Données projet'!$B$12,Paramètres!$A$1:$I$89,3,0)*0.475*44/12</f>
        <v>4.727110750700663E-8</v>
      </c>
      <c r="CN88" s="22">
        <f t="shared" si="66"/>
        <v>5.1868124555663577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237.64646718446005</v>
      </c>
      <c r="T89" s="59">
        <f t="shared" si="88"/>
        <v>156.67965022779907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1.0994479480915558</v>
      </c>
      <c r="AA89" s="21">
        <f>EXP(-LN(2)/25)*AA88+(1-EXP(-LN(2)/25))/(LN(2)/25)*Calculateur!V89*Calculateur!X89*VLOOKUP('Données projet'!$B$9,Paramètres!$A$1:$I$89,3,0)*0.475*44/12</f>
        <v>0.88809225415088944</v>
      </c>
      <c r="AB89" s="21">
        <f>EXP(-LN(2)/2)*AB88+(1-EXP(-LN(2)/2))/(LN(2)/2)*V89*Y89*VLOOKUP('Données projet'!$B$9,Paramètres!$A$1:$I$89,3,0)*0.475*44/12</f>
        <v>2.2734407355911552E-8</v>
      </c>
      <c r="AC89" s="22">
        <f t="shared" si="57"/>
        <v>1.9875402249768523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272.93635583300755</v>
      </c>
      <c r="AO89" s="59">
        <f t="shared" si="90"/>
        <v>179.56041631665812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1.2321399418267436</v>
      </c>
      <c r="AV89" s="21">
        <f>EXP(-LN(2)/25)*AV88+(1-EXP(-LN(2)/25))/(LN(2)/25)*Calculateur!AQ89*Calculateur!AS89*VLOOKUP('Données projet'!$B$10,Paramètres!$A$1:$I$89,3,0)*0.475*44/12</f>
        <v>0.99527580206565225</v>
      </c>
      <c r="AW89" s="21">
        <f>EXP(-LN(2)/2)*AW88+(1-EXP(-LN(2)/2))/(LN(2)/2)*AQ89*AT89*VLOOKUP('Données projet'!$B$10,Paramètres!$A$1:$I$89,3,0)*0.475*44/12</f>
        <v>2.5478215140245714E-8</v>
      </c>
      <c r="AX89" s="21">
        <f t="shared" si="60"/>
        <v>2.2274157693706109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518.49999999999989</v>
      </c>
      <c r="BE89" s="13">
        <f>BD89*VLOOKUP('Données projet'!$B$11,Paramètres!$A$1:$I$89,3,0)*VLOOKUP('Données projet'!$B$11,Paramètres!$A$1:$I$89,5,0)</f>
        <v>242.65799999999993</v>
      </c>
      <c r="BF89" s="13">
        <f t="shared" si="91"/>
        <v>59.011045025839607</v>
      </c>
      <c r="BG89" s="20">
        <f t="shared" si="61"/>
        <v>525.40692008667054</v>
      </c>
      <c r="BH89" s="59">
        <f t="shared" si="62"/>
        <v>818.74025342000391</v>
      </c>
      <c r="BI89" s="59">
        <f ca="1">AVERAGE(OFFSET($BH$3,0,0,'Données projet'!$E$11+1,1))-AVERAGE(OFFSET($H$3,0,0,'Données projet'!$E$11+1,1))</f>
        <v>226.0452828290525</v>
      </c>
      <c r="BJ89" s="59">
        <f t="shared" si="92"/>
        <v>179.89696397462069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2.9940185835318274</v>
      </c>
      <c r="BQ89" s="21">
        <f>EXP(-LN(2)/25)*BQ88+(1-EXP(-LN(2)/25))/(LN(2)/25)*Calculateur!BL89*Calculateur!BN89*VLOOKUP('Données projet'!$B$11,Paramètres!$A$1:$I$89,3,0)*0.475*44/12</f>
        <v>2.3605820300339215</v>
      </c>
      <c r="BR89" s="21">
        <f>EXP(-LN(2)/2)*BR88+(1-EXP(-LN(2)/2))/(LN(2)/2)*BL89*BO89*VLOOKUP('Données projet'!$B$11,Paramètres!$A$1:$I$89,3,0)*0.475*44/12</f>
        <v>4.1138860000663991E-8</v>
      </c>
      <c r="BS89" s="22">
        <f t="shared" si="63"/>
        <v>5.3546006547046092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-1.7053025658242404E-13</v>
      </c>
      <c r="BZ89" s="13">
        <f>BY89*VLOOKUP('Données projet'!$B$12,Paramètres!$A$1:$I$89,3,0)*VLOOKUP('Données projet'!$B$12,Paramètres!$A$1:$I$89,5,0)</f>
        <v>-1.3567387213697657E-13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219.43439115440339</v>
      </c>
      <c r="CE89" s="59">
        <f t="shared" si="94"/>
        <v>217.8880462742099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2.7779862823382291</v>
      </c>
      <c r="CL89" s="21">
        <f>EXP(-LN(2)/25)*CL88+(1-EXP(-LN(2)/25))/(LN(2)/25)*Calculateur!CG89*Calculateur!CI89*VLOOKUP('Données projet'!$B$12,Paramètres!$A$1:$I$89,3,0)*0.475*44/12</f>
        <v>2.2889118581492198</v>
      </c>
      <c r="CM89" s="21">
        <f>EXP(-LN(2)/2)*CM88+(1-EXP(-LN(2)/2))/(LN(2)/2)*CG89*CJ89*VLOOKUP('Données projet'!$B$12,Paramètres!$A$1:$I$89,3,0)*0.475*44/12</f>
        <v>3.34257206724027E-8</v>
      </c>
      <c r="CN89" s="22">
        <f t="shared" si="66"/>
        <v>5.0668981739131702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237.64646718446005</v>
      </c>
      <c r="T90" s="59">
        <f t="shared" si="88"/>
        <v>156.67965022779907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1.0778884444265127</v>
      </c>
      <c r="AA90" s="21">
        <f>EXP(-LN(2)/25)*AA89+(1-EXP(-LN(2)/25))/(LN(2)/25)*Calculateur!V90*Calculateur!X90*VLOOKUP('Données projet'!$B$9,Paramètres!$A$1:$I$89,3,0)*0.475*44/12</f>
        <v>0.8638073247583915</v>
      </c>
      <c r="AB90" s="21">
        <f>EXP(-LN(2)/2)*AB89+(1-EXP(-LN(2)/2))/(LN(2)/2)*V90*Y90*VLOOKUP('Données projet'!$B$9,Paramètres!$A$1:$I$89,3,0)*0.475*44/12</f>
        <v>1.6075653607622387E-8</v>
      </c>
      <c r="AC90" s="22">
        <f t="shared" si="57"/>
        <v>1.9416957852605579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272.93635583300755</v>
      </c>
      <c r="AO90" s="59">
        <f t="shared" si="90"/>
        <v>179.56041631665812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1.2079784290986781</v>
      </c>
      <c r="AV90" s="21">
        <f>EXP(-LN(2)/25)*AV89+(1-EXP(-LN(2)/25))/(LN(2)/25)*Calculateur!AQ90*Calculateur!AS90*VLOOKUP('Données projet'!$B$10,Paramètres!$A$1:$I$89,3,0)*0.475*44/12</f>
        <v>0.96805993291888726</v>
      </c>
      <c r="AW90" s="21">
        <f>EXP(-LN(2)/2)*AW89+(1-EXP(-LN(2)/2))/(LN(2)/2)*AQ90*AT90*VLOOKUP('Données projet'!$B$10,Paramètres!$A$1:$I$89,3,0)*0.475*44/12</f>
        <v>1.8015818698197508E-8</v>
      </c>
      <c r="AX90" s="21">
        <f t="shared" si="60"/>
        <v>2.176038380033384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535.99999999999989</v>
      </c>
      <c r="BE90" s="13">
        <f>BD90*VLOOKUP('Données projet'!$B$11,Paramètres!$A$1:$I$89,3,0)*VLOOKUP('Données projet'!$B$11,Paramètres!$A$1:$I$89,5,0)</f>
        <v>250.84799999999996</v>
      </c>
      <c r="BF90" s="13">
        <f t="shared" si="91"/>
        <v>60.767491486783541</v>
      </c>
      <c r="BG90" s="20">
        <f t="shared" si="61"/>
        <v>542.7303143394812</v>
      </c>
      <c r="BH90" s="59">
        <f t="shared" si="62"/>
        <v>836.06364767281457</v>
      </c>
      <c r="BI90" s="59">
        <f ca="1">AVERAGE(OFFSET($BH$3,0,0,'Données projet'!$E$11+1,1))-AVERAGE(OFFSET($H$3,0,0,'Données projet'!$E$11+1,1))</f>
        <v>226.0452828290525</v>
      </c>
      <c r="BJ90" s="59">
        <f t="shared" si="92"/>
        <v>179.89696397462069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2.9353077052797847</v>
      </c>
      <c r="BQ90" s="21">
        <f>EXP(-LN(2)/25)*BQ89+(1-EXP(-LN(2)/25))/(LN(2)/25)*Calculateur!BL90*Calculateur!BN90*VLOOKUP('Données projet'!$B$11,Paramètres!$A$1:$I$89,3,0)*0.475*44/12</f>
        <v>2.29603179028503</v>
      </c>
      <c r="BR90" s="21">
        <f>EXP(-LN(2)/2)*BR89+(1-EXP(-LN(2)/2))/(LN(2)/2)*BL90*BO90*VLOOKUP('Données projet'!$B$11,Paramètres!$A$1:$I$89,3,0)*0.475*44/12</f>
        <v>2.9089566876753529E-8</v>
      </c>
      <c r="BS90" s="22">
        <f t="shared" si="63"/>
        <v>5.2313395246543815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-1.7053025658242404E-13</v>
      </c>
      <c r="BZ90" s="13">
        <f>BY90*VLOOKUP('Données projet'!$B$12,Paramètres!$A$1:$I$89,3,0)*VLOOKUP('Données projet'!$B$12,Paramètres!$A$1:$I$89,5,0)</f>
        <v>-1.3567387213697657E-13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219.43439115440339</v>
      </c>
      <c r="CE90" s="59">
        <f t="shared" si="94"/>
        <v>217.8880462742099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2.7235116657459</v>
      </c>
      <c r="CL90" s="21">
        <f>EXP(-LN(2)/25)*CL89+(1-EXP(-LN(2)/25))/(LN(2)/25)*Calculateur!CG90*Calculateur!CI90*VLOOKUP('Données projet'!$B$12,Paramètres!$A$1:$I$89,3,0)*0.475*44/12</f>
        <v>2.226321443019486</v>
      </c>
      <c r="CM90" s="21">
        <f>EXP(-LN(2)/2)*CM89+(1-EXP(-LN(2)/2))/(LN(2)/2)*CG90*CJ90*VLOOKUP('Données projet'!$B$12,Paramètres!$A$1:$I$89,3,0)*0.475*44/12</f>
        <v>2.3635553753503315E-8</v>
      </c>
      <c r="CN90" s="22">
        <f t="shared" si="66"/>
        <v>4.9498331324009399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237.64646718446005</v>
      </c>
      <c r="T91" s="59">
        <f t="shared" si="88"/>
        <v>156.67965022779907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1.0567517094783423</v>
      </c>
      <c r="AA91" s="21">
        <f>EXP(-LN(2)/25)*AA90+(1-EXP(-LN(2)/25))/(LN(2)/25)*Calculateur!V91*Calculateur!X91*VLOOKUP('Données projet'!$B$9,Paramètres!$A$1:$I$89,3,0)*0.475*44/12</f>
        <v>0.8401864680372203</v>
      </c>
      <c r="AB91" s="21">
        <f>EXP(-LN(2)/2)*AB90+(1-EXP(-LN(2)/2))/(LN(2)/2)*V91*Y91*VLOOKUP('Données projet'!$B$9,Paramètres!$A$1:$I$89,3,0)*0.475*44/12</f>
        <v>1.1367203677955776E-8</v>
      </c>
      <c r="AC91" s="22">
        <f t="shared" si="57"/>
        <v>1.8969381888827663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272.93635583300755</v>
      </c>
      <c r="AO91" s="59">
        <f t="shared" si="90"/>
        <v>179.56041631665812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1.1842907088981425</v>
      </c>
      <c r="AV91" s="21">
        <f>EXP(-LN(2)/25)*AV90+(1-EXP(-LN(2)/25))/(LN(2)/25)*Calculateur!AQ91*Calculateur!AS91*VLOOKUP('Données projet'!$B$10,Paramètres!$A$1:$I$89,3,0)*0.475*44/12</f>
        <v>0.94158828314516096</v>
      </c>
      <c r="AW91" s="21">
        <f>EXP(-LN(2)/2)*AW90+(1-EXP(-LN(2)/2))/(LN(2)/2)*AQ91*AT91*VLOOKUP('Données projet'!$B$10,Paramètres!$A$1:$I$89,3,0)*0.475*44/12</f>
        <v>1.2739107570122857E-8</v>
      </c>
      <c r="AX91" s="21">
        <f t="shared" si="60"/>
        <v>2.1258790047824112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553.49999999999989</v>
      </c>
      <c r="BE91" s="13">
        <f>BD91*VLOOKUP('Données projet'!$B$11,Paramètres!$A$1:$I$89,3,0)*VLOOKUP('Données projet'!$B$11,Paramètres!$A$1:$I$89,5,0)</f>
        <v>259.03799999999995</v>
      </c>
      <c r="BF91" s="13">
        <f t="shared" si="91"/>
        <v>62.517274213025487</v>
      </c>
      <c r="BG91" s="20">
        <f t="shared" si="61"/>
        <v>560.04210258768592</v>
      </c>
      <c r="BH91" s="59">
        <f t="shared" si="62"/>
        <v>853.37543592101929</v>
      </c>
      <c r="BI91" s="59">
        <f ca="1">AVERAGE(OFFSET($BH$3,0,0,'Données projet'!$E$11+1,1))-AVERAGE(OFFSET($H$3,0,0,'Données projet'!$E$11+1,1))</f>
        <v>226.0452828290525</v>
      </c>
      <c r="BJ91" s="59">
        <f t="shared" si="92"/>
        <v>179.89696397462069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2.8777481115401651</v>
      </c>
      <c r="BQ91" s="21">
        <f>EXP(-LN(2)/25)*BQ90+(1-EXP(-LN(2)/25))/(LN(2)/25)*Calculateur!BL91*Calculateur!BN91*VLOOKUP('Données projet'!$B$11,Paramètres!$A$1:$I$89,3,0)*0.475*44/12</f>
        <v>2.2332466802366215</v>
      </c>
      <c r="BR91" s="21">
        <f>EXP(-LN(2)/2)*BR90+(1-EXP(-LN(2)/2))/(LN(2)/2)*BL91*BO91*VLOOKUP('Données projet'!$B$11,Paramètres!$A$1:$I$89,3,0)*0.475*44/12</f>
        <v>2.0569430000331999E-8</v>
      </c>
      <c r="BS91" s="22">
        <f t="shared" si="63"/>
        <v>5.1109948123462159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-1.7053025658242404E-13</v>
      </c>
      <c r="BZ91" s="13">
        <f>BY91*VLOOKUP('Données projet'!$B$12,Paramètres!$A$1:$I$89,3,0)*VLOOKUP('Données projet'!$B$12,Paramètres!$A$1:$I$89,5,0)</f>
        <v>-1.3567387213697657E-13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219.43439115440339</v>
      </c>
      <c r="CE91" s="59">
        <f t="shared" si="94"/>
        <v>217.8880462742099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2.6701052631587112</v>
      </c>
      <c r="CL91" s="21">
        <f>EXP(-LN(2)/25)*CL90+(1-EXP(-LN(2)/25))/(LN(2)/25)*Calculateur!CG91*Calculateur!CI91*VLOOKUP('Données projet'!$B$12,Paramètres!$A$1:$I$89,3,0)*0.475*44/12</f>
        <v>2.1654425660829619</v>
      </c>
      <c r="CM91" s="21">
        <f>EXP(-LN(2)/2)*CM90+(1-EXP(-LN(2)/2))/(LN(2)/2)*CG91*CJ91*VLOOKUP('Données projet'!$B$12,Paramètres!$A$1:$I$89,3,0)*0.475*44/12</f>
        <v>1.671286033620135E-8</v>
      </c>
      <c r="CN91" s="22">
        <f t="shared" si="66"/>
        <v>4.8355478459545331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237.64646718446005</v>
      </c>
      <c r="T92" s="59">
        <f t="shared" si="88"/>
        <v>156.67965022779907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1.0360294530103702</v>
      </c>
      <c r="AA92" s="21">
        <f>EXP(-LN(2)/25)*AA91+(1-EXP(-LN(2)/25))/(LN(2)/25)*Calculateur!V92*Calculateur!X92*VLOOKUP('Données projet'!$B$9,Paramètres!$A$1:$I$89,3,0)*0.475*44/12</f>
        <v>0.81721152488525639</v>
      </c>
      <c r="AB92" s="21">
        <f>EXP(-LN(2)/2)*AB91+(1-EXP(-LN(2)/2))/(LN(2)/2)*V92*Y92*VLOOKUP('Données projet'!$B$9,Paramètres!$A$1:$I$89,3,0)*0.475*44/12</f>
        <v>8.0378268038111933E-9</v>
      </c>
      <c r="AC92" s="22">
        <f t="shared" si="57"/>
        <v>1.8532409859334535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272.93635583300755</v>
      </c>
      <c r="AO92" s="59">
        <f t="shared" si="90"/>
        <v>179.56041631665812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1.1610674904426566</v>
      </c>
      <c r="AV92" s="21">
        <f>EXP(-LN(2)/25)*AV91+(1-EXP(-LN(2)/25))/(LN(2)/25)*Calculateur!AQ92*Calculateur!AS92*VLOOKUP('Données projet'!$B$10,Paramètres!$A$1:$I$89,3,0)*0.475*44/12</f>
        <v>0.91584050202658074</v>
      </c>
      <c r="AW92" s="21">
        <f>EXP(-LN(2)/2)*AW91+(1-EXP(-LN(2)/2))/(LN(2)/2)*AQ92*AT92*VLOOKUP('Données projet'!$B$10,Paramètres!$A$1:$I$89,3,0)*0.475*44/12</f>
        <v>9.007909349098754E-9</v>
      </c>
      <c r="AX92" s="21">
        <f t="shared" si="60"/>
        <v>2.0769080014771468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570.99999999999989</v>
      </c>
      <c r="BE92" s="13">
        <f>BD92*VLOOKUP('Données projet'!$B$11,Paramètres!$A$1:$I$89,3,0)*VLOOKUP('Données projet'!$B$11,Paramètres!$A$1:$I$89,5,0)</f>
        <v>267.22799999999995</v>
      </c>
      <c r="BF92" s="13">
        <f t="shared" si="91"/>
        <v>64.260628062866161</v>
      </c>
      <c r="BG92" s="20">
        <f t="shared" si="61"/>
        <v>577.34269387615848</v>
      </c>
      <c r="BH92" s="59">
        <f t="shared" si="62"/>
        <v>870.67602720949185</v>
      </c>
      <c r="BI92" s="59">
        <f ca="1">AVERAGE(OFFSET($BH$3,0,0,'Données projet'!$E$11+1,1))-AVERAGE(OFFSET($H$3,0,0,'Données projet'!$E$11+1,1))</f>
        <v>226.0452828290525</v>
      </c>
      <c r="BJ92" s="59">
        <f t="shared" si="92"/>
        <v>179.89696397462069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2.8213172263258937</v>
      </c>
      <c r="BQ92" s="21">
        <f>EXP(-LN(2)/25)*BQ91+(1-EXP(-LN(2)/25))/(LN(2)/25)*Calculateur!BL92*Calculateur!BN92*VLOOKUP('Données projet'!$B$11,Paramètres!$A$1:$I$89,3,0)*0.475*44/12</f>
        <v>2.1721784323242121</v>
      </c>
      <c r="BR92" s="21">
        <f>EXP(-LN(2)/2)*BR91+(1-EXP(-LN(2)/2))/(LN(2)/2)*BL92*BO92*VLOOKUP('Données projet'!$B$11,Paramètres!$A$1:$I$89,3,0)*0.475*44/12</f>
        <v>1.4544783438376766E-8</v>
      </c>
      <c r="BS92" s="22">
        <f t="shared" si="63"/>
        <v>4.9934956731948894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-1.7053025658242404E-13</v>
      </c>
      <c r="BZ92" s="13">
        <f>BY92*VLOOKUP('Données projet'!$B$12,Paramètres!$A$1:$I$89,3,0)*VLOOKUP('Données projet'!$B$12,Paramètres!$A$1:$I$89,5,0)</f>
        <v>-1.3567387213697657E-13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219.43439115440339</v>
      </c>
      <c r="CE92" s="59">
        <f t="shared" si="94"/>
        <v>217.8880462742099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2.6177461275515683</v>
      </c>
      <c r="CL92" s="21">
        <f>EXP(-LN(2)/25)*CL91+(1-EXP(-LN(2)/25))/(LN(2)/25)*Calculateur!CG92*Calculateur!CI92*VLOOKUP('Données projet'!$B$12,Paramètres!$A$1:$I$89,3,0)*0.475*44/12</f>
        <v>2.1062284252377479</v>
      </c>
      <c r="CM92" s="21">
        <f>EXP(-LN(2)/2)*CM91+(1-EXP(-LN(2)/2))/(LN(2)/2)*CG92*CJ92*VLOOKUP('Données projet'!$B$12,Paramètres!$A$1:$I$89,3,0)*0.475*44/12</f>
        <v>1.1817776876751657E-8</v>
      </c>
      <c r="CN92" s="22">
        <f t="shared" si="66"/>
        <v>4.7239745646070936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237.64646718446005</v>
      </c>
      <c r="T93" s="59">
        <f t="shared" si="88"/>
        <v>156.67965022779907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1.0157135473524066</v>
      </c>
      <c r="AA93" s="21">
        <f>EXP(-LN(2)/25)*AA92+(1-EXP(-LN(2)/25))/(LN(2)/25)*Calculateur!V93*Calculateur!X93*VLOOKUP('Données projet'!$B$9,Paramètres!$A$1:$I$89,3,0)*0.475*44/12</f>
        <v>0.79486483276198272</v>
      </c>
      <c r="AB93" s="21">
        <f>EXP(-LN(2)/2)*AB92+(1-EXP(-LN(2)/2))/(LN(2)/2)*V93*Y93*VLOOKUP('Données projet'!$B$9,Paramètres!$A$1:$I$89,3,0)*0.475*44/12</f>
        <v>5.6836018389778881E-9</v>
      </c>
      <c r="AC93" s="22">
        <f t="shared" si="57"/>
        <v>1.8105783857979911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272.93635583300755</v>
      </c>
      <c r="AO93" s="59">
        <f t="shared" si="90"/>
        <v>179.56041631665812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1.1382996651363182</v>
      </c>
      <c r="AV93" s="21">
        <f>EXP(-LN(2)/25)*AV92+(1-EXP(-LN(2)/25))/(LN(2)/25)*Calculateur!AQ93*Calculateur!AS93*VLOOKUP('Données projet'!$B$10,Paramètres!$A$1:$I$89,3,0)*0.475*44/12</f>
        <v>0.89079679533670508</v>
      </c>
      <c r="AW93" s="21">
        <f>EXP(-LN(2)/2)*AW92+(1-EXP(-LN(2)/2))/(LN(2)/2)*AQ93*AT93*VLOOKUP('Données projet'!$B$10,Paramètres!$A$1:$I$89,3,0)*0.475*44/12</f>
        <v>6.3695537850614285E-9</v>
      </c>
      <c r="AX93" s="21">
        <f t="shared" si="60"/>
        <v>2.0290964668425771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588.5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588.49999999999989</v>
      </c>
      <c r="BE93" s="13">
        <f>BD93*VLOOKUP('Données projet'!$B$11,Paramètres!$A$1:$I$89,3,0)*VLOOKUP('Données projet'!$B$11,Paramètres!$A$1:$I$89,5,0)</f>
        <v>275.41799999999995</v>
      </c>
      <c r="BF93" s="13">
        <f t="shared" si="91"/>
        <v>65.997772680817278</v>
      </c>
      <c r="BG93" s="20">
        <f t="shared" si="61"/>
        <v>594.63247075242327</v>
      </c>
      <c r="BH93" s="59">
        <f t="shared" si="62"/>
        <v>887.96580408575664</v>
      </c>
      <c r="BI93" s="59">
        <f ca="1">AVERAGE(OFFSET($BH$3,0,0,'Données projet'!$E$11+1,1))-AVERAGE(OFFSET($H$3,0,0,'Données projet'!$E$11+1,1))</f>
        <v>226.0452828290525</v>
      </c>
      <c r="BJ93" s="59">
        <f t="shared" si="92"/>
        <v>179.89696397462069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98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2.7659929163512329</v>
      </c>
      <c r="BQ93" s="21">
        <f>EXP(-LN(2)/25)*BQ92+(1-EXP(-LN(2)/25))/(LN(2)/25)*Calculateur!BL93*Calculateur!BN93*VLOOKUP('Données projet'!$B$11,Paramètres!$A$1:$I$89,3,0)*0.475*44/12</f>
        <v>2.1127800988624075</v>
      </c>
      <c r="BR93" s="21">
        <f>EXP(-LN(2)/2)*BR92+(1-EXP(-LN(2)/2))/(LN(2)/2)*BL93*BO93*VLOOKUP('Données projet'!$B$11,Paramètres!$A$1:$I$89,3,0)*0.475*44/12</f>
        <v>1.0284715000166001E-8</v>
      </c>
      <c r="BS93" s="22">
        <f t="shared" si="63"/>
        <v>4.8787730254983561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-1.7053025658242404E-13</v>
      </c>
      <c r="BZ93" s="13">
        <f>BY93*VLOOKUP('Données projet'!$B$12,Paramètres!$A$1:$I$89,3,0)*VLOOKUP('Données projet'!$B$12,Paramètres!$A$1:$I$89,5,0)</f>
        <v>-1.3567387213697657E-13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219.43439115440339</v>
      </c>
      <c r="CE93" s="59">
        <f t="shared" si="94"/>
        <v>217.8880462742099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2.5664137226577619</v>
      </c>
      <c r="CL93" s="21">
        <f>EXP(-LN(2)/25)*CL92+(1-EXP(-LN(2)/25))/(LN(2)/25)*Calculateur!CG93*Calculateur!CI93*VLOOKUP('Données projet'!$B$12,Paramètres!$A$1:$I$89,3,0)*0.475*44/12</f>
        <v>2.0486334981878827</v>
      </c>
      <c r="CM93" s="21">
        <f>EXP(-LN(2)/2)*CM92+(1-EXP(-LN(2)/2))/(LN(2)/2)*CG93*CJ93*VLOOKUP('Données projet'!$B$12,Paramètres!$A$1:$I$89,3,0)*0.475*44/12</f>
        <v>8.356430168100675E-9</v>
      </c>
      <c r="CN93" s="22">
        <f t="shared" si="66"/>
        <v>4.6150472292020748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237.64646718446005</v>
      </c>
      <c r="T94" s="59">
        <f t="shared" si="88"/>
        <v>156.67965022779907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0.99579602421291691</v>
      </c>
      <c r="AA94" s="21">
        <f>EXP(-LN(2)/25)*AA93+(1-EXP(-LN(2)/25))/(LN(2)/25)*Calculateur!V94*Calculateur!X94*VLOOKUP('Données projet'!$B$9,Paramètres!$A$1:$I$89,3,0)*0.475*44/12</f>
        <v>0.77312921210998142</v>
      </c>
      <c r="AB94" s="21">
        <f>EXP(-LN(2)/2)*AB93+(1-EXP(-LN(2)/2))/(LN(2)/2)*V94*Y94*VLOOKUP('Données projet'!$B$9,Paramètres!$A$1:$I$89,3,0)*0.475*44/12</f>
        <v>4.0189134019055966E-9</v>
      </c>
      <c r="AC94" s="22">
        <f t="shared" si="57"/>
        <v>1.7689252403418119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262.62599999999986</v>
      </c>
      <c r="AK94" s="13">
        <f t="shared" si="89"/>
        <v>63.281807230823397</v>
      </c>
      <c r="AL94" s="20">
        <f t="shared" si="58"/>
        <v>567.62276426035044</v>
      </c>
      <c r="AM94" s="59">
        <f t="shared" si="59"/>
        <v>860.95609759368381</v>
      </c>
      <c r="AN94" s="59">
        <f ca="1">AVERAGE(OFFSET($AM$3,0,0,'Données projet'!$E$10+1,1))-AVERAGE(OFFSET($H$3,0,0,'Données projet'!$E$10+1,1))</f>
        <v>272.93635583300755</v>
      </c>
      <c r="AO94" s="59">
        <f t="shared" si="90"/>
        <v>179.56041631665812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1.1159783029972348</v>
      </c>
      <c r="AV94" s="21">
        <f>EXP(-LN(2)/25)*AV93+(1-EXP(-LN(2)/25))/(LN(2)/25)*Calculateur!AQ94*Calculateur!AS94*VLOOKUP('Données projet'!$B$10,Paramètres!$A$1:$I$89,3,0)*0.475*44/12</f>
        <v>0.86643791012325533</v>
      </c>
      <c r="AW94" s="21">
        <f>EXP(-LN(2)/2)*AW93+(1-EXP(-LN(2)/2))/(LN(2)/2)*AQ94*AT94*VLOOKUP('Données projet'!$B$10,Paramètres!$A$1:$I$89,3,0)*0.475*44/12</f>
        <v>4.503954674549377E-9</v>
      </c>
      <c r="AX94" s="21">
        <f t="shared" si="60"/>
        <v>1.9824162176244449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508.99999999999989</v>
      </c>
      <c r="BE94" s="13">
        <f>BD94*VLOOKUP('Données projet'!$B$11,Paramètres!$A$1:$I$89,3,0)*VLOOKUP('Données projet'!$B$11,Paramètres!$A$1:$I$89,5,0)</f>
        <v>238.21199999999993</v>
      </c>
      <c r="BF94" s="13">
        <f t="shared" si="91"/>
        <v>58.054666307163771</v>
      </c>
      <c r="BG94" s="20">
        <f t="shared" si="61"/>
        <v>515.99777715164339</v>
      </c>
      <c r="BH94" s="59">
        <f t="shared" si="62"/>
        <v>809.33111048497676</v>
      </c>
      <c r="BI94" s="59">
        <f ca="1">AVERAGE(OFFSET($BH$3,0,0,'Données projet'!$E$11+1,1))-AVERAGE(OFFSET($H$3,0,0,'Données projet'!$E$11+1,1))</f>
        <v>226.0452828290525</v>
      </c>
      <c r="BJ94" s="59">
        <f t="shared" si="92"/>
        <v>179.89696397462069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2.7117534823506779</v>
      </c>
      <c r="BQ94" s="21">
        <f>EXP(-LN(2)/25)*BQ93+(1-EXP(-LN(2)/25))/(LN(2)/25)*Calculateur!BL94*Calculateur!BN94*VLOOKUP('Données projet'!$B$11,Paramètres!$A$1:$I$89,3,0)*0.475*44/12</f>
        <v>2.0550060159527384</v>
      </c>
      <c r="BR94" s="21">
        <f>EXP(-LN(2)/2)*BR93+(1-EXP(-LN(2)/2))/(LN(2)/2)*BL94*BO94*VLOOKUP('Données projet'!$B$11,Paramètres!$A$1:$I$89,3,0)*0.475*44/12</f>
        <v>7.2723917191883838E-9</v>
      </c>
      <c r="BS94" s="22">
        <f t="shared" si="63"/>
        <v>4.7667595055758083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-1.7053025658242404E-13</v>
      </c>
      <c r="BZ94" s="13">
        <f>BY94*VLOOKUP('Données projet'!$B$12,Paramètres!$A$1:$I$89,3,0)*VLOOKUP('Données projet'!$B$12,Paramètres!$A$1:$I$89,5,0)</f>
        <v>-1.3567387213697657E-13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219.43439115440339</v>
      </c>
      <c r="CE94" s="59">
        <f t="shared" si="94"/>
        <v>217.8880462742099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2.5160879149142477</v>
      </c>
      <c r="CL94" s="21">
        <f>EXP(-LN(2)/25)*CL93+(1-EXP(-LN(2)/25))/(LN(2)/25)*Calculateur!CG94*Calculateur!CI94*VLOOKUP('Données projet'!$B$12,Paramètres!$A$1:$I$89,3,0)*0.475*44/12</f>
        <v>1.9926135074469815</v>
      </c>
      <c r="CM94" s="21">
        <f>EXP(-LN(2)/2)*CM93+(1-EXP(-LN(2)/2))/(LN(2)/2)*CG94*CJ94*VLOOKUP('Données projet'!$B$12,Paramètres!$A$1:$I$89,3,0)*0.475*44/12</f>
        <v>5.9088884383758287E-9</v>
      </c>
      <c r="CN94" s="22">
        <f t="shared" si="66"/>
        <v>4.5087014282701174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237.64646718446005</v>
      </c>
      <c r="T95" s="59">
        <f t="shared" si="88"/>
        <v>156.67965022779907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0.97626907155370302</v>
      </c>
      <c r="AA95" s="21">
        <f>EXP(-LN(2)/25)*AA94+(1-EXP(-LN(2)/25))/(LN(2)/25)*Calculateur!V95*Calculateur!X95*VLOOKUP('Données projet'!$B$9,Paramètres!$A$1:$I$89,3,0)*0.475*44/12</f>
        <v>0.7519879531477357</v>
      </c>
      <c r="AB95" s="21">
        <f>EXP(-LN(2)/2)*AB94+(1-EXP(-LN(2)/2))/(LN(2)/2)*V95*Y95*VLOOKUP('Données projet'!$B$9,Paramètres!$A$1:$I$89,3,0)*0.475*44/12</f>
        <v>2.841800919488944E-9</v>
      </c>
      <c r="AC95" s="22">
        <f t="shared" si="57"/>
        <v>1.7282570275432398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267.69599999999986</v>
      </c>
      <c r="AK95" s="13">
        <f t="shared" si="89"/>
        <v>64.360058723585439</v>
      </c>
      <c r="AL95" s="20">
        <f t="shared" si="58"/>
        <v>578.33096894357766</v>
      </c>
      <c r="AM95" s="59">
        <f t="shared" si="59"/>
        <v>871.66430227691103</v>
      </c>
      <c r="AN95" s="59">
        <f ca="1">AVERAGE(OFFSET($AM$3,0,0,'Données projet'!$E$10+1,1))-AVERAGE(OFFSET($H$3,0,0,'Données projet'!$E$10+1,1))</f>
        <v>272.93635583300755</v>
      </c>
      <c r="AO95" s="59">
        <f t="shared" si="90"/>
        <v>179.56041631665812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1.0940946491550123</v>
      </c>
      <c r="AV95" s="21">
        <f>EXP(-LN(2)/25)*AV94+(1-EXP(-LN(2)/25))/(LN(2)/25)*Calculateur!AQ95*Calculateur!AS95*VLOOKUP('Données projet'!$B$10,Paramètres!$A$1:$I$89,3,0)*0.475*44/12</f>
        <v>0.84274511990694545</v>
      </c>
      <c r="AW95" s="21">
        <f>EXP(-LN(2)/2)*AW94+(1-EXP(-LN(2)/2))/(LN(2)/2)*AQ95*AT95*VLOOKUP('Données projet'!$B$10,Paramètres!$A$1:$I$89,3,0)*0.475*44/12</f>
        <v>3.1847768925307142E-9</v>
      </c>
      <c r="AX95" s="21">
        <f t="shared" si="60"/>
        <v>1.9368397722467345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527.49999999999989</v>
      </c>
      <c r="BE95" s="13">
        <f>BD95*VLOOKUP('Données projet'!$B$11,Paramètres!$A$1:$I$89,3,0)*VLOOKUP('Données projet'!$B$11,Paramètres!$A$1:$I$89,5,0)</f>
        <v>246.86999999999995</v>
      </c>
      <c r="BF95" s="13">
        <f t="shared" si="91"/>
        <v>59.91520778876734</v>
      </c>
      <c r="BG95" s="20">
        <f t="shared" si="61"/>
        <v>534.31757023210309</v>
      </c>
      <c r="BH95" s="59">
        <f t="shared" si="62"/>
        <v>827.65090356543647</v>
      </c>
      <c r="BI95" s="59">
        <f ca="1">AVERAGE(OFFSET($BH$3,0,0,'Données projet'!$E$11+1,1))-AVERAGE(OFFSET($H$3,0,0,'Données projet'!$E$11+1,1))</f>
        <v>226.0452828290525</v>
      </c>
      <c r="BJ95" s="59">
        <f t="shared" si="92"/>
        <v>179.89696397462069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2.6585776505680858</v>
      </c>
      <c r="BQ95" s="21">
        <f>EXP(-LN(2)/25)*BQ94+(1-EXP(-LN(2)/25))/(LN(2)/25)*Calculateur!BL95*Calculateur!BN95*VLOOKUP('Données projet'!$B$11,Paramètres!$A$1:$I$89,3,0)*0.475*44/12</f>
        <v>1.9988117683784412</v>
      </c>
      <c r="BR95" s="21">
        <f>EXP(-LN(2)/2)*BR94+(1-EXP(-LN(2)/2))/(LN(2)/2)*BL95*BO95*VLOOKUP('Données projet'!$B$11,Paramètres!$A$1:$I$89,3,0)*0.475*44/12</f>
        <v>5.1423575000830014E-9</v>
      </c>
      <c r="BS95" s="22">
        <f t="shared" si="63"/>
        <v>4.6573894240888851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-1.7053025658242404E-13</v>
      </c>
      <c r="BZ95" s="13">
        <f>BY95*VLOOKUP('Données projet'!$B$12,Paramètres!$A$1:$I$89,3,0)*VLOOKUP('Données projet'!$B$12,Paramètres!$A$1:$I$89,5,0)</f>
        <v>-1.3567387213697657E-13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219.43439115440339</v>
      </c>
      <c r="CE95" s="59">
        <f t="shared" si="94"/>
        <v>217.8880462742099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2.466748965564872</v>
      </c>
      <c r="CL95" s="21">
        <f>EXP(-LN(2)/25)*CL94+(1-EXP(-LN(2)/25))/(LN(2)/25)*Calculateur!CG95*Calculateur!CI95*VLOOKUP('Données projet'!$B$12,Paramètres!$A$1:$I$89,3,0)*0.475*44/12</f>
        <v>1.9381253862988537</v>
      </c>
      <c r="CM95" s="21">
        <f>EXP(-LN(2)/2)*CM94+(1-EXP(-LN(2)/2))/(LN(2)/2)*CG95*CJ95*VLOOKUP('Données projet'!$B$12,Paramètres!$A$1:$I$89,3,0)*0.475*44/12</f>
        <v>4.1782150840503375E-9</v>
      </c>
      <c r="CN95" s="22">
        <f t="shared" si="66"/>
        <v>4.4048743560419403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237.64646718446005</v>
      </c>
      <c r="T96" s="59">
        <f t="shared" si="88"/>
        <v>156.67965022779907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0.95712503052587128</v>
      </c>
      <c r="AA96" s="21">
        <f>EXP(-LN(2)/25)*AA95+(1-EXP(-LN(2)/25))/(LN(2)/25)*Calculateur!V96*Calculateur!X96*VLOOKUP('Données projet'!$B$9,Paramètres!$A$1:$I$89,3,0)*0.475*44/12</f>
        <v>0.73142480302358315</v>
      </c>
      <c r="AB96" s="21">
        <f>EXP(-LN(2)/2)*AB95+(1-EXP(-LN(2)/2))/(LN(2)/2)*V96*Y96*VLOOKUP('Données projet'!$B$9,Paramètres!$A$1:$I$89,3,0)*0.475*44/12</f>
        <v>2.0094567009527983E-9</v>
      </c>
      <c r="AC96" s="22">
        <f t="shared" si="57"/>
        <v>1.688549835558911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272.76599999999985</v>
      </c>
      <c r="AK96" s="13">
        <f t="shared" si="89"/>
        <v>65.43593563008757</v>
      </c>
      <c r="AL96" s="20">
        <f t="shared" si="58"/>
        <v>589.03503788906892</v>
      </c>
      <c r="AM96" s="59">
        <f t="shared" si="59"/>
        <v>882.36837122240217</v>
      </c>
      <c r="AN96" s="59">
        <f ca="1">AVERAGE(OFFSET($AM$3,0,0,'Données projet'!$E$10+1,1))-AVERAGE(OFFSET($H$3,0,0,'Données projet'!$E$10+1,1))</f>
        <v>272.93635583300755</v>
      </c>
      <c r="AO96" s="59">
        <f t="shared" si="90"/>
        <v>179.56041631665812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1.0726401204169249</v>
      </c>
      <c r="AV96" s="21">
        <f>EXP(-LN(2)/25)*AV95+(1-EXP(-LN(2)/25))/(LN(2)/25)*Calculateur!AQ96*Calculateur!AS96*VLOOKUP('Données projet'!$B$10,Paramètres!$A$1:$I$89,3,0)*0.475*44/12</f>
        <v>0.81970021028505025</v>
      </c>
      <c r="AW96" s="21">
        <f>EXP(-LN(2)/2)*AW95+(1-EXP(-LN(2)/2))/(LN(2)/2)*AQ96*AT96*VLOOKUP('Données projet'!$B$10,Paramètres!$A$1:$I$89,3,0)*0.475*44/12</f>
        <v>2.2519773372746885E-9</v>
      </c>
      <c r="AX96" s="21">
        <f t="shared" si="60"/>
        <v>1.8923403329539523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545.99999999999989</v>
      </c>
      <c r="BE96" s="13">
        <f>BD96*VLOOKUP('Données projet'!$B$11,Paramètres!$A$1:$I$89,3,0)*VLOOKUP('Données projet'!$B$11,Paramètres!$A$1:$I$89,5,0)</f>
        <v>255.52799999999993</v>
      </c>
      <c r="BF96" s="13">
        <f t="shared" si="91"/>
        <v>61.768167868721477</v>
      </c>
      <c r="BG96" s="20">
        <f t="shared" si="61"/>
        <v>552.62415903802309</v>
      </c>
      <c r="BH96" s="59">
        <f t="shared" si="62"/>
        <v>845.95749237135647</v>
      </c>
      <c r="BI96" s="59">
        <f ca="1">AVERAGE(OFFSET($BH$3,0,0,'Données projet'!$E$11+1,1))-AVERAGE(OFFSET($H$3,0,0,'Données projet'!$E$11+1,1))</f>
        <v>226.0452828290525</v>
      </c>
      <c r="BJ96" s="59">
        <f t="shared" si="92"/>
        <v>179.89696397462069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2.6064445644126955</v>
      </c>
      <c r="BQ96" s="21">
        <f>EXP(-LN(2)/25)*BQ95+(1-EXP(-LN(2)/25))/(LN(2)/25)*Calculateur!BL96*Calculateur!BN96*VLOOKUP('Données projet'!$B$11,Paramètres!$A$1:$I$89,3,0)*0.475*44/12</f>
        <v>1.9441541554591901</v>
      </c>
      <c r="BR96" s="21">
        <f>EXP(-LN(2)/2)*BR95+(1-EXP(-LN(2)/2))/(LN(2)/2)*BL96*BO96*VLOOKUP('Données projet'!$B$11,Paramètres!$A$1:$I$89,3,0)*0.475*44/12</f>
        <v>3.6361958595941927E-9</v>
      </c>
      <c r="BS96" s="22">
        <f t="shared" si="63"/>
        <v>4.5505987235080818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-1.7053025658242404E-13</v>
      </c>
      <c r="BZ96" s="13">
        <f>BY96*VLOOKUP('Données projet'!$B$12,Paramètres!$A$1:$I$89,3,0)*VLOOKUP('Données projet'!$B$12,Paramètres!$A$1:$I$89,5,0)</f>
        <v>-1.3567387213697657E-13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219.43439115440339</v>
      </c>
      <c r="CE96" s="59">
        <f t="shared" si="94"/>
        <v>217.8880462742099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2.4183775229184499</v>
      </c>
      <c r="CL96" s="21">
        <f>EXP(-LN(2)/25)*CL95+(1-EXP(-LN(2)/25))/(LN(2)/25)*Calculateur!CG96*Calculateur!CI96*VLOOKUP('Données projet'!$B$12,Paramètres!$A$1:$I$89,3,0)*0.475*44/12</f>
        <v>1.8851272456889272</v>
      </c>
      <c r="CM96" s="21">
        <f>EXP(-LN(2)/2)*CM95+(1-EXP(-LN(2)/2))/(LN(2)/2)*CG96*CJ96*VLOOKUP('Données projet'!$B$12,Paramètres!$A$1:$I$89,3,0)*0.475*44/12</f>
        <v>2.9544442191879144E-9</v>
      </c>
      <c r="CN96" s="22">
        <f t="shared" si="66"/>
        <v>4.3035047715618209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237.64646718446005</v>
      </c>
      <c r="T97" s="59">
        <f t="shared" si="88"/>
        <v>156.67965022779907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0.9383563924658832</v>
      </c>
      <c r="AA97" s="21">
        <f>EXP(-LN(2)/25)*AA96+(1-EXP(-LN(2)/25))/(LN(2)/25)*Calculateur!V97*Calculateur!X97*VLOOKUP('Données projet'!$B$9,Paramètres!$A$1:$I$89,3,0)*0.475*44/12</f>
        <v>0.71142395332094455</v>
      </c>
      <c r="AB97" s="21">
        <f>EXP(-LN(2)/2)*AB96+(1-EXP(-LN(2)/2))/(LN(2)/2)*V97*Y97*VLOOKUP('Données projet'!$B$9,Paramètres!$A$1:$I$89,3,0)*0.475*44/12</f>
        <v>1.420900459744472E-9</v>
      </c>
      <c r="AC97" s="22">
        <f t="shared" si="57"/>
        <v>1.6497803472077284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277.83599999999984</v>
      </c>
      <c r="AK97" s="13">
        <f t="shared" si="89"/>
        <v>66.509487177652261</v>
      </c>
      <c r="AL97" s="20">
        <f t="shared" si="58"/>
        <v>599.73505683441078</v>
      </c>
      <c r="AM97" s="59">
        <f t="shared" si="59"/>
        <v>893.06839016774416</v>
      </c>
      <c r="AN97" s="59">
        <f ca="1">AVERAGE(OFFSET($AM$3,0,0,'Données projet'!$E$10+1,1))-AVERAGE(OFFSET($H$3,0,0,'Données projet'!$E$10+1,1))</f>
        <v>272.93635583300755</v>
      </c>
      <c r="AO97" s="59">
        <f t="shared" si="90"/>
        <v>179.56041631665812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1.051606301901421</v>
      </c>
      <c r="AV97" s="21">
        <f>EXP(-LN(2)/25)*AV96+(1-EXP(-LN(2)/25))/(LN(2)/25)*Calculateur!AQ97*Calculateur!AS97*VLOOKUP('Données projet'!$B$10,Paramètres!$A$1:$I$89,3,0)*0.475*44/12</f>
        <v>0.79728546492864494</v>
      </c>
      <c r="AW97" s="21">
        <f>EXP(-LN(2)/2)*AW96+(1-EXP(-LN(2)/2))/(LN(2)/2)*AQ97*AT97*VLOOKUP('Données projet'!$B$10,Paramètres!$A$1:$I$89,3,0)*0.475*44/12</f>
        <v>1.5923884462653571E-9</v>
      </c>
      <c r="AX97" s="21">
        <f t="shared" si="60"/>
        <v>1.8488917684224544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564.49999999999989</v>
      </c>
      <c r="BE97" s="13">
        <f>BD97*VLOOKUP('Données projet'!$B$11,Paramètres!$A$1:$I$89,3,0)*VLOOKUP('Données projet'!$B$11,Paramètres!$A$1:$I$89,5,0)</f>
        <v>264.18599999999992</v>
      </c>
      <c r="BF97" s="13">
        <f t="shared" si="91"/>
        <v>63.613832873262751</v>
      </c>
      <c r="BG97" s="20">
        <f t="shared" si="61"/>
        <v>570.91804225426574</v>
      </c>
      <c r="BH97" s="59">
        <f t="shared" si="62"/>
        <v>864.25137558759911</v>
      </c>
      <c r="BI97" s="59">
        <f ca="1">AVERAGE(OFFSET($BH$3,0,0,'Données projet'!$E$11+1,1))-AVERAGE(OFFSET($H$3,0,0,'Données projet'!$E$11+1,1))</f>
        <v>226.0452828290525</v>
      </c>
      <c r="BJ97" s="59">
        <f t="shared" si="92"/>
        <v>179.89696397462069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2.5553337762787698</v>
      </c>
      <c r="BQ97" s="21">
        <f>EXP(-LN(2)/25)*BQ96+(1-EXP(-LN(2)/25))/(LN(2)/25)*Calculateur!BL97*Calculateur!BN97*VLOOKUP('Données projet'!$B$11,Paramètres!$A$1:$I$89,3,0)*0.475*44/12</f>
        <v>1.8909911578395349</v>
      </c>
      <c r="BR97" s="21">
        <f>EXP(-LN(2)/2)*BR96+(1-EXP(-LN(2)/2))/(LN(2)/2)*BL97*BO97*VLOOKUP('Données projet'!$B$11,Paramètres!$A$1:$I$89,3,0)*0.475*44/12</f>
        <v>2.5711787500415011E-9</v>
      </c>
      <c r="BS97" s="22">
        <f t="shared" si="63"/>
        <v>4.4463249366894839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-1.7053025658242404E-13</v>
      </c>
      <c r="BZ97" s="13">
        <f>BY97*VLOOKUP('Données projet'!$B$12,Paramètres!$A$1:$I$89,3,0)*VLOOKUP('Données projet'!$B$12,Paramètres!$A$1:$I$89,5,0)</f>
        <v>-1.3567387213697657E-13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219.43439115440339</v>
      </c>
      <c r="CE97" s="59">
        <f t="shared" si="94"/>
        <v>217.8880462742099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2.3709546147586575</v>
      </c>
      <c r="CL97" s="21">
        <f>EXP(-LN(2)/25)*CL96+(1-EXP(-LN(2)/25))/(LN(2)/25)*Calculateur!CG97*Calculateur!CI97*VLOOKUP('Données projet'!$B$12,Paramètres!$A$1:$I$89,3,0)*0.475*44/12</f>
        <v>1.8335783420210301</v>
      </c>
      <c r="CM97" s="21">
        <f>EXP(-LN(2)/2)*CM96+(1-EXP(-LN(2)/2))/(LN(2)/2)*CG97*CJ97*VLOOKUP('Données projet'!$B$12,Paramètres!$A$1:$I$89,3,0)*0.475*44/12</f>
        <v>2.0891075420251688E-9</v>
      </c>
      <c r="CN97" s="22">
        <f t="shared" si="66"/>
        <v>4.2045329588687954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237.64646718446005</v>
      </c>
      <c r="T98" s="59">
        <f t="shared" si="88"/>
        <v>156.67965022779907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0.91995579595051269</v>
      </c>
      <c r="AA98" s="21">
        <f>EXP(-LN(2)/25)*AA97+(1-EXP(-LN(2)/25))/(LN(2)/25)*Calculateur!V98*Calculateur!X98*VLOOKUP('Données projet'!$B$9,Paramètres!$A$1:$I$89,3,0)*0.475*44/12</f>
        <v>0.69197002790522355</v>
      </c>
      <c r="AB98" s="21">
        <f>EXP(-LN(2)/2)*AB97+(1-EXP(-LN(2)/2))/(LN(2)/2)*V98*Y98*VLOOKUP('Données projet'!$B$9,Paramètres!$A$1:$I$89,3,0)*0.475*44/12</f>
        <v>1.0047283504763992E-9</v>
      </c>
      <c r="AC98" s="22">
        <f t="shared" si="57"/>
        <v>1.6119258248604647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903.76444154226488</v>
      </c>
      <c r="AN98" s="59">
        <f ca="1">AVERAGE(OFFSET($AM$3,0,0,'Données projet'!$E$10+1,1))-AVERAGE(OFFSET($H$3,0,0,'Données projet'!$E$10+1,1))</f>
        <v>272.93635583300755</v>
      </c>
      <c r="AO98" s="59">
        <f t="shared" si="90"/>
        <v>179.56041631665812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1.0309849437376437</v>
      </c>
      <c r="AV98" s="21">
        <f>EXP(-LN(2)/25)*AV97+(1-EXP(-LN(2)/25))/(LN(2)/25)*Calculateur!AQ98*Calculateur!AS98*VLOOKUP('Données projet'!$B$10,Paramètres!$A$1:$I$89,3,0)*0.475*44/12</f>
        <v>0.77548365196275071</v>
      </c>
      <c r="AW98" s="21">
        <f>EXP(-LN(2)/2)*AW97+(1-EXP(-LN(2)/2))/(LN(2)/2)*AQ98*AT98*VLOOKUP('Données projet'!$B$10,Paramètres!$A$1:$I$89,3,0)*0.475*44/12</f>
        <v>1.1259886686373443E-9</v>
      </c>
      <c r="AX98" s="21">
        <f t="shared" si="60"/>
        <v>1.8064685968263832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582.99999999999989</v>
      </c>
      <c r="BE98" s="13">
        <f>BD98*VLOOKUP('Données projet'!$B$11,Paramètres!$A$1:$I$89,3,0)*VLOOKUP('Données projet'!$B$11,Paramètres!$A$1:$I$89,5,0)</f>
        <v>272.84399999999994</v>
      </c>
      <c r="BF98" s="13">
        <f t="shared" si="91"/>
        <v>65.452469296244189</v>
      </c>
      <c r="BG98" s="20">
        <f t="shared" si="61"/>
        <v>589.19968402429186</v>
      </c>
      <c r="BH98" s="59">
        <f t="shared" si="62"/>
        <v>882.53301735762511</v>
      </c>
      <c r="BI98" s="59">
        <f ca="1">AVERAGE(OFFSET($BH$3,0,0,'Données projet'!$E$11+1,1))-AVERAGE(OFFSET($H$3,0,0,'Données projet'!$E$11+1,1))</f>
        <v>226.0452828290525</v>
      </c>
      <c r="BJ98" s="59">
        <f t="shared" si="92"/>
        <v>179.89696397462069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2.5052252395256476</v>
      </c>
      <c r="BQ98" s="21">
        <f>EXP(-LN(2)/25)*BQ97+(1-EXP(-LN(2)/25))/(LN(2)/25)*Calculateur!BL98*Calculateur!BN98*VLOOKUP('Données projet'!$B$11,Paramètres!$A$1:$I$89,3,0)*0.475*44/12</f>
        <v>1.8392819051855096</v>
      </c>
      <c r="BR98" s="21">
        <f>EXP(-LN(2)/2)*BR97+(1-EXP(-LN(2)/2))/(LN(2)/2)*BL98*BO98*VLOOKUP('Données projet'!$B$11,Paramètres!$A$1:$I$89,3,0)*0.475*44/12</f>
        <v>1.8180979297970966E-9</v>
      </c>
      <c r="BS98" s="22">
        <f t="shared" si="63"/>
        <v>4.3445071465292546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-1.7053025658242404E-13</v>
      </c>
      <c r="BZ98" s="13">
        <f>BY98*VLOOKUP('Données projet'!$B$12,Paramètres!$A$1:$I$89,3,0)*VLOOKUP('Données projet'!$B$12,Paramètres!$A$1:$I$89,5,0)</f>
        <v>-1.3567387213697657E-13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219.43439115440339</v>
      </c>
      <c r="CE98" s="59">
        <f t="shared" si="94"/>
        <v>217.8880462742099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2.324461640902761</v>
      </c>
      <c r="CL98" s="21">
        <f>EXP(-LN(2)/25)*CL97+(1-EXP(-LN(2)/25))/(LN(2)/25)*Calculateur!CG98*Calculateur!CI98*VLOOKUP('Données projet'!$B$12,Paramètres!$A$1:$I$89,3,0)*0.475*44/12</f>
        <v>1.7834390458347706</v>
      </c>
      <c r="CM98" s="21">
        <f>EXP(-LN(2)/2)*CM97+(1-EXP(-LN(2)/2))/(LN(2)/2)*CG98*CJ98*VLOOKUP('Données projet'!$B$12,Paramètres!$A$1:$I$89,3,0)*0.475*44/12</f>
        <v>1.4772221095939572E-9</v>
      </c>
      <c r="CN98" s="22">
        <f t="shared" si="66"/>
        <v>4.1079006882147535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237.64646718446005</v>
      </c>
      <c r="T99" s="59">
        <f t="shared" si="88"/>
        <v>156.67965022779907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0.90191602390955294</v>
      </c>
      <c r="AA99" s="21">
        <f>EXP(-LN(2)/25)*AA98+(1-EXP(-LN(2)/25))/(LN(2)/25)*Calculateur!V99*Calculateur!X99*VLOOKUP('Données projet'!$B$9,Paramètres!$A$1:$I$89,3,0)*0.475*44/12</f>
        <v>0.673048071103033</v>
      </c>
      <c r="AB99" s="21">
        <f>EXP(-LN(2)/2)*AB98+(1-EXP(-LN(2)/2))/(LN(2)/2)*V99*Y99*VLOOKUP('Données projet'!$B$9,Paramètres!$A$1:$I$89,3,0)*0.475*44/12</f>
        <v>7.1045022987223601E-10</v>
      </c>
      <c r="AC99" s="22">
        <f t="shared" si="57"/>
        <v>1.574964095723036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869.09471363668263</v>
      </c>
      <c r="AN99" s="59">
        <f ca="1">AVERAGE(OFFSET($AM$3,0,0,'Données projet'!$E$10+1,1))-AVERAGE(OFFSET($H$3,0,0,'Données projet'!$E$10+1,1))</f>
        <v>272.93635583300755</v>
      </c>
      <c r="AO99" s="59">
        <f t="shared" si="90"/>
        <v>179.56041631665812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1.0107679578296715</v>
      </c>
      <c r="AV99" s="21">
        <f>EXP(-LN(2)/25)*AV98+(1-EXP(-LN(2)/25))/(LN(2)/25)*Calculateur!AQ99*Calculateur!AS99*VLOOKUP('Données projet'!$B$10,Paramètres!$A$1:$I$89,3,0)*0.475*44/12</f>
        <v>0.75427801071891643</v>
      </c>
      <c r="AW99" s="21">
        <f>EXP(-LN(2)/2)*AW98+(1-EXP(-LN(2)/2))/(LN(2)/2)*AQ99*AT99*VLOOKUP('Données projet'!$B$10,Paramètres!$A$1:$I$89,3,0)*0.475*44/12</f>
        <v>7.9619422313267856E-10</v>
      </c>
      <c r="AX99" s="21">
        <f t="shared" si="60"/>
        <v>1.7650459693447822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601.49999999999989</v>
      </c>
      <c r="BE99" s="13">
        <f>BD99*VLOOKUP('Données projet'!$B$11,Paramètres!$A$1:$I$89,3,0)*VLOOKUP('Données projet'!$B$11,Paramètres!$A$1:$I$89,5,0)</f>
        <v>281.50199999999995</v>
      </c>
      <c r="BF99" s="13">
        <f t="shared" si="91"/>
        <v>67.28432575810065</v>
      </c>
      <c r="BG99" s="20">
        <f t="shared" si="61"/>
        <v>607.46951736202516</v>
      </c>
      <c r="BH99" s="59">
        <f t="shared" si="62"/>
        <v>900.80285069535853</v>
      </c>
      <c r="BI99" s="59">
        <f ca="1">AVERAGE(OFFSET($BH$3,0,0,'Données projet'!$E$11+1,1))-AVERAGE(OFFSET($H$3,0,0,'Données projet'!$E$11+1,1))</f>
        <v>226.0452828290525</v>
      </c>
      <c r="BJ99" s="59">
        <f t="shared" si="92"/>
        <v>179.89696397462069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2.4560993006150649</v>
      </c>
      <c r="BQ99" s="21">
        <f>EXP(-LN(2)/25)*BQ98+(1-EXP(-LN(2)/25))/(LN(2)/25)*Calculateur!BL99*Calculateur!BN99*VLOOKUP('Données projet'!$B$11,Paramètres!$A$1:$I$89,3,0)*0.475*44/12</f>
        <v>1.7889866447645801</v>
      </c>
      <c r="BR99" s="21">
        <f>EXP(-LN(2)/2)*BR98+(1-EXP(-LN(2)/2))/(LN(2)/2)*BL99*BO99*VLOOKUP('Données projet'!$B$11,Paramètres!$A$1:$I$89,3,0)*0.475*44/12</f>
        <v>1.2855893750207508E-9</v>
      </c>
      <c r="BS99" s="22">
        <f t="shared" si="63"/>
        <v>4.2450859466652346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-1.7053025658242404E-13</v>
      </c>
      <c r="BZ99" s="13">
        <f>BY99*VLOOKUP('Données projet'!$B$12,Paramètres!$A$1:$I$89,3,0)*VLOOKUP('Données projet'!$B$12,Paramètres!$A$1:$I$89,5,0)</f>
        <v>-1.3567387213697657E-13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219.43439115440339</v>
      </c>
      <c r="CE99" s="59">
        <f t="shared" si="94"/>
        <v>217.8880462742099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2.2788803659062644</v>
      </c>
      <c r="CL99" s="21">
        <f>EXP(-LN(2)/25)*CL98+(1-EXP(-LN(2)/25))/(LN(2)/25)*Calculateur!CG99*Calculateur!CI99*VLOOKUP('Données projet'!$B$12,Paramètres!$A$1:$I$89,3,0)*0.475*44/12</f>
        <v>1.7346708113394356</v>
      </c>
      <c r="CM99" s="21">
        <f>EXP(-LN(2)/2)*CM98+(1-EXP(-LN(2)/2))/(LN(2)/2)*CG99*CJ99*VLOOKUP('Données projet'!$B$12,Paramètres!$A$1:$I$89,3,0)*0.475*44/12</f>
        <v>1.0445537710125844E-9</v>
      </c>
      <c r="CN99" s="22">
        <f t="shared" si="66"/>
        <v>4.0135511782902542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237.64646718446005</v>
      </c>
      <c r="T100" s="59">
        <f t="shared" si="88"/>
        <v>156.67965022779907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0.88423000079514191</v>
      </c>
      <c r="AA100" s="21">
        <f>EXP(-LN(2)/25)*AA99+(1-EXP(-LN(2)/25))/(LN(2)/25)*Calculateur!V100*Calculateur!X100*VLOOKUP('Données projet'!$B$9,Paramètres!$A$1:$I$89,3,0)*0.475*44/12</f>
        <v>0.65464353620466076</v>
      </c>
      <c r="AB100" s="21">
        <f>EXP(-LN(2)/2)*AB99+(1-EXP(-LN(2)/2))/(LN(2)/2)*V100*Y100*VLOOKUP('Données projet'!$B$9,Paramètres!$A$1:$I$89,3,0)*0.475*44/12</f>
        <v>5.0236417523819958E-10</v>
      </c>
      <c r="AC100" s="22">
        <f t="shared" si="57"/>
        <v>1.5388735375021667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879.37164378227862</v>
      </c>
      <c r="AN100" s="59">
        <f ca="1">AVERAGE(OFFSET($AM$3,0,0,'Données projet'!$E$10+1,1))-AVERAGE(OFFSET($H$3,0,0,'Données projet'!$E$10+1,1))</f>
        <v>272.93635583300755</v>
      </c>
      <c r="AO100" s="59">
        <f t="shared" si="90"/>
        <v>179.56041631665812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0.99094741468421088</v>
      </c>
      <c r="AV100" s="21">
        <f>EXP(-LN(2)/25)*AV99+(1-EXP(-LN(2)/25))/(LN(2)/25)*Calculateur!AQ100*Calculateur!AS100*VLOOKUP('Données projet'!$B$10,Paramètres!$A$1:$I$89,3,0)*0.475*44/12</f>
        <v>0.73365223885005104</v>
      </c>
      <c r="AW100" s="21">
        <f>EXP(-LN(2)/2)*AW99+(1-EXP(-LN(2)/2))/(LN(2)/2)*AQ100*AT100*VLOOKUP('Données projet'!$B$10,Paramètres!$A$1:$I$89,3,0)*0.475*44/12</f>
        <v>5.6299433431867213E-10</v>
      </c>
      <c r="AX100" s="21">
        <f t="shared" si="60"/>
        <v>1.7245996540972561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619.99999999999989</v>
      </c>
      <c r="BE100" s="13">
        <f>BD100*VLOOKUP('Données projet'!$B$11,Paramètres!$A$1:$I$89,3,0)*VLOOKUP('Données projet'!$B$11,Paramètres!$A$1:$I$89,5,0)</f>
        <v>290.15999999999997</v>
      </c>
      <c r="BF100" s="13">
        <f t="shared" si="91"/>
        <v>69.109634717039938</v>
      </c>
      <c r="BG100" s="20">
        <f t="shared" si="61"/>
        <v>625.72794713217797</v>
      </c>
      <c r="BH100" s="59">
        <f t="shared" si="62"/>
        <v>919.06128046551135</v>
      </c>
      <c r="BI100" s="59">
        <f ca="1">AVERAGE(OFFSET($BH$3,0,0,'Données projet'!$E$11+1,1))-AVERAGE(OFFSET($H$3,0,0,'Données projet'!$E$11+1,1))</f>
        <v>226.0452828290525</v>
      </c>
      <c r="BJ100" s="59">
        <f t="shared" si="92"/>
        <v>179.89696397462069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2.4079366914026545</v>
      </c>
      <c r="BQ100" s="21">
        <f>EXP(-LN(2)/25)*BQ99+(1-EXP(-LN(2)/25))/(LN(2)/25)*Calculateur!BL100*Calculateur!BN100*VLOOKUP('Données projet'!$B$11,Paramètres!$A$1:$I$89,3,0)*0.475*44/12</f>
        <v>1.7400667108847738</v>
      </c>
      <c r="BR100" s="21">
        <f>EXP(-LN(2)/2)*BR99+(1-EXP(-LN(2)/2))/(LN(2)/2)*BL100*BO100*VLOOKUP('Données projet'!$B$11,Paramètres!$A$1:$I$89,3,0)*0.475*44/12</f>
        <v>9.0904896489854849E-10</v>
      </c>
      <c r="BS100" s="22">
        <f t="shared" si="63"/>
        <v>4.1480034031964772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-1.7053025658242404E-13</v>
      </c>
      <c r="BZ100" s="13">
        <f>BY100*VLOOKUP('Données projet'!$B$12,Paramètres!$A$1:$I$89,3,0)*VLOOKUP('Données projet'!$B$12,Paramètres!$A$1:$I$89,5,0)</f>
        <v>-1.3567387213697657E-13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219.43439115440339</v>
      </c>
      <c r="CE100" s="59">
        <f t="shared" si="94"/>
        <v>217.8880462742099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2.2341929119106165</v>
      </c>
      <c r="CL100" s="21">
        <f>EXP(-LN(2)/25)*CL99+(1-EXP(-LN(2)/25))/(LN(2)/25)*Calculateur!CG100*Calculateur!CI100*VLOOKUP('Données projet'!$B$12,Paramètres!$A$1:$I$89,3,0)*0.475*44/12</f>
        <v>1.6872361467809853</v>
      </c>
      <c r="CM100" s="21">
        <f>EXP(-LN(2)/2)*CM99+(1-EXP(-LN(2)/2))/(LN(2)/2)*CG100*CJ100*VLOOKUP('Données projet'!$B$12,Paramètres!$A$1:$I$89,3,0)*0.475*44/12</f>
        <v>7.3861105479697859E-10</v>
      </c>
      <c r="CN100" s="22">
        <f t="shared" si="66"/>
        <v>3.9214290594302126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237.64646718446005</v>
      </c>
      <c r="T101" s="59">
        <f t="shared" si="88"/>
        <v>156.67965022779907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0.86689078980659551</v>
      </c>
      <c r="AA101" s="21">
        <f>EXP(-LN(2)/25)*AA100+(1-EXP(-LN(2)/25))/(LN(2)/25)*Calculateur!V101*Calculateur!X101*VLOOKUP('Données projet'!$B$9,Paramètres!$A$1:$I$89,3,0)*0.475*44/12</f>
        <v>0.63674227428093699</v>
      </c>
      <c r="AB101" s="21">
        <f>EXP(-LN(2)/2)*AB100+(1-EXP(-LN(2)/2))/(LN(2)/2)*V101*Y101*VLOOKUP('Données projet'!$B$9,Paramètres!$A$1:$I$89,3,0)*0.475*44/12</f>
        <v>3.5522511493611801E-10</v>
      </c>
      <c r="AC101" s="22">
        <f t="shared" si="57"/>
        <v>1.5036330644427576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889.64481965852792</v>
      </c>
      <c r="AN101" s="59">
        <f ca="1">AVERAGE(OFFSET($AM$3,0,0,'Données projet'!$E$10+1,1))-AVERAGE(OFFSET($H$3,0,0,'Données projet'!$E$10+1,1))</f>
        <v>272.93635583300755</v>
      </c>
      <c r="AO101" s="59">
        <f t="shared" si="90"/>
        <v>179.56041631665812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0.97151554030049514</v>
      </c>
      <c r="AV101" s="21">
        <f>EXP(-LN(2)/25)*AV100+(1-EXP(-LN(2)/25))/(LN(2)/25)*Calculateur!AQ101*Calculateur!AS101*VLOOKUP('Données projet'!$B$10,Paramètres!$A$1:$I$89,3,0)*0.475*44/12</f>
        <v>0.71359047979760193</v>
      </c>
      <c r="AW101" s="21">
        <f>EXP(-LN(2)/2)*AW100+(1-EXP(-LN(2)/2))/(LN(2)/2)*AQ101*AT101*VLOOKUP('Données projet'!$B$10,Paramètres!$A$1:$I$89,3,0)*0.475*44/12</f>
        <v>3.9809711156633928E-10</v>
      </c>
      <c r="AX101" s="21">
        <f t="shared" si="60"/>
        <v>1.6851060204961943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638.49999999999989</v>
      </c>
      <c r="BE101" s="13">
        <f>BD101*VLOOKUP('Données projet'!$B$11,Paramètres!$A$1:$I$89,3,0)*VLOOKUP('Données projet'!$B$11,Paramètres!$A$1:$I$89,5,0)</f>
        <v>298.81799999999993</v>
      </c>
      <c r="BF101" s="13">
        <f t="shared" si="91"/>
        <v>70.928613970256563</v>
      </c>
      <c r="BG101" s="20">
        <f t="shared" si="61"/>
        <v>643.97535266486341</v>
      </c>
      <c r="BH101" s="59">
        <f t="shared" si="62"/>
        <v>937.30868599819678</v>
      </c>
      <c r="BI101" s="59">
        <f ca="1">AVERAGE(OFFSET($BH$3,0,0,'Données projet'!$E$11+1,1))-AVERAGE(OFFSET($H$3,0,0,'Données projet'!$E$11+1,1))</f>
        <v>226.0452828290525</v>
      </c>
      <c r="BJ101" s="59">
        <f t="shared" si="92"/>
        <v>179.89696397462069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2.3607185215806084</v>
      </c>
      <c r="BQ101" s="21">
        <f>EXP(-LN(2)/25)*BQ100+(1-EXP(-LN(2)/25))/(LN(2)/25)*Calculateur!BL101*Calculateur!BN101*VLOOKUP('Données projet'!$B$11,Paramètres!$A$1:$I$89,3,0)*0.475*44/12</f>
        <v>1.6924844951694984</v>
      </c>
      <c r="BR101" s="21">
        <f>EXP(-LN(2)/2)*BR100+(1-EXP(-LN(2)/2))/(LN(2)/2)*BL101*BO101*VLOOKUP('Données projet'!$B$11,Paramètres!$A$1:$I$89,3,0)*0.475*44/12</f>
        <v>6.4279468751037549E-10</v>
      </c>
      <c r="BS101" s="22">
        <f t="shared" si="63"/>
        <v>4.0532030173929012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-1.7053025658242404E-13</v>
      </c>
      <c r="BZ101" s="13">
        <f>BY101*VLOOKUP('Données projet'!$B$12,Paramètres!$A$1:$I$89,3,0)*VLOOKUP('Données projet'!$B$12,Paramètres!$A$1:$I$89,5,0)</f>
        <v>-1.3567387213697657E-13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219.43439115440339</v>
      </c>
      <c r="CE101" s="59">
        <f t="shared" si="94"/>
        <v>217.8880462742099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2.1903817516311679</v>
      </c>
      <c r="CL101" s="21">
        <f>EXP(-LN(2)/25)*CL100+(1-EXP(-LN(2)/25))/(LN(2)/25)*Calculateur!CG101*Calculateur!CI101*VLOOKUP('Données projet'!$B$12,Paramètres!$A$1:$I$89,3,0)*0.475*44/12</f>
        <v>1.6410985856193665</v>
      </c>
      <c r="CM101" s="21">
        <f>EXP(-LN(2)/2)*CM100+(1-EXP(-LN(2)/2))/(LN(2)/2)*CG101*CJ101*VLOOKUP('Données projet'!$B$12,Paramètres!$A$1:$I$89,3,0)*0.475*44/12</f>
        <v>5.2227688550629219E-10</v>
      </c>
      <c r="CN101" s="22">
        <f t="shared" si="66"/>
        <v>3.8314803377728111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237.64646718446005</v>
      </c>
      <c r="T102" s="59">
        <f t="shared" si="88"/>
        <v>156.67965022779907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0.84989159016966009</v>
      </c>
      <c r="AA102" s="21">
        <f>EXP(-LN(2)/25)*AA101+(1-EXP(-LN(2)/25))/(LN(2)/25)*Calculateur!V102*Calculateur!X102*VLOOKUP('Données projet'!$B$9,Paramètres!$A$1:$I$89,3,0)*0.475*44/12</f>
        <v>0.61933052330590388</v>
      </c>
      <c r="AB102" s="21">
        <f>EXP(-LN(2)/2)*AB101+(1-EXP(-LN(2)/2))/(LN(2)/2)*V102*Y102*VLOOKUP('Données projet'!$B$9,Paramètres!$A$1:$I$89,3,0)*0.475*44/12</f>
        <v>2.5118208761909979E-10</v>
      </c>
      <c r="AC102" s="22">
        <f t="shared" si="57"/>
        <v>1.469222113726746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899.91431505235096</v>
      </c>
      <c r="AN102" s="59">
        <f ca="1">AVERAGE(OFFSET($AM$3,0,0,'Données projet'!$E$10+1,1))-AVERAGE(OFFSET($H$3,0,0,'Données projet'!$E$10+1,1))</f>
        <v>272.93635583300755</v>
      </c>
      <c r="AO102" s="59">
        <f t="shared" si="90"/>
        <v>179.56041631665812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0.95246471312117098</v>
      </c>
      <c r="AV102" s="21">
        <f>EXP(-LN(2)/25)*AV101+(1-EXP(-LN(2)/25))/(LN(2)/25)*Calculateur!AQ102*Calculateur!AS102*VLOOKUP('Données projet'!$B$10,Paramètres!$A$1:$I$89,3,0)*0.475*44/12</f>
        <v>0.69407731060144406</v>
      </c>
      <c r="AW102" s="21">
        <f>EXP(-LN(2)/2)*AW101+(1-EXP(-LN(2)/2))/(LN(2)/2)*AQ102*AT102*VLOOKUP('Données projet'!$B$10,Paramètres!$A$1:$I$89,3,0)*0.475*44/12</f>
        <v>2.8149716715933606E-10</v>
      </c>
      <c r="AX102" s="21">
        <f t="shared" si="60"/>
        <v>1.6465420240041124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656.99999999999989</v>
      </c>
      <c r="BE102" s="13">
        <f>BD102*VLOOKUP('Données projet'!$B$11,Paramètres!$A$1:$I$89,3,0)*VLOOKUP('Données projet'!$B$11,Paramètres!$A$1:$I$89,5,0)</f>
        <v>307.47599999999994</v>
      </c>
      <c r="BF102" s="13">
        <f t="shared" si="91"/>
        <v>72.741467976269988</v>
      </c>
      <c r="BG102" s="20">
        <f t="shared" si="61"/>
        <v>662.21209005867013</v>
      </c>
      <c r="BH102" s="59">
        <f t="shared" si="62"/>
        <v>955.54542339200339</v>
      </c>
      <c r="BI102" s="59">
        <f ca="1">AVERAGE(OFFSET($BH$3,0,0,'Données projet'!$E$11+1,1))-AVERAGE(OFFSET($H$3,0,0,'Données projet'!$E$11+1,1))</f>
        <v>226.0452828290525</v>
      </c>
      <c r="BJ102" s="59">
        <f t="shared" si="92"/>
        <v>179.89696397462069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2.3144262712685331</v>
      </c>
      <c r="BQ102" s="21">
        <f>EXP(-LN(2)/25)*BQ101+(1-EXP(-LN(2)/25))/(LN(2)/25)*Calculateur!BL102*Calculateur!BN102*VLOOKUP('Données projet'!$B$11,Paramètres!$A$1:$I$89,3,0)*0.475*44/12</f>
        <v>1.6462034176451972</v>
      </c>
      <c r="BR102" s="21">
        <f>EXP(-LN(2)/2)*BR101+(1-EXP(-LN(2)/2))/(LN(2)/2)*BL102*BO102*VLOOKUP('Données projet'!$B$11,Paramètres!$A$1:$I$89,3,0)*0.475*44/12</f>
        <v>4.545244824492743E-10</v>
      </c>
      <c r="BS102" s="22">
        <f t="shared" si="63"/>
        <v>3.9606296893682549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-1.7053025658242404E-13</v>
      </c>
      <c r="BZ102" s="13">
        <f>BY102*VLOOKUP('Données projet'!$B$12,Paramètres!$A$1:$I$89,3,0)*VLOOKUP('Données projet'!$B$12,Paramètres!$A$1:$I$89,5,0)</f>
        <v>-1.3567387213697657E-13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219.43439115440339</v>
      </c>
      <c r="CE102" s="59">
        <f t="shared" si="94"/>
        <v>217.8880462742099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2.14742970148263</v>
      </c>
      <c r="CL102" s="21">
        <f>EXP(-LN(2)/25)*CL101+(1-EXP(-LN(2)/25))/(LN(2)/25)*Calculateur!CG102*Calculateur!CI102*VLOOKUP('Données projet'!$B$12,Paramètres!$A$1:$I$89,3,0)*0.475*44/12</f>
        <v>1.5962226584939812</v>
      </c>
      <c r="CM102" s="21">
        <f>EXP(-LN(2)/2)*CM101+(1-EXP(-LN(2)/2))/(LN(2)/2)*CG102*CJ102*VLOOKUP('Données projet'!$B$12,Paramètres!$A$1:$I$89,3,0)*0.475*44/12</f>
        <v>3.693055273984893E-10</v>
      </c>
      <c r="CN102" s="22">
        <f t="shared" si="66"/>
        <v>3.7436523603459166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237.64646718446005</v>
      </c>
      <c r="T103" s="59">
        <f t="shared" si="88"/>
        <v>156.67965022779907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282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0.83322573446911707</v>
      </c>
      <c r="AA103" s="21">
        <f>EXP(-LN(2)/25)*AA102+(1-EXP(-LN(2)/25))/(LN(2)/25)*Calculateur!V103*Calculateur!X103*VLOOKUP('Données projet'!$B$9,Paramètres!$A$1:$I$89,3,0)*0.475*44/12</f>
        <v>0.60239489757692721</v>
      </c>
      <c r="AB103" s="21">
        <f>EXP(-LN(2)/2)*AB102+(1-EXP(-LN(2)/2))/(LN(2)/2)*V103*Y103*VLOOKUP('Données projet'!$B$9,Paramètres!$A$1:$I$89,3,0)*0.475*44/12</f>
        <v>1.77612557468059E-10</v>
      </c>
      <c r="AC103" s="22">
        <f t="shared" si="57"/>
        <v>1.4356206322236569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68.222450362989363</v>
      </c>
      <c r="AL103" s="20">
        <f t="shared" si="58"/>
        <v>616.84686771553959</v>
      </c>
      <c r="AM103" s="59">
        <f t="shared" si="59"/>
        <v>910.18020104887296</v>
      </c>
      <c r="AN103" s="59">
        <f ca="1">AVERAGE(OFFSET($AM$3,0,0,'Données projet'!$E$10+1,1))-AVERAGE(OFFSET($H$3,0,0,'Données projet'!$E$10+1,1))</f>
        <v>272.93635583300755</v>
      </c>
      <c r="AO103" s="59">
        <f t="shared" si="90"/>
        <v>179.56041631665812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282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0.93378746104297616</v>
      </c>
      <c r="AV103" s="21">
        <f>EXP(-LN(2)/25)*AV102+(1-EXP(-LN(2)/25))/(LN(2)/25)*Calculateur!AQ103*Calculateur!AS103*VLOOKUP('Données projet'!$B$10,Paramètres!$A$1:$I$89,3,0)*0.475*44/12</f>
        <v>0.67509773004310814</v>
      </c>
      <c r="AW103" s="21">
        <f>EXP(-LN(2)/2)*AW102+(1-EXP(-LN(2)/2))/(LN(2)/2)*AQ103*AT103*VLOOKUP('Données projet'!$B$10,Paramètres!$A$1:$I$89,3,0)*0.475*44/12</f>
        <v>1.9904855578316964E-10</v>
      </c>
      <c r="AX103" s="21">
        <f t="shared" si="60"/>
        <v>1.6088851912851327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675.5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675.49999999999989</v>
      </c>
      <c r="BE103" s="13">
        <f>BD103*VLOOKUP('Données projet'!$B$11,Paramètres!$A$1:$I$89,3,0)*VLOOKUP('Données projet'!$B$11,Paramètres!$A$1:$I$89,5,0)</f>
        <v>316.13399999999996</v>
      </c>
      <c r="BF103" s="13">
        <f t="shared" si="91"/>
        <v>74.548389024136753</v>
      </c>
      <c r="BG103" s="20">
        <f t="shared" si="61"/>
        <v>680.43849421703806</v>
      </c>
      <c r="BH103" s="59">
        <f t="shared" si="62"/>
        <v>973.77182755037143</v>
      </c>
      <c r="BI103" s="59">
        <f ca="1">AVERAGE(OFFSET($BH$3,0,0,'Données projet'!$E$11+1,1))-AVERAGE(OFFSET($H$3,0,0,'Données projet'!$E$11+1,1))</f>
        <v>226.0452828290525</v>
      </c>
      <c r="BJ103" s="59">
        <f t="shared" si="92"/>
        <v>179.89696397462069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675.5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2.2690417837495929</v>
      </c>
      <c r="BQ103" s="21">
        <f>EXP(-LN(2)/25)*BQ102+(1-EXP(-LN(2)/25))/(LN(2)/25)*Calculateur!BL103*Calculateur!BN103*VLOOKUP('Données projet'!$B$11,Paramètres!$A$1:$I$89,3,0)*0.475*44/12</f>
        <v>1.601187898619614</v>
      </c>
      <c r="BR103" s="21">
        <f>EXP(-LN(2)/2)*BR102+(1-EXP(-LN(2)/2))/(LN(2)/2)*BL103*BO103*VLOOKUP('Données projet'!$B$11,Paramètres!$A$1:$I$89,3,0)*0.475*44/12</f>
        <v>3.213973437551878E-10</v>
      </c>
      <c r="BS103" s="22">
        <f t="shared" si="63"/>
        <v>3.8702296826906037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-1.7053025658242404E-13</v>
      </c>
      <c r="BZ103" s="13">
        <f>BY103*VLOOKUP('Données projet'!$B$12,Paramètres!$A$1:$I$89,3,0)*VLOOKUP('Données projet'!$B$12,Paramètres!$A$1:$I$89,5,0)</f>
        <v>-1.3567387213697657E-13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219.43439115440339</v>
      </c>
      <c r="CE103" s="59">
        <f t="shared" si="94"/>
        <v>217.8880462742099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2.1053199148393413</v>
      </c>
      <c r="CL103" s="21">
        <f>EXP(-LN(2)/25)*CL102+(1-EXP(-LN(2)/25))/(LN(2)/25)*Calculateur!CG103*Calculateur!CI103*VLOOKUP('Données projet'!$B$12,Paramètres!$A$1:$I$89,3,0)*0.475*44/12</f>
        <v>1.5525738659557617</v>
      </c>
      <c r="CM103" s="21">
        <f>EXP(-LN(2)/2)*CM102+(1-EXP(-LN(2)/2))/(LN(2)/2)*CG103*CJ103*VLOOKUP('Données projet'!$B$12,Paramètres!$A$1:$I$89,3,0)*0.475*44/12</f>
        <v>2.6113844275314609E-10</v>
      </c>
      <c r="CN103" s="22">
        <f t="shared" si="66"/>
        <v>3.6578937810562411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-1.0286385077051818E-13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237.64646718446005</v>
      </c>
      <c r="T104" s="59">
        <f t="shared" si="88"/>
        <v>156.67965022779907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0.81688668603369341</v>
      </c>
      <c r="AA104" s="21">
        <f>EXP(-LN(2)/25)*AA103+(1-EXP(-LN(2)/25))/(LN(2)/25)*Calculateur!V104*Calculateur!X104*VLOOKUP('Données projet'!$B$9,Paramètres!$A$1:$I$89,3,0)*0.475*44/12</f>
        <v>0.58592237742411524</v>
      </c>
      <c r="AB104" s="21">
        <f>EXP(-LN(2)/2)*AB103+(1-EXP(-LN(2)/2))/(LN(2)/2)*V104*Y104*VLOOKUP('Données projet'!$B$9,Paramètres!$A$1:$I$89,3,0)*0.475*44/12</f>
        <v>1.2559104380954989E-10</v>
      </c>
      <c r="AC104" s="22">
        <f t="shared" si="57"/>
        <v>1.4028090635833999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-1.1527845344971866E-13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272.93635583300755</v>
      </c>
      <c r="AO104" s="59">
        <f t="shared" si="90"/>
        <v>179.56041631665812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0.91547645848603587</v>
      </c>
      <c r="AV104" s="21">
        <f>EXP(-LN(2)/25)*AV103+(1-EXP(-LN(2)/25))/(LN(2)/25)*Calculateur!AQ104*Calculateur!AS104*VLOOKUP('Données projet'!$B$10,Paramètres!$A$1:$I$89,3,0)*0.475*44/12</f>
        <v>0.65663714711323262</v>
      </c>
      <c r="AW104" s="21">
        <f>EXP(-LN(2)/2)*AW103+(1-EXP(-LN(2)/2))/(LN(2)/2)*AQ104*AT104*VLOOKUP('Données projet'!$B$10,Paramètres!$A$1:$I$89,3,0)*0.475*44/12</f>
        <v>1.4074858357966803E-10</v>
      </c>
      <c r="AX104" s="21">
        <f t="shared" si="60"/>
        <v>1.5721136057400169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226.0452828290525</v>
      </c>
      <c r="BJ104" s="59">
        <f t="shared" si="92"/>
        <v>179.89696397462069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2.2245472583490948</v>
      </c>
      <c r="BQ104" s="21">
        <f>EXP(-LN(2)/25)*BQ103+(1-EXP(-LN(2)/25))/(LN(2)/25)*Calculateur!BL104*Calculateur!BN104*VLOOKUP('Données projet'!$B$11,Paramètres!$A$1:$I$89,3,0)*0.475*44/12</f>
        <v>1.5574033313290485</v>
      </c>
      <c r="BR104" s="21">
        <f>EXP(-LN(2)/2)*BR103+(1-EXP(-LN(2)/2))/(LN(2)/2)*BL104*BO104*VLOOKUP('Données projet'!$B$11,Paramètres!$A$1:$I$89,3,0)*0.475*44/12</f>
        <v>2.272622412246372E-10</v>
      </c>
      <c r="BS104" s="22">
        <f t="shared" si="63"/>
        <v>3.7819505899054056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-1.7053025658242404E-13</v>
      </c>
      <c r="BZ104" s="13">
        <f>BY104*VLOOKUP('Données projet'!$B$12,Paramètres!$A$1:$I$89,3,0)*VLOOKUP('Données projet'!$B$12,Paramètres!$A$1:$I$89,5,0)</f>
        <v>-1.3567387213697657E-13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219.43439115440339</v>
      </c>
      <c r="CE104" s="59">
        <f t="shared" si="94"/>
        <v>217.8880462742099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2.064035875427694</v>
      </c>
      <c r="CL104" s="21">
        <f>EXP(-LN(2)/25)*CL103+(1-EXP(-LN(2)/25))/(LN(2)/25)*Calculateur!CG104*Calculateur!CI104*VLOOKUP('Données projet'!$B$12,Paramètres!$A$1:$I$89,3,0)*0.475*44/12</f>
        <v>1.5101186519448904</v>
      </c>
      <c r="CM104" s="21">
        <f>EXP(-LN(2)/2)*CM103+(1-EXP(-LN(2)/2))/(LN(2)/2)*CG104*CJ104*VLOOKUP('Données projet'!$B$12,Paramètres!$A$1:$I$89,3,0)*0.475*44/12</f>
        <v>1.8465276369924465E-10</v>
      </c>
      <c r="CN104" s="22">
        <f t="shared" si="66"/>
        <v>3.5741545275572371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-1.0286385077051818E-13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237.64646718446005</v>
      </c>
      <c r="T105" s="59">
        <f t="shared" si="88"/>
        <v>156.67965022779907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0.8008680363722529</v>
      </c>
      <c r="AA105" s="21">
        <f>EXP(-LN(2)/25)*AA104+(1-EXP(-LN(2)/25))/(LN(2)/25)*Calculateur!V105*Calculateur!X105*VLOOKUP('Données projet'!$B$9,Paramètres!$A$1:$I$89,3,0)*0.475*44/12</f>
        <v>0.56990029920113416</v>
      </c>
      <c r="AB105" s="21">
        <f>EXP(-LN(2)/2)*AB104+(1-EXP(-LN(2)/2))/(LN(2)/2)*V105*Y105*VLOOKUP('Données projet'!$B$9,Paramètres!$A$1:$I$89,3,0)*0.475*44/12</f>
        <v>8.8806278734029502E-11</v>
      </c>
      <c r="AC105" s="22">
        <f t="shared" si="57"/>
        <v>1.3707683356621934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-1.1527845344971866E-13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272.93635583300755</v>
      </c>
      <c r="AO105" s="59">
        <f t="shared" si="90"/>
        <v>179.56041631665812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0.89752452352062839</v>
      </c>
      <c r="AV105" s="21">
        <f>EXP(-LN(2)/25)*AV104+(1-EXP(-LN(2)/25))/(LN(2)/25)*Calculateur!AQ105*Calculateur!AS105*VLOOKUP('Données projet'!$B$10,Paramètres!$A$1:$I$89,3,0)*0.475*44/12</f>
        <v>0.63868136979437451</v>
      </c>
      <c r="AW105" s="21">
        <f>EXP(-LN(2)/2)*AW104+(1-EXP(-LN(2)/2))/(LN(2)/2)*AQ105*AT105*VLOOKUP('Données projet'!$B$10,Paramètres!$A$1:$I$89,3,0)*0.475*44/12</f>
        <v>9.952427789158482E-11</v>
      </c>
      <c r="AX105" s="21">
        <f t="shared" si="60"/>
        <v>1.5362058934145273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226.0452828290525</v>
      </c>
      <c r="BJ105" s="59">
        <f t="shared" si="92"/>
        <v>179.89696397462069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2.18092524345272</v>
      </c>
      <c r="BQ105" s="21">
        <f>EXP(-LN(2)/25)*BQ104+(1-EXP(-LN(2)/25))/(LN(2)/25)*Calculateur!BL105*Calculateur!BN105*VLOOKUP('Données projet'!$B$11,Paramètres!$A$1:$I$89,3,0)*0.475*44/12</f>
        <v>1.5148160553335739</v>
      </c>
      <c r="BR105" s="21">
        <f>EXP(-LN(2)/2)*BR104+(1-EXP(-LN(2)/2))/(LN(2)/2)*BL105*BO105*VLOOKUP('Données projet'!$B$11,Paramètres!$A$1:$I$89,3,0)*0.475*44/12</f>
        <v>1.6069867187759392E-10</v>
      </c>
      <c r="BS105" s="22">
        <f t="shared" si="63"/>
        <v>3.6957412989469924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-1.7053025658242404E-13</v>
      </c>
      <c r="BZ105" s="13">
        <f>BY105*VLOOKUP('Données projet'!$B$12,Paramètres!$A$1:$I$89,3,0)*VLOOKUP('Données projet'!$B$12,Paramètres!$A$1:$I$89,5,0)</f>
        <v>-1.3567387213697657E-13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219.43439115440339</v>
      </c>
      <c r="CE105" s="59">
        <f t="shared" si="94"/>
        <v>217.8880462742099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2.0235613908481311</v>
      </c>
      <c r="CL105" s="21">
        <f>EXP(-LN(2)/25)*CL104+(1-EXP(-LN(2)/25))/(LN(2)/25)*Calculateur!CG105*Calculateur!CI105*VLOOKUP('Données projet'!$B$12,Paramètres!$A$1:$I$89,3,0)*0.475*44/12</f>
        <v>1.4688243779937689</v>
      </c>
      <c r="CM105" s="21">
        <f>EXP(-LN(2)/2)*CM104+(1-EXP(-LN(2)/2))/(LN(2)/2)*CG105*CJ105*VLOOKUP('Données projet'!$B$12,Paramètres!$A$1:$I$89,3,0)*0.475*44/12</f>
        <v>1.3056922137657305E-10</v>
      </c>
      <c r="CN105" s="22">
        <f t="shared" si="66"/>
        <v>3.4923857689724693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-1.0286385077051818E-13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237.64646718446005</v>
      </c>
      <c r="T106" s="59">
        <f t="shared" si="88"/>
        <v>156.67965022779907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0.78516350266026169</v>
      </c>
      <c r="AA106" s="21">
        <f>EXP(-LN(2)/25)*AA105+(1-EXP(-LN(2)/25))/(LN(2)/25)*Calculateur!V106*Calculateur!X106*VLOOKUP('Données projet'!$B$9,Paramètres!$A$1:$I$89,3,0)*0.475*44/12</f>
        <v>0.55431634554972498</v>
      </c>
      <c r="AB106" s="21">
        <f>EXP(-LN(2)/2)*AB105+(1-EXP(-LN(2)/2))/(LN(2)/2)*V106*Y106*VLOOKUP('Données projet'!$B$9,Paramètres!$A$1:$I$89,3,0)*0.475*44/12</f>
        <v>6.2795521904774947E-11</v>
      </c>
      <c r="AC106" s="22">
        <f t="shared" si="57"/>
        <v>1.3394798482727821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-1.1527845344971866E-13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272.93635583300755</v>
      </c>
      <c r="AO106" s="59">
        <f t="shared" si="90"/>
        <v>179.56041631665812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0.8799246150502934</v>
      </c>
      <c r="AV106" s="21">
        <f>EXP(-LN(2)/25)*AV105+(1-EXP(-LN(2)/25))/(LN(2)/25)*Calculateur!AQ106*Calculateur!AS106*VLOOKUP('Données projet'!$B$10,Paramètres!$A$1:$I$89,3,0)*0.475*44/12</f>
        <v>0.62121659415055386</v>
      </c>
      <c r="AW106" s="21">
        <f>EXP(-LN(2)/2)*AW105+(1-EXP(-LN(2)/2))/(LN(2)/2)*AQ106*AT106*VLOOKUP('Données projet'!$B$10,Paramètres!$A$1:$I$89,3,0)*0.475*44/12</f>
        <v>7.0374291789834016E-11</v>
      </c>
      <c r="AX106" s="21">
        <f t="shared" si="60"/>
        <v>1.5011412092712217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226.0452828290525</v>
      </c>
      <c r="BJ106" s="59">
        <f t="shared" si="92"/>
        <v>179.89696397462069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2.1381586296616613</v>
      </c>
      <c r="BQ106" s="21">
        <f>EXP(-LN(2)/25)*BQ105+(1-EXP(-LN(2)/25))/(LN(2)/25)*Calculateur!BL106*Calculateur!BN106*VLOOKUP('Données projet'!$B$11,Paramètres!$A$1:$I$89,3,0)*0.475*44/12</f>
        <v>1.4733933306397631</v>
      </c>
      <c r="BR106" s="21">
        <f>EXP(-LN(2)/2)*BR105+(1-EXP(-LN(2)/2))/(LN(2)/2)*BL106*BO106*VLOOKUP('Données projet'!$B$11,Paramètres!$A$1:$I$89,3,0)*0.475*44/12</f>
        <v>1.1363112061231861E-10</v>
      </c>
      <c r="BS106" s="22">
        <f t="shared" si="63"/>
        <v>3.6115519604150559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-1.7053025658242404E-13</v>
      </c>
      <c r="BZ106" s="13">
        <f>BY106*VLOOKUP('Données projet'!$B$12,Paramètres!$A$1:$I$89,3,0)*VLOOKUP('Données projet'!$B$12,Paramètres!$A$1:$I$89,5,0)</f>
        <v>-1.3567387213697657E-13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219.43439115440339</v>
      </c>
      <c r="CE106" s="59">
        <f t="shared" si="94"/>
        <v>217.8880462742099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1.9838805862241755</v>
      </c>
      <c r="CL106" s="21">
        <f>EXP(-LN(2)/25)*CL105+(1-EXP(-LN(2)/25))/(LN(2)/25)*Calculateur!CG106*Calculateur!CI106*VLOOKUP('Données projet'!$B$12,Paramètres!$A$1:$I$89,3,0)*0.475*44/12</f>
        <v>1.4286592981354123</v>
      </c>
      <c r="CM106" s="21">
        <f>EXP(-LN(2)/2)*CM105+(1-EXP(-LN(2)/2))/(LN(2)/2)*CG106*CJ106*VLOOKUP('Données projet'!$B$12,Paramètres!$A$1:$I$89,3,0)*0.475*44/12</f>
        <v>9.2326381849622324E-11</v>
      </c>
      <c r="CN106" s="22">
        <f t="shared" si="66"/>
        <v>3.4125398844519146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-1.0286385077051818E-13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237.64646718446005</v>
      </c>
      <c r="T107" s="59">
        <f t="shared" si="88"/>
        <v>156.67965022779907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0.76976692527554291</v>
      </c>
      <c r="AA107" s="21">
        <f>EXP(-LN(2)/25)*AA106+(1-EXP(-LN(2)/25))/(LN(2)/25)*Calculateur!V107*Calculateur!X107*VLOOKUP('Données projet'!$B$9,Paramètres!$A$1:$I$89,3,0)*0.475*44/12</f>
        <v>0.53915853593043805</v>
      </c>
      <c r="AB107" s="21">
        <f>EXP(-LN(2)/2)*AB106+(1-EXP(-LN(2)/2))/(LN(2)/2)*V107*Y107*VLOOKUP('Données projet'!$B$9,Paramètres!$A$1:$I$89,3,0)*0.475*44/12</f>
        <v>4.4403139367014751E-11</v>
      </c>
      <c r="AC107" s="22">
        <f t="shared" si="57"/>
        <v>1.308925461250384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-1.1527845344971866E-13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272.93635583300755</v>
      </c>
      <c r="AO107" s="59">
        <f t="shared" si="90"/>
        <v>179.56041631665812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0.8626698300501775</v>
      </c>
      <c r="AV107" s="21">
        <f>EXP(-LN(2)/25)*AV106+(1-EXP(-LN(2)/25))/(LN(2)/25)*Calculateur!AQ107*Calculateur!AS107*VLOOKUP('Données projet'!$B$10,Paramètres!$A$1:$I$89,3,0)*0.475*44/12</f>
        <v>0.60422939371514606</v>
      </c>
      <c r="AW107" s="21">
        <f>EXP(-LN(2)/2)*AW106+(1-EXP(-LN(2)/2))/(LN(2)/2)*AQ107*AT107*VLOOKUP('Données projet'!$B$10,Paramètres!$A$1:$I$89,3,0)*0.475*44/12</f>
        <v>4.976213894579241E-11</v>
      </c>
      <c r="AX107" s="21">
        <f t="shared" si="60"/>
        <v>1.4668992238150858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226.0452828290525</v>
      </c>
      <c r="BJ107" s="59">
        <f t="shared" si="92"/>
        <v>179.89696397462069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2.0962306430819861</v>
      </c>
      <c r="BQ107" s="21">
        <f>EXP(-LN(2)/25)*BQ106+(1-EXP(-LN(2)/25))/(LN(2)/25)*Calculateur!BL107*Calculateur!BN107*VLOOKUP('Données projet'!$B$11,Paramètres!$A$1:$I$89,3,0)*0.475*44/12</f>
        <v>1.4331033125310311</v>
      </c>
      <c r="BR107" s="21">
        <f>EXP(-LN(2)/2)*BR106+(1-EXP(-LN(2)/2))/(LN(2)/2)*BL107*BO107*VLOOKUP('Données projet'!$B$11,Paramètres!$A$1:$I$89,3,0)*0.475*44/12</f>
        <v>8.0349335938796975E-11</v>
      </c>
      <c r="BS107" s="22">
        <f t="shared" si="63"/>
        <v>3.5293339556933669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-1.7053025658242404E-13</v>
      </c>
      <c r="BZ107" s="13">
        <f>BY107*VLOOKUP('Données projet'!$B$12,Paramètres!$A$1:$I$89,3,0)*VLOOKUP('Données projet'!$B$12,Paramètres!$A$1:$I$89,5,0)</f>
        <v>-1.3567387213697657E-13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219.43439115440339</v>
      </c>
      <c r="CE107" s="59">
        <f t="shared" si="94"/>
        <v>217.8880462742099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1.9449778979759949</v>
      </c>
      <c r="CL107" s="21">
        <f>EXP(-LN(2)/25)*CL106+(1-EXP(-LN(2)/25))/(LN(2)/25)*Calculateur!CG107*Calculateur!CI107*VLOOKUP('Données projet'!$B$12,Paramètres!$A$1:$I$89,3,0)*0.475*44/12</f>
        <v>1.3895925344979723</v>
      </c>
      <c r="CM107" s="21">
        <f>EXP(-LN(2)/2)*CM106+(1-EXP(-LN(2)/2))/(LN(2)/2)*CG107*CJ107*VLOOKUP('Données projet'!$B$12,Paramètres!$A$1:$I$89,3,0)*0.475*44/12</f>
        <v>6.5284610688286524E-11</v>
      </c>
      <c r="CN107" s="22">
        <f t="shared" si="66"/>
        <v>3.3345704325392518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-1.0286385077051818E-13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237.64646718446005</v>
      </c>
      <c r="T108" s="59">
        <f t="shared" si="88"/>
        <v>156.67965022779907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0.75467226538235355</v>
      </c>
      <c r="AA108" s="21">
        <f>EXP(-LN(2)/25)*AA107+(1-EXP(-LN(2)/25))/(LN(2)/25)*Calculateur!V108*Calculateur!X108*VLOOKUP('Données projet'!$B$9,Paramètres!$A$1:$I$89,3,0)*0.475*44/12</f>
        <v>0.52441521741230512</v>
      </c>
      <c r="AB108" s="21">
        <f>EXP(-LN(2)/2)*AB107+(1-EXP(-LN(2)/2))/(LN(2)/2)*V108*Y108*VLOOKUP('Données projet'!$B$9,Paramètres!$A$1:$I$89,3,0)*0.475*44/12</f>
        <v>3.1397760952387474E-11</v>
      </c>
      <c r="AC108" s="22">
        <f t="shared" si="57"/>
        <v>1.2790874828260563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-1.1527845344971866E-13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272.93635583300755</v>
      </c>
      <c r="AO108" s="59">
        <f t="shared" si="90"/>
        <v>179.56041631665812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0.84575340085953421</v>
      </c>
      <c r="AV108" s="21">
        <f>EXP(-LN(2)/25)*AV107+(1-EXP(-LN(2)/25))/(LN(2)/25)*Calculateur!AQ108*Calculateur!AS108*VLOOKUP('Données projet'!$B$10,Paramètres!$A$1:$I$89,3,0)*0.475*44/12</f>
        <v>0.5877067091689625</v>
      </c>
      <c r="AW108" s="21">
        <f>EXP(-LN(2)/2)*AW107+(1-EXP(-LN(2)/2))/(LN(2)/2)*AQ108*AT108*VLOOKUP('Données projet'!$B$10,Paramètres!$A$1:$I$89,3,0)*0.475*44/12</f>
        <v>3.5187145894917008E-11</v>
      </c>
      <c r="AX108" s="21">
        <f t="shared" si="60"/>
        <v>1.4334601100636839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226.0452828290525</v>
      </c>
      <c r="BJ108" s="59">
        <f t="shared" si="92"/>
        <v>179.89696397462069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2.0551248387455918</v>
      </c>
      <c r="BQ108" s="21">
        <f>EXP(-LN(2)/25)*BQ107+(1-EXP(-LN(2)/25))/(LN(2)/25)*Calculateur!BL108*Calculateur!BN108*VLOOKUP('Données projet'!$B$11,Paramètres!$A$1:$I$89,3,0)*0.475*44/12</f>
        <v>1.3939150270862422</v>
      </c>
      <c r="BR108" s="21">
        <f>EXP(-LN(2)/2)*BR107+(1-EXP(-LN(2)/2))/(LN(2)/2)*BL108*BO108*VLOOKUP('Données projet'!$B$11,Paramètres!$A$1:$I$89,3,0)*0.475*44/12</f>
        <v>5.6815560306159313E-11</v>
      </c>
      <c r="BS108" s="22">
        <f t="shared" si="63"/>
        <v>3.4490398658886492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-1.7053025658242404E-13</v>
      </c>
      <c r="BZ108" s="13">
        <f>BY108*VLOOKUP('Données projet'!$B$12,Paramètres!$A$1:$I$89,3,0)*VLOOKUP('Données projet'!$B$12,Paramètres!$A$1:$I$89,5,0)</f>
        <v>-1.3567387213697657E-13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219.43439115440339</v>
      </c>
      <c r="CE108" s="59">
        <f t="shared" si="94"/>
        <v>217.8880462742099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1.9068380677160641</v>
      </c>
      <c r="CL108" s="21">
        <f>EXP(-LN(2)/25)*CL107+(1-EXP(-LN(2)/25))/(LN(2)/25)*Calculateur!CG108*Calculateur!CI108*VLOOKUP('Données projet'!$B$12,Paramètres!$A$1:$I$89,3,0)*0.475*44/12</f>
        <v>1.3515940535666298</v>
      </c>
      <c r="CM108" s="21">
        <f>EXP(-LN(2)/2)*CM107+(1-EXP(-LN(2)/2))/(LN(2)/2)*CG108*CJ108*VLOOKUP('Données projet'!$B$12,Paramètres!$A$1:$I$89,3,0)*0.475*44/12</f>
        <v>4.6163190924811162E-11</v>
      </c>
      <c r="CN108" s="22">
        <f t="shared" si="66"/>
        <v>3.2584321213288572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-1.0286385077051818E-13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237.64646718446005</v>
      </c>
      <c r="T109" s="59">
        <f t="shared" si="88"/>
        <v>156.67965022779907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0.73987360256283619</v>
      </c>
      <c r="AA109" s="21">
        <f>EXP(-LN(2)/25)*AA108+(1-EXP(-LN(2)/25))/(LN(2)/25)*Calculateur!V109*Calculateur!X109*VLOOKUP('Données projet'!$B$9,Paramètres!$A$1:$I$89,3,0)*0.475*44/12</f>
        <v>0.51007505571436795</v>
      </c>
      <c r="AB109" s="21">
        <f>EXP(-LN(2)/2)*AB108+(1-EXP(-LN(2)/2))/(LN(2)/2)*V109*Y109*VLOOKUP('Données projet'!$B$9,Paramètres!$A$1:$I$89,3,0)*0.475*44/12</f>
        <v>2.2201569683507375E-11</v>
      </c>
      <c r="AC109" s="22">
        <f t="shared" si="57"/>
        <v>1.2499486582994057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-1.1527845344971866E-13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272.93635583300755</v>
      </c>
      <c r="AO109" s="59">
        <f t="shared" si="90"/>
        <v>179.56041631665812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0.82916869252731651</v>
      </c>
      <c r="AV109" s="21">
        <f>EXP(-LN(2)/25)*AV108+(1-EXP(-LN(2)/25))/(LN(2)/25)*Calculateur!AQ109*Calculateur!AS109*VLOOKUP('Données projet'!$B$10,Paramètres!$A$1:$I$89,3,0)*0.475*44/12</f>
        <v>0.57163583830058462</v>
      </c>
      <c r="AW109" s="21">
        <f>EXP(-LN(2)/2)*AW108+(1-EXP(-LN(2)/2))/(LN(2)/2)*AQ109*AT109*VLOOKUP('Données projet'!$B$10,Paramètres!$A$1:$I$89,3,0)*0.475*44/12</f>
        <v>2.4881069472896205E-11</v>
      </c>
      <c r="AX109" s="21">
        <f t="shared" si="60"/>
        <v>1.4008045308527821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226.0452828290525</v>
      </c>
      <c r="BJ109" s="59">
        <f t="shared" si="92"/>
        <v>179.89696397462069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2.0148250941601695</v>
      </c>
      <c r="BQ109" s="21">
        <f>EXP(-LN(2)/25)*BQ108+(1-EXP(-LN(2)/25))/(LN(2)/25)*Calculateur!BL109*Calculateur!BN109*VLOOKUP('Données projet'!$B$11,Paramètres!$A$1:$I$89,3,0)*0.475*44/12</f>
        <v>1.3557983473677635</v>
      </c>
      <c r="BR109" s="21">
        <f>EXP(-LN(2)/2)*BR108+(1-EXP(-LN(2)/2))/(LN(2)/2)*BL109*BO109*VLOOKUP('Données projet'!$B$11,Paramètres!$A$1:$I$89,3,0)*0.475*44/12</f>
        <v>4.0174667969398494E-11</v>
      </c>
      <c r="BS109" s="22">
        <f t="shared" si="63"/>
        <v>3.3706234415681076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-1.7053025658242404E-13</v>
      </c>
      <c r="BZ109" s="13">
        <f>BY109*VLOOKUP('Données projet'!$B$12,Paramètres!$A$1:$I$89,3,0)*VLOOKUP('Données projet'!$B$12,Paramètres!$A$1:$I$89,5,0)</f>
        <v>-1.3567387213697657E-13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219.43439115440339</v>
      </c>
      <c r="CE109" s="59">
        <f t="shared" si="94"/>
        <v>217.8880462742099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1.8694461362645312</v>
      </c>
      <c r="CL109" s="21">
        <f>EXP(-LN(2)/25)*CL108+(1-EXP(-LN(2)/25))/(LN(2)/25)*Calculateur!CG109*Calculateur!CI109*VLOOKUP('Données projet'!$B$12,Paramètres!$A$1:$I$89,3,0)*0.475*44/12</f>
        <v>1.3146346430946081</v>
      </c>
      <c r="CM109" s="21">
        <f>EXP(-LN(2)/2)*CM108+(1-EXP(-LN(2)/2))/(LN(2)/2)*CG109*CJ109*VLOOKUP('Données projet'!$B$12,Paramètres!$A$1:$I$89,3,0)*0.475*44/12</f>
        <v>3.2642305344143262E-11</v>
      </c>
      <c r="CN109" s="22">
        <f t="shared" si="66"/>
        <v>3.1840807793917816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-1.0286385077051818E-13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237.64646718446005</v>
      </c>
      <c r="T110" s="59">
        <f t="shared" si="88"/>
        <v>156.67965022779907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0.72536513249491652</v>
      </c>
      <c r="AA110" s="21">
        <f>EXP(-LN(2)/25)*AA109+(1-EXP(-LN(2)/25))/(LN(2)/25)*Calculateur!V110*Calculateur!X110*VLOOKUP('Données projet'!$B$9,Paramètres!$A$1:$I$89,3,0)*0.475*44/12</f>
        <v>0.49612702649217716</v>
      </c>
      <c r="AB110" s="21">
        <f>EXP(-LN(2)/2)*AB109+(1-EXP(-LN(2)/2))/(LN(2)/2)*V110*Y110*VLOOKUP('Données projet'!$B$9,Paramètres!$A$1:$I$89,3,0)*0.475*44/12</f>
        <v>1.5698880476193737E-11</v>
      </c>
      <c r="AC110" s="22">
        <f t="shared" si="57"/>
        <v>1.2214921590027925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-1.1527845344971866E-13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272.93635583300755</v>
      </c>
      <c r="AO110" s="59">
        <f t="shared" si="90"/>
        <v>179.56041631665812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0.81290920020982027</v>
      </c>
      <c r="AV110" s="21">
        <f>EXP(-LN(2)/25)*AV109+(1-EXP(-LN(2)/25))/(LN(2)/25)*Calculateur!AQ110*Calculateur!AS110*VLOOKUP('Données projet'!$B$10,Paramètres!$A$1:$I$89,3,0)*0.475*44/12</f>
        <v>0.55600442624123292</v>
      </c>
      <c r="AW110" s="21">
        <f>EXP(-LN(2)/2)*AW109+(1-EXP(-LN(2)/2))/(LN(2)/2)*AQ110*AT110*VLOOKUP('Données projet'!$B$10,Paramètres!$A$1:$I$89,3,0)*0.475*44/12</f>
        <v>1.7593572947458504E-11</v>
      </c>
      <c r="AX110" s="21">
        <f t="shared" si="60"/>
        <v>1.3689136264686468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226.0452828290525</v>
      </c>
      <c r="BJ110" s="59">
        <f t="shared" si="92"/>
        <v>179.89696397462069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1.97531560298565</v>
      </c>
      <c r="BQ110" s="21">
        <f>EXP(-LN(2)/25)*BQ109+(1-EXP(-LN(2)/25))/(LN(2)/25)*Calculateur!BL110*Calculateur!BN110*VLOOKUP('Données projet'!$B$11,Paramètres!$A$1:$I$89,3,0)*0.475*44/12</f>
        <v>1.3187239702606557</v>
      </c>
      <c r="BR110" s="21">
        <f>EXP(-LN(2)/2)*BR109+(1-EXP(-LN(2)/2))/(LN(2)/2)*BL110*BO110*VLOOKUP('Données projet'!$B$11,Paramètres!$A$1:$I$89,3,0)*0.475*44/12</f>
        <v>2.8407780153079663E-11</v>
      </c>
      <c r="BS110" s="22">
        <f t="shared" si="63"/>
        <v>3.2940395732747136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-1.7053025658242404E-13</v>
      </c>
      <c r="BZ110" s="13">
        <f>BY110*VLOOKUP('Données projet'!$B$12,Paramètres!$A$1:$I$89,3,0)*VLOOKUP('Données projet'!$B$12,Paramètres!$A$1:$I$89,5,0)</f>
        <v>-1.3567387213697657E-13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219.43439115440339</v>
      </c>
      <c r="CE110" s="59">
        <f t="shared" si="94"/>
        <v>217.8880462742099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1.8327874377819364</v>
      </c>
      <c r="CL110" s="21">
        <f>EXP(-LN(2)/25)*CL109+(1-EXP(-LN(2)/25))/(LN(2)/25)*Calculateur!CG110*Calculateur!CI110*VLOOKUP('Données projet'!$B$12,Paramètres!$A$1:$I$89,3,0)*0.475*44/12</f>
        <v>1.2786858896455549</v>
      </c>
      <c r="CM110" s="21">
        <f>EXP(-LN(2)/2)*CM109+(1-EXP(-LN(2)/2))/(LN(2)/2)*CG110*CJ110*VLOOKUP('Données projet'!$B$12,Paramètres!$A$1:$I$89,3,0)*0.475*44/12</f>
        <v>2.3081595462405581E-11</v>
      </c>
      <c r="CN110" s="22">
        <f t="shared" si="66"/>
        <v>3.111473327450573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-1.0286385077051818E-13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237.64646718446005</v>
      </c>
      <c r="T111" s="59">
        <f t="shared" si="88"/>
        <v>156.67965022779907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0.71114116467573574</v>
      </c>
      <c r="AA111" s="21">
        <f>EXP(-LN(2)/25)*AA110+(1-EXP(-LN(2)/25))/(LN(2)/25)*Calculateur!V111*Calculateur!X111*VLOOKUP('Données projet'!$B$9,Paramètres!$A$1:$I$89,3,0)*0.475*44/12</f>
        <v>0.48256040686256219</v>
      </c>
      <c r="AB111" s="21">
        <f>EXP(-LN(2)/2)*AB110+(1-EXP(-LN(2)/2))/(LN(2)/2)*V111*Y111*VLOOKUP('Données projet'!$B$9,Paramètres!$A$1:$I$89,3,0)*0.475*44/12</f>
        <v>1.1100784841753688E-11</v>
      </c>
      <c r="AC111" s="22">
        <f t="shared" si="57"/>
        <v>1.1937015715493986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-1.1527845344971866E-13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272.93635583300755</v>
      </c>
      <c r="AO111" s="59">
        <f t="shared" si="90"/>
        <v>179.56041631665812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0.79696854661935912</v>
      </c>
      <c r="AV111" s="21">
        <f>EXP(-LN(2)/25)*AV110+(1-EXP(-LN(2)/25))/(LN(2)/25)*Calculateur!AQ111*Calculateur!AS111*VLOOKUP('Données projet'!$B$10,Paramètres!$A$1:$I$89,3,0)*0.475*44/12</f>
        <v>0.54080045596666437</v>
      </c>
      <c r="AW111" s="21">
        <f>EXP(-LN(2)/2)*AW110+(1-EXP(-LN(2)/2))/(LN(2)/2)*AQ111*AT111*VLOOKUP('Données projet'!$B$10,Paramètres!$A$1:$I$89,3,0)*0.475*44/12</f>
        <v>1.2440534736448103E-11</v>
      </c>
      <c r="AX111" s="21">
        <f t="shared" si="60"/>
        <v>1.3377690025984641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226.0452828290525</v>
      </c>
      <c r="BJ111" s="59">
        <f t="shared" si="92"/>
        <v>179.89696397462069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1.9365808688346529</v>
      </c>
      <c r="BQ111" s="21">
        <f>EXP(-LN(2)/25)*BQ110+(1-EXP(-LN(2)/25))/(LN(2)/25)*Calculateur!BL111*Calculateur!BN111*VLOOKUP('Données projet'!$B$11,Paramètres!$A$1:$I$89,3,0)*0.475*44/12</f>
        <v>1.2826633939451983</v>
      </c>
      <c r="BR111" s="21">
        <f>EXP(-LN(2)/2)*BR110+(1-EXP(-LN(2)/2))/(LN(2)/2)*BL111*BO111*VLOOKUP('Données projet'!$B$11,Paramètres!$A$1:$I$89,3,0)*0.475*44/12</f>
        <v>2.008733398469925E-11</v>
      </c>
      <c r="BS111" s="22">
        <f t="shared" si="63"/>
        <v>3.2192442627999385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-1.7053025658242404E-13</v>
      </c>
      <c r="BZ111" s="13">
        <f>BY111*VLOOKUP('Données projet'!$B$12,Paramètres!$A$1:$I$89,3,0)*VLOOKUP('Données projet'!$B$12,Paramètres!$A$1:$I$89,5,0)</f>
        <v>-1.3567387213697657E-13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219.43439115440339</v>
      </c>
      <c r="CE111" s="59">
        <f t="shared" si="94"/>
        <v>217.8880462742099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1.7968475940169872</v>
      </c>
      <c r="CL111" s="21">
        <f>EXP(-LN(2)/25)*CL110+(1-EXP(-LN(2)/25))/(LN(2)/25)*Calculateur!CG111*Calculateur!CI111*VLOOKUP('Données projet'!$B$12,Paramètres!$A$1:$I$89,3,0)*0.475*44/12</f>
        <v>1.2437201567500287</v>
      </c>
      <c r="CM111" s="21">
        <f>EXP(-LN(2)/2)*CM110+(1-EXP(-LN(2)/2))/(LN(2)/2)*CG111*CJ111*VLOOKUP('Données projet'!$B$12,Paramètres!$A$1:$I$89,3,0)*0.475*44/12</f>
        <v>1.6321152672071631E-11</v>
      </c>
      <c r="CN111" s="22">
        <f t="shared" si="66"/>
        <v>3.0405677507833371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-1.0286385077051818E-13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237.64646718446005</v>
      </c>
      <c r="T112" s="59">
        <f t="shared" si="88"/>
        <v>156.67965022779907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0.69719612018972543</v>
      </c>
      <c r="AA112" s="21">
        <f>EXP(-LN(2)/25)*AA111+(1-EXP(-LN(2)/25))/(LN(2)/25)*Calculateur!V112*Calculateur!X112*VLOOKUP('Données projet'!$B$9,Paramètres!$A$1:$I$89,3,0)*0.475*44/12</f>
        <v>0.46936476716015652</v>
      </c>
      <c r="AB112" s="21">
        <f>EXP(-LN(2)/2)*AB111+(1-EXP(-LN(2)/2))/(LN(2)/2)*V112*Y112*VLOOKUP('Données projet'!$B$9,Paramètres!$A$1:$I$89,3,0)*0.475*44/12</f>
        <v>7.8494402380968684E-12</v>
      </c>
      <c r="AC112" s="22">
        <f t="shared" si="57"/>
        <v>1.1665608873577316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-1.1527845344971866E-13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272.93635583300755</v>
      </c>
      <c r="AO112" s="59">
        <f t="shared" si="90"/>
        <v>179.56041631665812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0.78134047952296826</v>
      </c>
      <c r="AV112" s="21">
        <f>EXP(-LN(2)/25)*AV111+(1-EXP(-LN(2)/25))/(LN(2)/25)*Calculateur!AQ112*Calculateur!AS112*VLOOKUP('Données projet'!$B$10,Paramètres!$A$1:$I$89,3,0)*0.475*44/12</f>
        <v>0.52601223905879602</v>
      </c>
      <c r="AW112" s="21">
        <f>EXP(-LN(2)/2)*AW111+(1-EXP(-LN(2)/2))/(LN(2)/2)*AQ112*AT112*VLOOKUP('Données projet'!$B$10,Paramètres!$A$1:$I$89,3,0)*0.475*44/12</f>
        <v>8.796786473729252E-12</v>
      </c>
      <c r="AX112" s="21">
        <f t="shared" si="60"/>
        <v>1.3073527185905609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226.0452828290525</v>
      </c>
      <c r="BJ112" s="59">
        <f t="shared" si="92"/>
        <v>179.89696397462069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1.8986056991945017</v>
      </c>
      <c r="BQ112" s="21">
        <f>EXP(-LN(2)/25)*BQ111+(1-EXP(-LN(2)/25))/(LN(2)/25)*Calculateur!BL112*Calculateur!BN112*VLOOKUP('Données projet'!$B$11,Paramètres!$A$1:$I$89,3,0)*0.475*44/12</f>
        <v>1.2475888959854307</v>
      </c>
      <c r="BR112" s="21">
        <f>EXP(-LN(2)/2)*BR111+(1-EXP(-LN(2)/2))/(LN(2)/2)*BL112*BO112*VLOOKUP('Données projet'!$B$11,Paramètres!$A$1:$I$89,3,0)*0.475*44/12</f>
        <v>1.4203890076539833E-11</v>
      </c>
      <c r="BS112" s="22">
        <f t="shared" si="63"/>
        <v>3.1461945951941361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-1.7053025658242404E-13</v>
      </c>
      <c r="BZ112" s="13">
        <f>BY112*VLOOKUP('Données projet'!$B$12,Paramètres!$A$1:$I$89,3,0)*VLOOKUP('Données projet'!$B$12,Paramètres!$A$1:$I$89,5,0)</f>
        <v>-1.3567387213697657E-13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219.43439115440339</v>
      </c>
      <c r="CE112" s="59">
        <f t="shared" si="94"/>
        <v>217.8880462742099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1.7616125086671286</v>
      </c>
      <c r="CL112" s="21">
        <f>EXP(-LN(2)/25)*CL111+(1-EXP(-LN(2)/25))/(LN(2)/25)*Calculateur!CG112*Calculateur!CI112*VLOOKUP('Données projet'!$B$12,Paramètres!$A$1:$I$89,3,0)*0.475*44/12</f>
        <v>1.2097105636592986</v>
      </c>
      <c r="CM112" s="21">
        <f>EXP(-LN(2)/2)*CM111+(1-EXP(-LN(2)/2))/(LN(2)/2)*CG112*CJ112*VLOOKUP('Données projet'!$B$12,Paramètres!$A$1:$I$89,3,0)*0.475*44/12</f>
        <v>1.154079773120279E-11</v>
      </c>
      <c r="CN112" s="22">
        <f t="shared" si="66"/>
        <v>2.9713230723379684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-1.0286385077051818E-13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237.64646718446005</v>
      </c>
      <c r="T113" s="59">
        <f t="shared" si="88"/>
        <v>156.67965022779907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0.68352452952044851</v>
      </c>
      <c r="AA113" s="21">
        <f>EXP(-LN(2)/25)*AA112+(1-EXP(-LN(2)/25))/(LN(2)/25)*Calculateur!V113*Calculateur!X113*VLOOKUP('Données projet'!$B$9,Paramètres!$A$1:$I$89,3,0)*0.475*44/12</f>
        <v>0.45652996291934167</v>
      </c>
      <c r="AB113" s="21">
        <f>EXP(-LN(2)/2)*AB112+(1-EXP(-LN(2)/2))/(LN(2)/2)*V113*Y113*VLOOKUP('Données projet'!$B$9,Paramètres!$A$1:$I$89,3,0)*0.475*44/12</f>
        <v>5.5503924208768438E-12</v>
      </c>
      <c r="AC113" s="22">
        <f t="shared" si="57"/>
        <v>1.1400544924453406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-1.1527845344971866E-13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272.93635583300755</v>
      </c>
      <c r="AO113" s="59">
        <f t="shared" si="90"/>
        <v>179.56041631665812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0.76601886929015794</v>
      </c>
      <c r="AV113" s="21">
        <f>EXP(-LN(2)/25)*AV112+(1-EXP(-LN(2)/25))/(LN(2)/25)*Calculateur!AQ113*Calculateur!AS113*VLOOKUP('Données projet'!$B$10,Paramètres!$A$1:$I$89,3,0)*0.475*44/12</f>
        <v>0.5116284067199518</v>
      </c>
      <c r="AW113" s="21">
        <f>EXP(-LN(2)/2)*AW112+(1-EXP(-LN(2)/2))/(LN(2)/2)*AQ113*AT113*VLOOKUP('Données projet'!$B$10,Paramètres!$A$1:$I$89,3,0)*0.475*44/12</f>
        <v>6.2202673682240513E-12</v>
      </c>
      <c r="AX113" s="21">
        <f t="shared" si="60"/>
        <v>1.2776472760163302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226.0452828290525</v>
      </c>
      <c r="BJ113" s="59">
        <f t="shared" si="92"/>
        <v>179.89696397462069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1.8613751994684276</v>
      </c>
      <c r="BQ113" s="21">
        <f>EXP(-LN(2)/25)*BQ112+(1-EXP(-LN(2)/25))/(LN(2)/25)*Calculateur!BL113*Calculateur!BN113*VLOOKUP('Données projet'!$B$11,Paramètres!$A$1:$I$89,3,0)*0.475*44/12</f>
        <v>1.2134735120168605</v>
      </c>
      <c r="BR113" s="21">
        <f>EXP(-LN(2)/2)*BR112+(1-EXP(-LN(2)/2))/(LN(2)/2)*BL113*BO113*VLOOKUP('Données projet'!$B$11,Paramètres!$A$1:$I$89,3,0)*0.475*44/12</f>
        <v>1.0043666992349627E-11</v>
      </c>
      <c r="BS113" s="22">
        <f t="shared" si="63"/>
        <v>3.0748487114953313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-1.7053025658242404E-13</v>
      </c>
      <c r="BZ113" s="13">
        <f>BY113*VLOOKUP('Données projet'!$B$12,Paramètres!$A$1:$I$89,3,0)*VLOOKUP('Données projet'!$B$12,Paramètres!$A$1:$I$89,5,0)</f>
        <v>-1.3567387213697657E-13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219.43439115440339</v>
      </c>
      <c r="CE113" s="59">
        <f t="shared" si="94"/>
        <v>217.8880462742099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1.7270683618497007</v>
      </c>
      <c r="CL113" s="21">
        <f>EXP(-LN(2)/25)*CL112+(1-EXP(-LN(2)/25))/(LN(2)/25)*Calculateur!CG113*Calculateur!CI113*VLOOKUP('Données projet'!$B$12,Paramètres!$A$1:$I$89,3,0)*0.475*44/12</f>
        <v>1.1766309646801214</v>
      </c>
      <c r="CM113" s="21">
        <f>EXP(-LN(2)/2)*CM112+(1-EXP(-LN(2)/2))/(LN(2)/2)*CG113*CJ113*VLOOKUP('Données projet'!$B$12,Paramètres!$A$1:$I$89,3,0)*0.475*44/12</f>
        <v>8.1605763360358154E-12</v>
      </c>
      <c r="CN113" s="22">
        <f t="shared" si="66"/>
        <v>2.9036993265379829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-1.0286385077051818E-13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237.64646718446005</v>
      </c>
      <c r="T114" s="59">
        <f t="shared" si="88"/>
        <v>156.67965022779907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0.67012103040534921</v>
      </c>
      <c r="AA114" s="21">
        <f>EXP(-LN(2)/25)*AA113+(1-EXP(-LN(2)/25))/(LN(2)/25)*Calculateur!V114*Calculateur!X114*VLOOKUP('Données projet'!$B$9,Paramètres!$A$1:$I$89,3,0)*0.475*44/12</f>
        <v>0.44404612707544494</v>
      </c>
      <c r="AB114" s="21">
        <f>EXP(-LN(2)/2)*AB113+(1-EXP(-LN(2)/2))/(LN(2)/2)*V114*Y114*VLOOKUP('Données projet'!$B$9,Paramètres!$A$1:$I$89,3,0)*0.475*44/12</f>
        <v>3.9247201190484342E-12</v>
      </c>
      <c r="AC114" s="22">
        <f t="shared" si="57"/>
        <v>1.1141671574847187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-1.1527845344971866E-13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272.93635583300755</v>
      </c>
      <c r="AO114" s="59">
        <f t="shared" si="90"/>
        <v>179.56041631665812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0.75099770648875352</v>
      </c>
      <c r="AV114" s="21">
        <f>EXP(-LN(2)/25)*AV113+(1-EXP(-LN(2)/25))/(LN(2)/25)*Calculateur!AQ114*Calculateur!AS114*VLOOKUP('Données projet'!$B$10,Paramètres!$A$1:$I$89,3,0)*0.475*44/12</f>
        <v>0.49763790103282612</v>
      </c>
      <c r="AW114" s="21">
        <f>EXP(-LN(2)/2)*AW113+(1-EXP(-LN(2)/2))/(LN(2)/2)*AQ114*AT114*VLOOKUP('Données projet'!$B$10,Paramètres!$A$1:$I$89,3,0)*0.475*44/12</f>
        <v>4.398393236864626E-12</v>
      </c>
      <c r="AX114" s="21">
        <f t="shared" si="60"/>
        <v>1.2486356075259781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226.0452828290525</v>
      </c>
      <c r="BJ114" s="59">
        <f t="shared" si="92"/>
        <v>179.89696397462069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1.8248747671336192</v>
      </c>
      <c r="BQ114" s="21">
        <f>EXP(-LN(2)/25)*BQ113+(1-EXP(-LN(2)/25))/(LN(2)/25)*Calculateur!BL114*Calculateur!BN114*VLOOKUP('Données projet'!$B$11,Paramètres!$A$1:$I$89,3,0)*0.475*44/12</f>
        <v>1.1802910150169608</v>
      </c>
      <c r="BR114" s="21">
        <f>EXP(-LN(2)/2)*BR113+(1-EXP(-LN(2)/2))/(LN(2)/2)*BL114*BO114*VLOOKUP('Données projet'!$B$11,Paramètres!$A$1:$I$89,3,0)*0.475*44/12</f>
        <v>7.1019450382699182E-12</v>
      </c>
      <c r="BS114" s="22">
        <f t="shared" si="63"/>
        <v>3.0051657821576816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-1.7053025658242404E-13</v>
      </c>
      <c r="BZ114" s="13">
        <f>BY114*VLOOKUP('Données projet'!$B$12,Paramètres!$A$1:$I$89,3,0)*VLOOKUP('Données projet'!$B$12,Paramètres!$A$1:$I$89,5,0)</f>
        <v>-1.3567387213697657E-13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219.43439115440339</v>
      </c>
      <c r="CE114" s="59">
        <f t="shared" si="94"/>
        <v>217.8880462742099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1.6932016046815135</v>
      </c>
      <c r="CL114" s="21">
        <f>EXP(-LN(2)/25)*CL113+(1-EXP(-LN(2)/25))/(LN(2)/25)*Calculateur!CG114*Calculateur!CI114*VLOOKUP('Données projet'!$B$12,Paramètres!$A$1:$I$89,3,0)*0.475*44/12</f>
        <v>1.1444559290746104</v>
      </c>
      <c r="CM114" s="21">
        <f>EXP(-LN(2)/2)*CM113+(1-EXP(-LN(2)/2))/(LN(2)/2)*CG114*CJ114*VLOOKUP('Données projet'!$B$12,Paramètres!$A$1:$I$89,3,0)*0.475*44/12</f>
        <v>5.7703988656013952E-12</v>
      </c>
      <c r="CN114" s="22">
        <f t="shared" si="66"/>
        <v>2.8376575337618943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-1.0286385077051818E-13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237.64646718446005</v>
      </c>
      <c r="T115" s="59">
        <f t="shared" si="88"/>
        <v>156.67965022779907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0.65698036573256979</v>
      </c>
      <c r="AA115" s="21">
        <f>EXP(-LN(2)/25)*AA114+(1-EXP(-LN(2)/25))/(LN(2)/25)*Calculateur!V115*Calculateur!X115*VLOOKUP('Données projet'!$B$9,Paramètres!$A$1:$I$89,3,0)*0.475*44/12</f>
        <v>0.43190366237919597</v>
      </c>
      <c r="AB115" s="21">
        <f>EXP(-LN(2)/2)*AB114+(1-EXP(-LN(2)/2))/(LN(2)/2)*V115*Y115*VLOOKUP('Données projet'!$B$9,Paramètres!$A$1:$I$89,3,0)*0.475*44/12</f>
        <v>2.7751962104384219E-12</v>
      </c>
      <c r="AC115" s="22">
        <f t="shared" si="57"/>
        <v>1.0888840281145409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-1.1527845344971866E-13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272.93635583300755</v>
      </c>
      <c r="AO115" s="59">
        <f t="shared" si="90"/>
        <v>179.56041631665812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0.73627109952788006</v>
      </c>
      <c r="AV115" s="21">
        <f>EXP(-LN(2)/25)*AV114+(1-EXP(-LN(2)/25))/(LN(2)/25)*Calculateur!AQ115*Calculateur!AS115*VLOOKUP('Données projet'!$B$10,Paramètres!$A$1:$I$89,3,0)*0.475*44/12</f>
        <v>0.48402996645944363</v>
      </c>
      <c r="AW115" s="21">
        <f>EXP(-LN(2)/2)*AW114+(1-EXP(-LN(2)/2))/(LN(2)/2)*AQ115*AT115*VLOOKUP('Données projet'!$B$10,Paramètres!$A$1:$I$89,3,0)*0.475*44/12</f>
        <v>3.1101336841120256E-12</v>
      </c>
      <c r="AX115" s="21">
        <f t="shared" si="60"/>
        <v>1.2203010659904339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226.0452828290525</v>
      </c>
      <c r="BJ115" s="59">
        <f t="shared" si="92"/>
        <v>179.89696397462069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1.789090086013831</v>
      </c>
      <c r="BQ115" s="21">
        <f>EXP(-LN(2)/25)*BQ114+(1-EXP(-LN(2)/25))/(LN(2)/25)*Calculateur!BL115*Calculateur!BN115*VLOOKUP('Données projet'!$B$11,Paramètres!$A$1:$I$89,3,0)*0.475*44/12</f>
        <v>1.148015895142515</v>
      </c>
      <c r="BR115" s="21">
        <f>EXP(-LN(2)/2)*BR114+(1-EXP(-LN(2)/2))/(LN(2)/2)*BL115*BO115*VLOOKUP('Données projet'!$B$11,Paramètres!$A$1:$I$89,3,0)*0.475*44/12</f>
        <v>5.0218334961748141E-12</v>
      </c>
      <c r="BS115" s="22">
        <f t="shared" si="63"/>
        <v>2.937105981161368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-1.7053025658242404E-13</v>
      </c>
      <c r="BZ115" s="13">
        <f>BY115*VLOOKUP('Données projet'!$B$12,Paramètres!$A$1:$I$89,3,0)*VLOOKUP('Données projet'!$B$12,Paramètres!$A$1:$I$89,5,0)</f>
        <v>-1.3567387213697657E-13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219.43439115440339</v>
      </c>
      <c r="CE115" s="59">
        <f t="shared" si="94"/>
        <v>217.8880462742099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1.6599989539647122</v>
      </c>
      <c r="CL115" s="21">
        <f>EXP(-LN(2)/25)*CL114+(1-EXP(-LN(2)/25))/(LN(2)/25)*Calculateur!CG115*Calculateur!CI115*VLOOKUP('Données projet'!$B$12,Paramètres!$A$1:$I$89,3,0)*0.475*44/12</f>
        <v>1.1131607215097434</v>
      </c>
      <c r="CM115" s="21">
        <f>EXP(-LN(2)/2)*CM114+(1-EXP(-LN(2)/2))/(LN(2)/2)*CG115*CJ115*VLOOKUP('Données projet'!$B$12,Paramètres!$A$1:$I$89,3,0)*0.475*44/12</f>
        <v>4.0802881680179077E-12</v>
      </c>
      <c r="CN115" s="22">
        <f t="shared" si="66"/>
        <v>2.7731596754785359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-1.0286385077051818E-13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237.64646718446005</v>
      </c>
      <c r="T116" s="59">
        <f t="shared" si="88"/>
        <v>156.67965022779907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0.64409738147900952</v>
      </c>
      <c r="AA116" s="21">
        <f>EXP(-LN(2)/25)*AA115+(1-EXP(-LN(2)/25))/(LN(2)/25)*Calculateur!V116*Calculateur!X116*VLOOKUP('Données projet'!$B$9,Paramètres!$A$1:$I$89,3,0)*0.475*44/12</f>
        <v>0.42009323401861037</v>
      </c>
      <c r="AB116" s="21">
        <f>EXP(-LN(2)/2)*AB115+(1-EXP(-LN(2)/2))/(LN(2)/2)*V116*Y116*VLOOKUP('Données projet'!$B$9,Paramètres!$A$1:$I$89,3,0)*0.475*44/12</f>
        <v>1.9623600595242171E-12</v>
      </c>
      <c r="AC116" s="22">
        <f t="shared" si="57"/>
        <v>1.0641906154995824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-1.1527845344971866E-13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272.93635583300755</v>
      </c>
      <c r="AO116" s="59">
        <f t="shared" si="90"/>
        <v>179.56041631665812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0.72183327234716599</v>
      </c>
      <c r="AV116" s="21">
        <f>EXP(-LN(2)/25)*AV115+(1-EXP(-LN(2)/25))/(LN(2)/25)*Calculateur!AQ116*Calculateur!AS116*VLOOKUP('Données projet'!$B$10,Paramètres!$A$1:$I$89,3,0)*0.475*44/12</f>
        <v>0.47079414157258048</v>
      </c>
      <c r="AW116" s="21">
        <f>EXP(-LN(2)/2)*AW115+(1-EXP(-LN(2)/2))/(LN(2)/2)*AQ116*AT116*VLOOKUP('Données projet'!$B$10,Paramètres!$A$1:$I$89,3,0)*0.475*44/12</f>
        <v>2.199196618432313E-12</v>
      </c>
      <c r="AX116" s="21">
        <f t="shared" si="60"/>
        <v>1.1926274139219455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226.0452828290525</v>
      </c>
      <c r="BJ116" s="59">
        <f t="shared" si="92"/>
        <v>179.89696397462069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1.7540071206643015</v>
      </c>
      <c r="BQ116" s="21">
        <f>EXP(-LN(2)/25)*BQ115+(1-EXP(-LN(2)/25))/(LN(2)/25)*Calculateur!BL116*Calculateur!BN116*VLOOKUP('Données projet'!$B$11,Paramètres!$A$1:$I$89,3,0)*0.475*44/12</f>
        <v>1.1166233401183108</v>
      </c>
      <c r="BR116" s="21">
        <f>EXP(-LN(2)/2)*BR115+(1-EXP(-LN(2)/2))/(LN(2)/2)*BL116*BO116*VLOOKUP('Données projet'!$B$11,Paramètres!$A$1:$I$89,3,0)*0.475*44/12</f>
        <v>3.5509725191349595E-12</v>
      </c>
      <c r="BS116" s="22">
        <f t="shared" si="63"/>
        <v>2.8706304607861632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-1.7053025658242404E-13</v>
      </c>
      <c r="BZ116" s="13">
        <f>BY116*VLOOKUP('Données projet'!$B$12,Paramètres!$A$1:$I$89,3,0)*VLOOKUP('Données projet'!$B$12,Paramètres!$A$1:$I$89,5,0)</f>
        <v>-1.3567387213697657E-13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219.43439115440339</v>
      </c>
      <c r="CE116" s="59">
        <f t="shared" si="94"/>
        <v>217.8880462742099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1.6274473869768502</v>
      </c>
      <c r="CL116" s="21">
        <f>EXP(-LN(2)/25)*CL115+(1-EXP(-LN(2)/25))/(LN(2)/25)*Calculateur!CG116*Calculateur!CI116*VLOOKUP('Données projet'!$B$12,Paramètres!$A$1:$I$89,3,0)*0.475*44/12</f>
        <v>1.0827212830414814</v>
      </c>
      <c r="CM116" s="21">
        <f>EXP(-LN(2)/2)*CM115+(1-EXP(-LN(2)/2))/(LN(2)/2)*CG116*CJ116*VLOOKUP('Données projet'!$B$12,Paramètres!$A$1:$I$89,3,0)*0.475*44/12</f>
        <v>2.8851994328006976E-12</v>
      </c>
      <c r="CN116" s="22">
        <f t="shared" si="66"/>
        <v>2.7101686700212171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-1.0286385077051818E-13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237.64646718446005</v>
      </c>
      <c r="T117" s="59">
        <f t="shared" si="88"/>
        <v>156.67965022779907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0.6314670246888171</v>
      </c>
      <c r="AA117" s="21">
        <f>EXP(-LN(2)/25)*AA116+(1-EXP(-LN(2)/25))/(LN(2)/25)*Calculateur!V117*Calculateur!X117*VLOOKUP('Données projet'!$B$9,Paramètres!$A$1:$I$89,3,0)*0.475*44/12</f>
        <v>0.40860576244262842</v>
      </c>
      <c r="AB117" s="21">
        <f>EXP(-LN(2)/2)*AB116+(1-EXP(-LN(2)/2))/(LN(2)/2)*V117*Y117*VLOOKUP('Données projet'!$B$9,Paramètres!$A$1:$I$89,3,0)*0.475*44/12</f>
        <v>1.387598105219211E-12</v>
      </c>
      <c r="AC117" s="22">
        <f t="shared" si="57"/>
        <v>1.040072787132833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-1.1527845344971866E-13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272.93635583300755</v>
      </c>
      <c r="AO117" s="59">
        <f t="shared" si="90"/>
        <v>179.56041631665812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0.70767856215126068</v>
      </c>
      <c r="AV117" s="21">
        <f>EXP(-LN(2)/25)*AV116+(1-EXP(-LN(2)/25))/(LN(2)/25)*Calculateur!AQ117*Calculateur!AS117*VLOOKUP('Données projet'!$B$10,Paramètres!$A$1:$I$89,3,0)*0.475*44/12</f>
        <v>0.45792025101329037</v>
      </c>
      <c r="AW117" s="21">
        <f>EXP(-LN(2)/2)*AW116+(1-EXP(-LN(2)/2))/(LN(2)/2)*AQ117*AT117*VLOOKUP('Données projet'!$B$10,Paramètres!$A$1:$I$89,3,0)*0.475*44/12</f>
        <v>1.5550668420560128E-12</v>
      </c>
      <c r="AX117" s="21">
        <f t="shared" si="60"/>
        <v>1.1655988131661059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226.0452828290525</v>
      </c>
      <c r="BJ117" s="59">
        <f t="shared" si="92"/>
        <v>179.89696397462069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1.7196121108667803</v>
      </c>
      <c r="BQ117" s="21">
        <f>EXP(-LN(2)/25)*BQ116+(1-EXP(-LN(2)/25))/(LN(2)/25)*Calculateur!BL117*Calculateur!BN117*VLOOKUP('Données projet'!$B$11,Paramètres!$A$1:$I$89,3,0)*0.475*44/12</f>
        <v>1.0860892161621061</v>
      </c>
      <c r="BR117" s="21">
        <f>EXP(-LN(2)/2)*BR116+(1-EXP(-LN(2)/2))/(LN(2)/2)*BL117*BO117*VLOOKUP('Données projet'!$B$11,Paramètres!$A$1:$I$89,3,0)*0.475*44/12</f>
        <v>2.5109167480874075E-12</v>
      </c>
      <c r="BS117" s="22">
        <f t="shared" si="63"/>
        <v>2.8057013270313975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-1.7053025658242404E-13</v>
      </c>
      <c r="BZ117" s="13">
        <f>BY117*VLOOKUP('Données projet'!$B$12,Paramètres!$A$1:$I$89,3,0)*VLOOKUP('Données projet'!$B$12,Paramètres!$A$1:$I$89,5,0)</f>
        <v>-1.3567387213697657E-13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219.43439115440339</v>
      </c>
      <c r="CE117" s="59">
        <f t="shared" si="94"/>
        <v>217.8880462742099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1.5955341363631248</v>
      </c>
      <c r="CL117" s="21">
        <f>EXP(-LN(2)/25)*CL116+(1-EXP(-LN(2)/25))/(LN(2)/25)*Calculateur!CG117*Calculateur!CI117*VLOOKUP('Données projet'!$B$12,Paramètres!$A$1:$I$89,3,0)*0.475*44/12</f>
        <v>1.0531142126188744</v>
      </c>
      <c r="CM117" s="21">
        <f>EXP(-LN(2)/2)*CM116+(1-EXP(-LN(2)/2))/(LN(2)/2)*CG117*CJ117*VLOOKUP('Données projet'!$B$12,Paramètres!$A$1:$I$89,3,0)*0.475*44/12</f>
        <v>2.0401440840089539E-12</v>
      </c>
      <c r="CN117" s="22">
        <f t="shared" si="66"/>
        <v>2.6486483489840396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-1.0286385077051818E-13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237.64646718446005</v>
      </c>
      <c r="T118" s="59">
        <f t="shared" si="88"/>
        <v>156.67965022779907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0.61908434149152336</v>
      </c>
      <c r="AA118" s="21">
        <f>EXP(-LN(2)/25)*AA117+(1-EXP(-LN(2)/25))/(LN(2)/25)*Calculateur!V118*Calculateur!X118*VLOOKUP('Données projet'!$B$9,Paramètres!$A$1:$I$89,3,0)*0.475*44/12</f>
        <v>0.39743241638099158</v>
      </c>
      <c r="AB118" s="21">
        <f>EXP(-LN(2)/2)*AB117+(1-EXP(-LN(2)/2))/(LN(2)/2)*V118*Y118*VLOOKUP('Données projet'!$B$9,Paramètres!$A$1:$I$89,3,0)*0.475*44/12</f>
        <v>9.8118002976210855E-13</v>
      </c>
      <c r="AC118" s="22">
        <f t="shared" si="57"/>
        <v>1.0165167578734962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-1.1527845344971866E-13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272.93635583300755</v>
      </c>
      <c r="AO118" s="59">
        <f t="shared" si="90"/>
        <v>179.56041631665812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0.6938014171887763</v>
      </c>
      <c r="AV118" s="21">
        <f>EXP(-LN(2)/25)*AV117+(1-EXP(-LN(2)/25))/(LN(2)/25)*Calculateur!AQ118*Calculateur!AS118*VLOOKUP('Données projet'!$B$10,Paramètres!$A$1:$I$89,3,0)*0.475*44/12</f>
        <v>0.44539839766835254</v>
      </c>
      <c r="AW118" s="21">
        <f>EXP(-LN(2)/2)*AW117+(1-EXP(-LN(2)/2))/(LN(2)/2)*AQ118*AT118*VLOOKUP('Données projet'!$B$10,Paramètres!$A$1:$I$89,3,0)*0.475*44/12</f>
        <v>1.0995983092161565E-12</v>
      </c>
      <c r="AX118" s="21">
        <f t="shared" si="60"/>
        <v>1.1391998148582285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226.0452828290525</v>
      </c>
      <c r="BJ118" s="59">
        <f t="shared" si="92"/>
        <v>179.89696397462069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1.685891566232504</v>
      </c>
      <c r="BQ118" s="21">
        <f>EXP(-LN(2)/25)*BQ117+(1-EXP(-LN(2)/25))/(LN(2)/25)*Calculateur!BL118*Calculateur!BN118*VLOOKUP('Données projet'!$B$11,Paramètres!$A$1:$I$89,3,0)*0.475*44/12</f>
        <v>1.0563900494312037</v>
      </c>
      <c r="BR118" s="21">
        <f>EXP(-LN(2)/2)*BR117+(1-EXP(-LN(2)/2))/(LN(2)/2)*BL118*BO118*VLOOKUP('Données projet'!$B$11,Paramètres!$A$1:$I$89,3,0)*0.475*44/12</f>
        <v>1.7754862595674799E-12</v>
      </c>
      <c r="BS118" s="22">
        <f t="shared" si="63"/>
        <v>2.7422816156654832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-1.7053025658242404E-13</v>
      </c>
      <c r="BZ118" s="13">
        <f>BY118*VLOOKUP('Données projet'!$B$12,Paramètres!$A$1:$I$89,3,0)*VLOOKUP('Données projet'!$B$12,Paramètres!$A$1:$I$89,5,0)</f>
        <v>-1.3567387213697657E-13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219.43439115440339</v>
      </c>
      <c r="CE118" s="59">
        <f t="shared" si="94"/>
        <v>217.8880462742099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1.5642466851287735</v>
      </c>
      <c r="CL118" s="21">
        <f>EXP(-LN(2)/25)*CL117+(1-EXP(-LN(2)/25))/(LN(2)/25)*Calculateur!CG118*Calculateur!CI118*VLOOKUP('Données projet'!$B$12,Paramètres!$A$1:$I$89,3,0)*0.475*44/12</f>
        <v>1.0243167490939418</v>
      </c>
      <c r="CM118" s="21">
        <f>EXP(-LN(2)/2)*CM117+(1-EXP(-LN(2)/2))/(LN(2)/2)*CG118*CJ118*VLOOKUP('Données projet'!$B$12,Paramètres!$A$1:$I$89,3,0)*0.475*44/12</f>
        <v>1.4425997164003488E-12</v>
      </c>
      <c r="CN118" s="22">
        <f t="shared" si="66"/>
        <v>2.5885634342241577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-1.0286385077051818E-13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237.64646718446005</v>
      </c>
      <c r="T119" s="59">
        <f t="shared" si="88"/>
        <v>156.67965022779907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0.6069444751590376</v>
      </c>
      <c r="AA119" s="21">
        <f>EXP(-LN(2)/25)*AA118+(1-EXP(-LN(2)/25))/(LN(2)/25)*Calculateur!V119*Calculateur!X119*VLOOKUP('Données projet'!$B$9,Paramètres!$A$1:$I$89,3,0)*0.475*44/12</f>
        <v>0.38656460605499093</v>
      </c>
      <c r="AB119" s="21">
        <f>EXP(-LN(2)/2)*AB118+(1-EXP(-LN(2)/2))/(LN(2)/2)*V119*Y119*VLOOKUP('Données projet'!$B$9,Paramètres!$A$1:$I$89,3,0)*0.475*44/12</f>
        <v>6.9379905260960548E-13</v>
      </c>
      <c r="AC119" s="22">
        <f t="shared" si="57"/>
        <v>0.99350908121472237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-1.1527845344971866E-13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272.93635583300755</v>
      </c>
      <c r="AO119" s="59">
        <f t="shared" si="90"/>
        <v>179.56041631665812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0.68019639457478365</v>
      </c>
      <c r="AV119" s="21">
        <f>EXP(-LN(2)/25)*AV118+(1-EXP(-LN(2)/25))/(LN(2)/25)*Calculateur!AQ119*Calculateur!AS119*VLOOKUP('Données projet'!$B$10,Paramètres!$A$1:$I$89,3,0)*0.475*44/12</f>
        <v>0.43321895506162766</v>
      </c>
      <c r="AW119" s="21">
        <f>EXP(-LN(2)/2)*AW118+(1-EXP(-LN(2)/2))/(LN(2)/2)*AQ119*AT119*VLOOKUP('Données projet'!$B$10,Paramètres!$A$1:$I$89,3,0)*0.475*44/12</f>
        <v>7.7753342102800641E-13</v>
      </c>
      <c r="AX119" s="21">
        <f t="shared" si="60"/>
        <v>1.1134153496371888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226.0452828290525</v>
      </c>
      <c r="BJ119" s="59">
        <f t="shared" si="92"/>
        <v>179.89696397462069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1.6528322609110047</v>
      </c>
      <c r="BQ119" s="21">
        <f>EXP(-LN(2)/25)*BQ118+(1-EXP(-LN(2)/25))/(LN(2)/25)*Calculateur!BL119*Calculateur!BN119*VLOOKUP('Données projet'!$B$11,Paramètres!$A$1:$I$89,3,0)*0.475*44/12</f>
        <v>1.0275030079763692</v>
      </c>
      <c r="BR119" s="21">
        <f>EXP(-LN(2)/2)*BR118+(1-EXP(-LN(2)/2))/(LN(2)/2)*BL119*BO119*VLOOKUP('Données projet'!$B$11,Paramètres!$A$1:$I$89,3,0)*0.475*44/12</f>
        <v>1.2554583740437039E-12</v>
      </c>
      <c r="BS119" s="22">
        <f t="shared" si="63"/>
        <v>2.6803352688886295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-1.7053025658242404E-13</v>
      </c>
      <c r="BZ119" s="13">
        <f>BY119*VLOOKUP('Données projet'!$B$12,Paramètres!$A$1:$I$89,3,0)*VLOOKUP('Données projet'!$B$12,Paramètres!$A$1:$I$89,5,0)</f>
        <v>-1.3567387213697657E-13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219.43439115440339</v>
      </c>
      <c r="CE119" s="59">
        <f t="shared" si="94"/>
        <v>217.8880462742099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1.5335727617296671</v>
      </c>
      <c r="CL119" s="21">
        <f>EXP(-LN(2)/25)*CL118+(1-EXP(-LN(2)/25))/(LN(2)/25)*Calculateur!CG119*Calculateur!CI119*VLOOKUP('Données projet'!$B$12,Paramètres!$A$1:$I$89,3,0)*0.475*44/12</f>
        <v>0.9963067537234912</v>
      </c>
      <c r="CM119" s="21">
        <f>EXP(-LN(2)/2)*CM118+(1-EXP(-LN(2)/2))/(LN(2)/2)*CG119*CJ119*VLOOKUP('Données projet'!$B$12,Paramètres!$A$1:$I$89,3,0)*0.475*44/12</f>
        <v>1.0200720420044769E-12</v>
      </c>
      <c r="CN119" s="22">
        <f t="shared" si="66"/>
        <v>2.5298795154541782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-1.0286385077051818E-13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237.64646718446005</v>
      </c>
      <c r="T120" s="59">
        <f t="shared" si="88"/>
        <v>156.67965022779907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0.59504266420074459</v>
      </c>
      <c r="AA120" s="21">
        <f>EXP(-LN(2)/25)*AA119+(1-EXP(-LN(2)/25))/(LN(2)/25)*Calculateur!V120*Calculateur!X120*VLOOKUP('Données projet'!$B$9,Paramètres!$A$1:$I$89,3,0)*0.475*44/12</f>
        <v>0.37599397657386807</v>
      </c>
      <c r="AB120" s="21">
        <f>EXP(-LN(2)/2)*AB119+(1-EXP(-LN(2)/2))/(LN(2)/2)*V120*Y120*VLOOKUP('Données projet'!$B$9,Paramètres!$A$1:$I$89,3,0)*0.475*44/12</f>
        <v>4.9059001488105428E-13</v>
      </c>
      <c r="AC120" s="22">
        <f t="shared" si="57"/>
        <v>0.97103664077510332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-1.1527845344971866E-13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272.93635583300755</v>
      </c>
      <c r="AO120" s="59">
        <f t="shared" si="90"/>
        <v>179.56041631665812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0.66685815815600691</v>
      </c>
      <c r="AV120" s="21">
        <f>EXP(-LN(2)/25)*AV119+(1-EXP(-LN(2)/25))/(LN(2)/25)*Calculateur!AQ120*Calculateur!AS120*VLOOKUP('Données projet'!$B$10,Paramètres!$A$1:$I$89,3,0)*0.475*44/12</f>
        <v>0.42137255995347273</v>
      </c>
      <c r="AW120" s="21">
        <f>EXP(-LN(2)/2)*AW119+(1-EXP(-LN(2)/2))/(LN(2)/2)*AQ120*AT120*VLOOKUP('Données projet'!$B$10,Paramètres!$A$1:$I$89,3,0)*0.475*44/12</f>
        <v>5.4979915460807825E-13</v>
      </c>
      <c r="AX120" s="21">
        <f t="shared" si="60"/>
        <v>1.0882307181100295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226.0452828290525</v>
      </c>
      <c r="BJ120" s="59">
        <f t="shared" si="92"/>
        <v>179.89696397462069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1.6204212284026747</v>
      </c>
      <c r="BQ120" s="21">
        <f>EXP(-LN(2)/25)*BQ119+(1-EXP(-LN(2)/25))/(LN(2)/25)*Calculateur!BL120*Calculateur!BN120*VLOOKUP('Données projet'!$B$11,Paramètres!$A$1:$I$89,3,0)*0.475*44/12</f>
        <v>0.99940588418922061</v>
      </c>
      <c r="BR120" s="21">
        <f>EXP(-LN(2)/2)*BR119+(1-EXP(-LN(2)/2))/(LN(2)/2)*BL120*BO120*VLOOKUP('Données projet'!$B$11,Paramètres!$A$1:$I$89,3,0)*0.475*44/12</f>
        <v>8.8774312978374017E-13</v>
      </c>
      <c r="BS120" s="22">
        <f t="shared" si="63"/>
        <v>2.619827112592783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-1.7053025658242404E-13</v>
      </c>
      <c r="BZ120" s="13">
        <f>BY120*VLOOKUP('Données projet'!$B$12,Paramètres!$A$1:$I$89,3,0)*VLOOKUP('Données projet'!$B$12,Paramètres!$A$1:$I$89,5,0)</f>
        <v>-1.3567387213697657E-13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219.43439115440339</v>
      </c>
      <c r="CE120" s="59">
        <f t="shared" si="94"/>
        <v>217.8880462742099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1.5035003352591712</v>
      </c>
      <c r="CL120" s="21">
        <f>EXP(-LN(2)/25)*CL119+(1-EXP(-LN(2)/25))/(LN(2)/25)*Calculateur!CG120*Calculateur!CI120*VLOOKUP('Données projet'!$B$12,Paramètres!$A$1:$I$89,3,0)*0.475*44/12</f>
        <v>0.96906269314942728</v>
      </c>
      <c r="CM120" s="21">
        <f>EXP(-LN(2)/2)*CM119+(1-EXP(-LN(2)/2))/(LN(2)/2)*CG120*CJ120*VLOOKUP('Données projet'!$B$12,Paramètres!$A$1:$I$89,3,0)*0.475*44/12</f>
        <v>7.2129985820017441E-13</v>
      </c>
      <c r="CN120" s="22">
        <f t="shared" si="66"/>
        <v>2.4725630284093194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-1.0286385077051818E-13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237.64646718446005</v>
      </c>
      <c r="T121" s="59">
        <f t="shared" si="88"/>
        <v>156.67965022779907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0.58337424049595576</v>
      </c>
      <c r="AA121" s="21">
        <f>EXP(-LN(2)/25)*AA120+(1-EXP(-LN(2)/25))/(LN(2)/25)*Calculateur!V121*Calculateur!X121*VLOOKUP('Données projet'!$B$9,Paramètres!$A$1:$I$89,3,0)*0.475*44/12</f>
        <v>0.36571240151179174</v>
      </c>
      <c r="AB121" s="21">
        <f>EXP(-LN(2)/2)*AB120+(1-EXP(-LN(2)/2))/(LN(2)/2)*V121*Y121*VLOOKUP('Données projet'!$B$9,Paramètres!$A$1:$I$89,3,0)*0.475*44/12</f>
        <v>3.4689952630480274E-13</v>
      </c>
      <c r="AC121" s="22">
        <f t="shared" si="57"/>
        <v>0.94908664200809445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-1.1527845344971866E-13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272.93635583300755</v>
      </c>
      <c r="AO121" s="59">
        <f t="shared" si="90"/>
        <v>179.56041631665812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0.65378147641788154</v>
      </c>
      <c r="AV121" s="21">
        <f>EXP(-LN(2)/25)*AV120+(1-EXP(-LN(2)/25))/(LN(2)/25)*Calculateur!AQ121*Calculateur!AS121*VLOOKUP('Données projet'!$B$10,Paramètres!$A$1:$I$89,3,0)*0.475*44/12</f>
        <v>0.40985010514252512</v>
      </c>
      <c r="AW121" s="21">
        <f>EXP(-LN(2)/2)*AW120+(1-EXP(-LN(2)/2))/(LN(2)/2)*AQ121*AT121*VLOOKUP('Données projet'!$B$10,Paramètres!$A$1:$I$89,3,0)*0.475*44/12</f>
        <v>3.887667105140032E-13</v>
      </c>
      <c r="AX121" s="21">
        <f t="shared" si="60"/>
        <v>1.0636315815607955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226.0452828290525</v>
      </c>
      <c r="BJ121" s="59">
        <f t="shared" si="92"/>
        <v>179.89696397462069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1.5886457564730552</v>
      </c>
      <c r="BQ121" s="21">
        <f>EXP(-LN(2)/25)*BQ120+(1-EXP(-LN(2)/25))/(LN(2)/25)*Calculateur!BL121*Calculateur!BN121*VLOOKUP('Données projet'!$B$11,Paramètres!$A$1:$I$89,3,0)*0.475*44/12</f>
        <v>0.97207707772959506</v>
      </c>
      <c r="BR121" s="21">
        <f>EXP(-LN(2)/2)*BR120+(1-EXP(-LN(2)/2))/(LN(2)/2)*BL121*BO121*VLOOKUP('Données projet'!$B$11,Paramètres!$A$1:$I$89,3,0)*0.475*44/12</f>
        <v>6.2772918702185207E-13</v>
      </c>
      <c r="BS121" s="22">
        <f t="shared" si="63"/>
        <v>2.5607228342032782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-1.7053025658242404E-13</v>
      </c>
      <c r="BZ121" s="13">
        <f>BY121*VLOOKUP('Données projet'!$B$12,Paramètres!$A$1:$I$89,3,0)*VLOOKUP('Données projet'!$B$12,Paramètres!$A$1:$I$89,5,0)</f>
        <v>-1.3567387213697657E-13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219.43439115440339</v>
      </c>
      <c r="CE121" s="59">
        <f t="shared" si="94"/>
        <v>217.8880462742099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1.4740176107293927</v>
      </c>
      <c r="CL121" s="21">
        <f>EXP(-LN(2)/25)*CL120+(1-EXP(-LN(2)/25))/(LN(2)/25)*Calculateur!CG121*Calculateur!CI121*VLOOKUP('Données projet'!$B$12,Paramètres!$A$1:$I$89,3,0)*0.475*44/12</f>
        <v>0.94256362284446393</v>
      </c>
      <c r="CM121" s="21">
        <f>EXP(-LN(2)/2)*CM120+(1-EXP(-LN(2)/2))/(LN(2)/2)*CG121*CJ121*VLOOKUP('Données projet'!$B$12,Paramètres!$A$1:$I$89,3,0)*0.475*44/12</f>
        <v>5.1003602100223847E-13</v>
      </c>
      <c r="CN121" s="22">
        <f t="shared" si="66"/>
        <v>2.4165812335743664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-1.0286385077051818E-13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237.64646718446005</v>
      </c>
      <c r="T122" s="59">
        <f t="shared" si="88"/>
        <v>156.67965022779907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0.57193462746298218</v>
      </c>
      <c r="AA122" s="21">
        <f>EXP(-LN(2)/25)*AA121+(1-EXP(-LN(2)/25))/(LN(2)/25)*Calculateur!V122*Calculateur!X122*VLOOKUP('Données projet'!$B$9,Paramètres!$A$1:$I$89,3,0)*0.475*44/12</f>
        <v>0.35571197666047244</v>
      </c>
      <c r="AB122" s="21">
        <f>EXP(-LN(2)/2)*AB121+(1-EXP(-LN(2)/2))/(LN(2)/2)*V122*Y122*VLOOKUP('Données projet'!$B$9,Paramètres!$A$1:$I$89,3,0)*0.475*44/12</f>
        <v>2.4529500744052714E-13</v>
      </c>
      <c r="AC122" s="22">
        <f t="shared" si="57"/>
        <v>0.92764660412369981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-1.1527845344971866E-13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272.93635583300755</v>
      </c>
      <c r="AO122" s="59">
        <f t="shared" si="90"/>
        <v>179.56041631665812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0.64096122043265247</v>
      </c>
      <c r="AV122" s="21">
        <f>EXP(-LN(2)/25)*AV121+(1-EXP(-LN(2)/25))/(LN(2)/25)*Calculateur!AQ122*Calculateur!AS122*VLOOKUP('Données projet'!$B$10,Paramètres!$A$1:$I$89,3,0)*0.475*44/12</f>
        <v>0.39864273246432247</v>
      </c>
      <c r="AW122" s="21">
        <f>EXP(-LN(2)/2)*AW121+(1-EXP(-LN(2)/2))/(LN(2)/2)*AQ122*AT122*VLOOKUP('Données projet'!$B$10,Paramètres!$A$1:$I$89,3,0)*0.475*44/12</f>
        <v>2.7489957730403912E-13</v>
      </c>
      <c r="AX122" s="21">
        <f t="shared" si="60"/>
        <v>1.0396039528972498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226.0452828290525</v>
      </c>
      <c r="BJ122" s="59">
        <f t="shared" si="92"/>
        <v>179.89696397462069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1.5574933821668513</v>
      </c>
      <c r="BQ122" s="21">
        <f>EXP(-LN(2)/25)*BQ121+(1-EXP(-LN(2)/25))/(LN(2)/25)*Calculateur!BL122*Calculateur!BN122*VLOOKUP('Données projet'!$B$11,Paramètres!$A$1:$I$89,3,0)*0.475*44/12</f>
        <v>0.94549557891976743</v>
      </c>
      <c r="BR122" s="21">
        <f>EXP(-LN(2)/2)*BR121+(1-EXP(-LN(2)/2))/(LN(2)/2)*BL122*BO122*VLOOKUP('Données projet'!$B$11,Paramètres!$A$1:$I$89,3,0)*0.475*44/12</f>
        <v>4.4387156489187014E-13</v>
      </c>
      <c r="BS122" s="22">
        <f t="shared" si="63"/>
        <v>2.5029889610870626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-1.7053025658242404E-13</v>
      </c>
      <c r="BZ122" s="13">
        <f>BY122*VLOOKUP('Données projet'!$B$12,Paramètres!$A$1:$I$89,3,0)*VLOOKUP('Données projet'!$B$12,Paramètres!$A$1:$I$89,5,0)</f>
        <v>-1.3567387213697657E-13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219.43439115440339</v>
      </c>
      <c r="CE122" s="59">
        <f t="shared" si="94"/>
        <v>217.8880462742099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1.4451130244449568</v>
      </c>
      <c r="CL122" s="21">
        <f>EXP(-LN(2)/25)*CL121+(1-EXP(-LN(2)/25))/(LN(2)/25)*Calculateur!CG122*Calculateur!CI122*VLOOKUP('Données projet'!$B$12,Paramètres!$A$1:$I$89,3,0)*0.475*44/12</f>
        <v>0.91678917101051538</v>
      </c>
      <c r="CM122" s="21">
        <f>EXP(-LN(2)/2)*CM121+(1-EXP(-LN(2)/2))/(LN(2)/2)*CG122*CJ122*VLOOKUP('Données projet'!$B$12,Paramètres!$A$1:$I$89,3,0)*0.475*44/12</f>
        <v>3.606499291000872E-13</v>
      </c>
      <c r="CN122" s="22">
        <f t="shared" si="66"/>
        <v>2.3619021954558326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-1.0286385077051818E-13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237.64646718446005</v>
      </c>
      <c r="T123" s="59">
        <f t="shared" si="88"/>
        <v>156.67965022779907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0.56071933826411025</v>
      </c>
      <c r="AA123" s="21">
        <f>EXP(-LN(2)/25)*AA122+(1-EXP(-LN(2)/25))/(LN(2)/25)*Calculateur!V123*Calculateur!X123*VLOOKUP('Données projet'!$B$9,Paramètres!$A$1:$I$89,3,0)*0.475*44/12</f>
        <v>0.34598501395261194</v>
      </c>
      <c r="AB123" s="21">
        <f>EXP(-LN(2)/2)*AB122+(1-EXP(-LN(2)/2))/(LN(2)/2)*V123*Y123*VLOOKUP('Données projet'!$B$9,Paramètres!$A$1:$I$89,3,0)*0.475*44/12</f>
        <v>1.7344976315240137E-13</v>
      </c>
      <c r="AC123" s="22">
        <f t="shared" si="57"/>
        <v>0.9067043522168956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-1.1527845344971866E-13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272.93635583300755</v>
      </c>
      <c r="AO123" s="59">
        <f t="shared" si="90"/>
        <v>179.56041631665812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0.62839236184770975</v>
      </c>
      <c r="AV123" s="21">
        <f>EXP(-LN(2)/25)*AV122+(1-EXP(-LN(2)/25))/(LN(2)/25)*Calculateur!AQ123*Calculateur!AS123*VLOOKUP('Données projet'!$B$10,Paramètres!$A$1:$I$89,3,0)*0.475*44/12</f>
        <v>0.38774182598137535</v>
      </c>
      <c r="AW123" s="21">
        <f>EXP(-LN(2)/2)*AW122+(1-EXP(-LN(2)/2))/(LN(2)/2)*AQ123*AT123*VLOOKUP('Données projet'!$B$10,Paramètres!$A$1:$I$89,3,0)*0.475*44/12</f>
        <v>1.943833552570016E-13</v>
      </c>
      <c r="AX123" s="21">
        <f t="shared" si="60"/>
        <v>1.0161341878292793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226.0452828290525</v>
      </c>
      <c r="BJ123" s="59">
        <f t="shared" si="92"/>
        <v>179.89696397462069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1.5269518869197201</v>
      </c>
      <c r="BQ123" s="21">
        <f>EXP(-LN(2)/25)*BQ122+(1-EXP(-LN(2)/25))/(LN(2)/25)*Calculateur!BL123*Calculateur!BN123*VLOOKUP('Données projet'!$B$11,Paramètres!$A$1:$I$89,3,0)*0.475*44/12</f>
        <v>0.9196409525927548</v>
      </c>
      <c r="BR123" s="21">
        <f>EXP(-LN(2)/2)*BR122+(1-EXP(-LN(2)/2))/(LN(2)/2)*BL123*BO123*VLOOKUP('Données projet'!$B$11,Paramètres!$A$1:$I$89,3,0)*0.475*44/12</f>
        <v>3.1386459351092609E-13</v>
      </c>
      <c r="BS123" s="22">
        <f t="shared" si="63"/>
        <v>2.4465928395127889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-1.7053025658242404E-13</v>
      </c>
      <c r="BZ123" s="13">
        <f>BY123*VLOOKUP('Données projet'!$B$12,Paramètres!$A$1:$I$89,3,0)*VLOOKUP('Données projet'!$B$12,Paramètres!$A$1:$I$89,5,0)</f>
        <v>-1.3567387213697657E-13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219.43439115440339</v>
      </c>
      <c r="CE123" s="59">
        <f t="shared" si="94"/>
        <v>217.8880462742099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1.4167752394675019</v>
      </c>
      <c r="CL123" s="21">
        <f>EXP(-LN(2)/25)*CL122+(1-EXP(-LN(2)/25))/(LN(2)/25)*Calculateur!CG123*Calculateur!CI123*VLOOKUP('Données projet'!$B$12,Paramètres!$A$1:$I$89,3,0)*0.475*44/12</f>
        <v>0.89171952291738565</v>
      </c>
      <c r="CM123" s="21">
        <f>EXP(-LN(2)/2)*CM122+(1-EXP(-LN(2)/2))/(LN(2)/2)*CG123*CJ123*VLOOKUP('Données projet'!$B$12,Paramètres!$A$1:$I$89,3,0)*0.475*44/12</f>
        <v>2.5501801050111923E-13</v>
      </c>
      <c r="CN123" s="22">
        <f t="shared" si="66"/>
        <v>2.3084947623851426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237.64646718446005</v>
      </c>
      <c r="T124" s="59">
        <f t="shared" si="88"/>
        <v>156.67965022779907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0.54972397404577722</v>
      </c>
      <c r="AA124" s="21">
        <f>EXP(-LN(2)/25)*AA123+(1-EXP(-LN(2)/25))/(LN(2)/25)*Calculateur!V124*Calculateur!X124*VLOOKUP('Données projet'!$B$9,Paramètres!$A$1:$I$89,3,0)*0.475*44/12</f>
        <v>0.33652403555151666</v>
      </c>
      <c r="AB124" s="21">
        <f>EXP(-LN(2)/2)*AB123+(1-EXP(-LN(2)/2))/(LN(2)/2)*V124*Y124*VLOOKUP('Données projet'!$B$9,Paramètres!$A$1:$I$89,3,0)*0.475*44/12</f>
        <v>1.2264750372026357E-13</v>
      </c>
      <c r="AC124" s="22">
        <f t="shared" si="57"/>
        <v>0.88624800959741656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-1.1527845344971866E-13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272.93635583300755</v>
      </c>
      <c r="AO124" s="59">
        <f t="shared" si="90"/>
        <v>179.56041631665812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0.61606997091337101</v>
      </c>
      <c r="AV124" s="21">
        <f>EXP(-LN(2)/25)*AV123+(1-EXP(-LN(2)/25))/(LN(2)/25)*Calculateur!AQ124*Calculateur!AS124*VLOOKUP('Données projet'!$B$10,Paramètres!$A$1:$I$89,3,0)*0.475*44/12</f>
        <v>0.37713900535945821</v>
      </c>
      <c r="AW124" s="21">
        <f>EXP(-LN(2)/2)*AW123+(1-EXP(-LN(2)/2))/(LN(2)/2)*AQ124*AT124*VLOOKUP('Données projet'!$B$10,Paramètres!$A$1:$I$89,3,0)*0.475*44/12</f>
        <v>1.3744978865201956E-13</v>
      </c>
      <c r="AX124" s="21">
        <f t="shared" si="60"/>
        <v>0.99320897627296667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226.0452828290525</v>
      </c>
      <c r="BJ124" s="59">
        <f t="shared" si="92"/>
        <v>179.89696397462069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1.4970092917659124</v>
      </c>
      <c r="BQ124" s="21">
        <f>EXP(-LN(2)/25)*BQ123+(1-EXP(-LN(2)/25))/(LN(2)/25)*Calculateur!BL124*Calculateur!BN124*VLOOKUP('Données projet'!$B$11,Paramètres!$A$1:$I$89,3,0)*0.475*44/12</f>
        <v>0.89449332238229007</v>
      </c>
      <c r="BR124" s="21">
        <f>EXP(-LN(2)/2)*BR123+(1-EXP(-LN(2)/2))/(LN(2)/2)*BL124*BO124*VLOOKUP('Données projet'!$B$11,Paramètres!$A$1:$I$89,3,0)*0.475*44/12</f>
        <v>2.2193578244593512E-13</v>
      </c>
      <c r="BS124" s="22">
        <f t="shared" si="63"/>
        <v>2.3915026141484246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-1.7053025658242404E-13</v>
      </c>
      <c r="BZ124" s="13">
        <f>BY124*VLOOKUP('Données projet'!$B$12,Paramètres!$A$1:$I$89,3,0)*VLOOKUP('Données projet'!$B$12,Paramètres!$A$1:$I$89,5,0)</f>
        <v>-1.3567387213697657E-13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219.43439115440339</v>
      </c>
      <c r="CE124" s="59">
        <f t="shared" si="94"/>
        <v>217.8880462742099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1.3889931411691128</v>
      </c>
      <c r="CL124" s="21">
        <f>EXP(-LN(2)/25)*CL123+(1-EXP(-LN(2)/25))/(LN(2)/25)*Calculateur!CG124*Calculateur!CI124*VLOOKUP('Données projet'!$B$12,Paramètres!$A$1:$I$89,3,0)*0.475*44/12</f>
        <v>0.86733540566971812</v>
      </c>
      <c r="CM124" s="21">
        <f>EXP(-LN(2)/2)*CM123+(1-EXP(-LN(2)/2))/(LN(2)/2)*CG124*CJ124*VLOOKUP('Données projet'!$B$12,Paramètres!$A$1:$I$89,3,0)*0.475*44/12</f>
        <v>1.803249645500436E-13</v>
      </c>
      <c r="CN124" s="22">
        <f t="shared" si="66"/>
        <v>2.2563285468390113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237.64646718446005</v>
      </c>
      <c r="T125" s="59">
        <f t="shared" si="88"/>
        <v>156.67965022779907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0.53894422221325566</v>
      </c>
      <c r="AA125" s="21">
        <f>EXP(-LN(2)/25)*AA124+(1-EXP(-LN(2)/25))/(LN(2)/25)*Calculateur!V125*Calculateur!X125*VLOOKUP('Données projet'!$B$9,Paramètres!$A$1:$I$89,3,0)*0.475*44/12</f>
        <v>0.32732176810233055</v>
      </c>
      <c r="AB125" s="21">
        <f>EXP(-LN(2)/2)*AB124+(1-EXP(-LN(2)/2))/(LN(2)/2)*V125*Y125*VLOOKUP('Données projet'!$B$9,Paramètres!$A$1:$I$89,3,0)*0.475*44/12</f>
        <v>8.6724881576200685E-14</v>
      </c>
      <c r="AC125" s="22">
        <f t="shared" si="57"/>
        <v>0.86626599031567297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-1.1527845344971866E-13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272.93635583300755</v>
      </c>
      <c r="AO125" s="59">
        <f t="shared" si="90"/>
        <v>179.56041631665812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0.60398921454933829</v>
      </c>
      <c r="AV125" s="21">
        <f>EXP(-LN(2)/25)*AV124+(1-EXP(-LN(2)/25))/(LN(2)/25)*Calculateur!AQ125*Calculateur!AS125*VLOOKUP('Données projet'!$B$10,Paramètres!$A$1:$I$89,3,0)*0.475*44/12</f>
        <v>0.36682611942502552</v>
      </c>
      <c r="AW125" s="21">
        <f>EXP(-LN(2)/2)*AW124+(1-EXP(-LN(2)/2))/(LN(2)/2)*AQ125*AT125*VLOOKUP('Données projet'!$B$10,Paramètres!$A$1:$I$89,3,0)*0.475*44/12</f>
        <v>9.7191677628500801E-14</v>
      </c>
      <c r="AX125" s="21">
        <f t="shared" si="60"/>
        <v>0.97081533397446096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226.0452828290525</v>
      </c>
      <c r="BJ125" s="59">
        <f t="shared" si="92"/>
        <v>179.89696397462069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1.467653852639891</v>
      </c>
      <c r="BQ125" s="21">
        <f>EXP(-LN(2)/25)*BQ124+(1-EXP(-LN(2)/25))/(LN(2)/25)*Calculateur!BL125*Calculateur!BN125*VLOOKUP('Données projet'!$B$11,Paramètres!$A$1:$I$89,3,0)*0.475*44/12</f>
        <v>0.87003335544238691</v>
      </c>
      <c r="BR125" s="21">
        <f>EXP(-LN(2)/2)*BR124+(1-EXP(-LN(2)/2))/(LN(2)/2)*BL125*BO125*VLOOKUP('Données projet'!$B$11,Paramètres!$A$1:$I$89,3,0)*0.475*44/12</f>
        <v>1.5693229675546307E-13</v>
      </c>
      <c r="BS125" s="22">
        <f t="shared" si="63"/>
        <v>2.3376872080824347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-1.7053025658242404E-13</v>
      </c>
      <c r="BZ125" s="13">
        <f>BY125*VLOOKUP('Données projet'!$B$12,Paramètres!$A$1:$I$89,3,0)*VLOOKUP('Données projet'!$B$12,Paramètres!$A$1:$I$89,5,0)</f>
        <v>-1.3567387213697657E-13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219.43439115440339</v>
      </c>
      <c r="CE125" s="59">
        <f t="shared" si="94"/>
        <v>217.8880462742099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1.3617558328729482</v>
      </c>
      <c r="CL125" s="21">
        <f>EXP(-LN(2)/25)*CL124+(1-EXP(-LN(2)/25))/(LN(2)/25)*Calculateur!CG125*Calculateur!CI125*VLOOKUP('Données projet'!$B$12,Paramètres!$A$1:$I$89,3,0)*0.475*44/12</f>
        <v>0.843618073390493</v>
      </c>
      <c r="CM125" s="21">
        <f>EXP(-LN(2)/2)*CM124+(1-EXP(-LN(2)/2))/(LN(2)/2)*CG125*CJ125*VLOOKUP('Données projet'!$B$12,Paramètres!$A$1:$I$89,3,0)*0.475*44/12</f>
        <v>1.2750900525055962E-13</v>
      </c>
      <c r="CN125" s="22">
        <f t="shared" si="66"/>
        <v>2.2053739062635684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237.64646718446005</v>
      </c>
      <c r="T126" s="59">
        <f t="shared" si="88"/>
        <v>156.67965022779907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0.52837585473917048</v>
      </c>
      <c r="AA126" s="21">
        <f>EXP(-LN(2)/25)*AA125+(1-EXP(-LN(2)/25))/(LN(2)/25)*Calculateur!V126*Calculateur!X126*VLOOKUP('Données projet'!$B$9,Paramètres!$A$1:$I$89,3,0)*0.475*44/12</f>
        <v>0.31837113714046866</v>
      </c>
      <c r="AB126" s="21">
        <f>EXP(-LN(2)/2)*AB125+(1-EXP(-LN(2)/2))/(LN(2)/2)*V126*Y126*VLOOKUP('Données projet'!$B$9,Paramètres!$A$1:$I$89,3,0)*0.475*44/12</f>
        <v>6.1323751860131785E-14</v>
      </c>
      <c r="AC126" s="22">
        <f t="shared" si="57"/>
        <v>0.84674699187970037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-1.1527845344971866E-13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272.93635583300755</v>
      </c>
      <c r="AO126" s="59">
        <f t="shared" si="90"/>
        <v>179.56041631665812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0.59214535444907046</v>
      </c>
      <c r="AV126" s="21">
        <f>EXP(-LN(2)/25)*AV125+(1-EXP(-LN(2)/25))/(LN(2)/25)*Calculateur!AQ126*Calculateur!AS126*VLOOKUP('Données projet'!$B$10,Paramètres!$A$1:$I$89,3,0)*0.475*44/12</f>
        <v>0.35679523989880096</v>
      </c>
      <c r="AW126" s="21">
        <f>EXP(-LN(2)/2)*AW125+(1-EXP(-LN(2)/2))/(LN(2)/2)*AQ126*AT126*VLOOKUP('Données projet'!$B$10,Paramètres!$A$1:$I$89,3,0)*0.475*44/12</f>
        <v>6.8724894326009781E-14</v>
      </c>
      <c r="AX126" s="21">
        <f t="shared" si="60"/>
        <v>0.9489405943479402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226.0452828290525</v>
      </c>
      <c r="BJ126" s="59">
        <f t="shared" si="92"/>
        <v>179.89696397462069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1.4388740557700812</v>
      </c>
      <c r="BQ126" s="21">
        <f>EXP(-LN(2)/25)*BQ125+(1-EXP(-LN(2)/25))/(LN(2)/25)*Calculateur!BL126*Calculateur!BN126*VLOOKUP('Données projet'!$B$11,Paramètres!$A$1:$I$89,3,0)*0.475*44/12</f>
        <v>0.8462422475847492</v>
      </c>
      <c r="BR126" s="21">
        <f>EXP(-LN(2)/2)*BR125+(1-EXP(-LN(2)/2))/(LN(2)/2)*BL126*BO126*VLOOKUP('Données projet'!$B$11,Paramètres!$A$1:$I$89,3,0)*0.475*44/12</f>
        <v>1.1096789122296757E-13</v>
      </c>
      <c r="BS126" s="22">
        <f t="shared" si="63"/>
        <v>2.2851163033549415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-1.7053025658242404E-13</v>
      </c>
      <c r="BZ126" s="13">
        <f>BY126*VLOOKUP('Données projet'!$B$12,Paramètres!$A$1:$I$89,3,0)*VLOOKUP('Données projet'!$B$12,Paramètres!$A$1:$I$89,5,0)</f>
        <v>-1.3567387213697657E-13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219.43439115440339</v>
      </c>
      <c r="CE126" s="59">
        <f t="shared" si="94"/>
        <v>217.8880462742099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1.3350526315793538</v>
      </c>
      <c r="CL126" s="21">
        <f>EXP(-LN(2)/25)*CL125+(1-EXP(-LN(2)/25))/(LN(2)/25)*Calculateur!CG126*Calculateur!CI126*VLOOKUP('Données projet'!$B$12,Paramètres!$A$1:$I$89,3,0)*0.475*44/12</f>
        <v>0.82054929280968358</v>
      </c>
      <c r="CM126" s="21">
        <f>EXP(-LN(2)/2)*CM125+(1-EXP(-LN(2)/2))/(LN(2)/2)*CG126*CJ126*VLOOKUP('Données projet'!$B$12,Paramètres!$A$1:$I$89,3,0)*0.475*44/12</f>
        <v>9.0162482275021801E-14</v>
      </c>
      <c r="CN126" s="22">
        <f t="shared" si="66"/>
        <v>2.1556019243891273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237.64646718446005</v>
      </c>
      <c r="T127" s="59">
        <f t="shared" si="88"/>
        <v>156.67965022779907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0.51801472650518443</v>
      </c>
      <c r="AA127" s="21">
        <f>EXP(-LN(2)/25)*AA126+(1-EXP(-LN(2)/25))/(LN(2)/25)*Calculateur!V127*Calculateur!X127*VLOOKUP('Données projet'!$B$9,Paramètres!$A$1:$I$89,3,0)*0.475*44/12</f>
        <v>0.30966526165295211</v>
      </c>
      <c r="AB127" s="21">
        <f>EXP(-LN(2)/2)*AB126+(1-EXP(-LN(2)/2))/(LN(2)/2)*V127*Y127*VLOOKUP('Données projet'!$B$9,Paramètres!$A$1:$I$89,3,0)*0.475*44/12</f>
        <v>4.3362440788100343E-14</v>
      </c>
      <c r="AC127" s="22">
        <f t="shared" si="57"/>
        <v>0.82767998815817989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-1.1527845344971866E-13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272.93635583300755</v>
      </c>
      <c r="AO127" s="59">
        <f t="shared" si="90"/>
        <v>179.56041631665812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0.5805337452213275</v>
      </c>
      <c r="AV127" s="21">
        <f>EXP(-LN(2)/25)*AV126+(1-EXP(-LN(2)/25))/(LN(2)/25)*Calculateur!AQ127*Calculateur!AS127*VLOOKUP('Données projet'!$B$10,Paramètres!$A$1:$I$89,3,0)*0.475*44/12</f>
        <v>0.34703865530072203</v>
      </c>
      <c r="AW127" s="21">
        <f>EXP(-LN(2)/2)*AW126+(1-EXP(-LN(2)/2))/(LN(2)/2)*AQ127*AT127*VLOOKUP('Données projet'!$B$10,Paramètres!$A$1:$I$89,3,0)*0.475*44/12</f>
        <v>4.8595838814250401E-14</v>
      </c>
      <c r="AX127" s="21">
        <f t="shared" si="60"/>
        <v>0.92757240052209822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226.0452828290525</v>
      </c>
      <c r="BJ127" s="59">
        <f t="shared" si="92"/>
        <v>179.89696397462069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1.4106586131629455</v>
      </c>
      <c r="BQ127" s="21">
        <f>EXP(-LN(2)/25)*BQ126+(1-EXP(-LN(2)/25))/(LN(2)/25)*Calculateur!BL127*Calculateur!BN127*VLOOKUP('Données projet'!$B$11,Paramètres!$A$1:$I$89,3,0)*0.475*44/12</f>
        <v>0.82310170882259859</v>
      </c>
      <c r="BR127" s="21">
        <f>EXP(-LN(2)/2)*BR126+(1-EXP(-LN(2)/2))/(LN(2)/2)*BL127*BO127*VLOOKUP('Données projet'!$B$11,Paramètres!$A$1:$I$89,3,0)*0.475*44/12</f>
        <v>7.8466148377731547E-14</v>
      </c>
      <c r="BS127" s="22">
        <f t="shared" si="63"/>
        <v>2.2337603219856228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-1.7053025658242404E-13</v>
      </c>
      <c r="BZ127" s="13">
        <f>BY127*VLOOKUP('Données projet'!$B$12,Paramètres!$A$1:$I$89,3,0)*VLOOKUP('Données projet'!$B$12,Paramètres!$A$1:$I$89,5,0)</f>
        <v>-1.3567387213697657E-13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219.43439115440339</v>
      </c>
      <c r="CE127" s="59">
        <f t="shared" si="94"/>
        <v>217.8880462742099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1.3088730637757824</v>
      </c>
      <c r="CL127" s="21">
        <f>EXP(-LN(2)/25)*CL126+(1-EXP(-LN(2)/25))/(LN(2)/25)*Calculateur!CG127*Calculateur!CI127*VLOOKUP('Données projet'!$B$12,Paramètres!$A$1:$I$89,3,0)*0.475*44/12</f>
        <v>0.79811132924699091</v>
      </c>
      <c r="CM127" s="21">
        <f>EXP(-LN(2)/2)*CM126+(1-EXP(-LN(2)/2))/(LN(2)/2)*CG127*CJ127*VLOOKUP('Données projet'!$B$12,Paramètres!$A$1:$I$89,3,0)*0.475*44/12</f>
        <v>6.3754502625279808E-14</v>
      </c>
      <c r="CN127" s="22">
        <f t="shared" si="66"/>
        <v>2.1069843930228371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237.64646718446005</v>
      </c>
      <c r="T128" s="59">
        <f t="shared" si="88"/>
        <v>156.67965022779907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0.50785677367620274</v>
      </c>
      <c r="AA128" s="21">
        <f>EXP(-LN(2)/25)*AA127+(1-EXP(-LN(2)/25))/(LN(2)/25)*Calculateur!V128*Calculateur!X128*VLOOKUP('Données projet'!$B$9,Paramètres!$A$1:$I$89,3,0)*0.475*44/12</f>
        <v>0.30119744878846377</v>
      </c>
      <c r="AB128" s="21">
        <f>EXP(-LN(2)/2)*AB127+(1-EXP(-LN(2)/2))/(LN(2)/2)*V128*Y128*VLOOKUP('Données projet'!$B$9,Paramètres!$A$1:$I$89,3,0)*0.475*44/12</f>
        <v>3.0661875930065892E-14</v>
      </c>
      <c r="AC128" s="22">
        <f t="shared" si="57"/>
        <v>0.80905422246469716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-1.1527845344971866E-13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272.93635583300755</v>
      </c>
      <c r="AO128" s="59">
        <f t="shared" si="90"/>
        <v>179.56041631665812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0.56914983256815832</v>
      </c>
      <c r="AV128" s="21">
        <f>EXP(-LN(2)/25)*AV127+(1-EXP(-LN(2)/25))/(LN(2)/25)*Calculateur!AQ128*Calculateur!AS128*VLOOKUP('Données projet'!$B$10,Paramètres!$A$1:$I$89,3,0)*0.475*44/12</f>
        <v>0.33754886502155407</v>
      </c>
      <c r="AW128" s="21">
        <f>EXP(-LN(2)/2)*AW127+(1-EXP(-LN(2)/2))/(LN(2)/2)*AQ128*AT128*VLOOKUP('Données projet'!$B$10,Paramètres!$A$1:$I$89,3,0)*0.475*44/12</f>
        <v>3.4362447163004891E-14</v>
      </c>
      <c r="AX128" s="21">
        <f t="shared" si="60"/>
        <v>0.90669869758974686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226.0452828290525</v>
      </c>
      <c r="BJ128" s="59">
        <f t="shared" si="92"/>
        <v>179.89696397462069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1.3829964581756151</v>
      </c>
      <c r="BQ128" s="21">
        <f>EXP(-LN(2)/25)*BQ127+(1-EXP(-LN(2)/25))/(LN(2)/25)*Calculateur!BL128*Calculateur!BN128*VLOOKUP('Données projet'!$B$11,Paramètres!$A$1:$I$89,3,0)*0.475*44/12</f>
        <v>0.80059394930980698</v>
      </c>
      <c r="BR128" s="21">
        <f>EXP(-LN(2)/2)*BR127+(1-EXP(-LN(2)/2))/(LN(2)/2)*BL128*BO128*VLOOKUP('Données projet'!$B$11,Paramètres!$A$1:$I$89,3,0)*0.475*44/12</f>
        <v>5.5483945611483799E-14</v>
      </c>
      <c r="BS128" s="22">
        <f t="shared" si="63"/>
        <v>2.1835904074854775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-1.7053025658242404E-13</v>
      </c>
      <c r="BZ128" s="13">
        <f>BY128*VLOOKUP('Données projet'!$B$12,Paramètres!$A$1:$I$89,3,0)*VLOOKUP('Données projet'!$B$12,Paramètres!$A$1:$I$89,5,0)</f>
        <v>-1.3567387213697657E-13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219.43439115440339</v>
      </c>
      <c r="CE128" s="59">
        <f t="shared" si="94"/>
        <v>217.8880462742099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1.2832068613288792</v>
      </c>
      <c r="CL128" s="21">
        <f>EXP(-LN(2)/25)*CL127+(1-EXP(-LN(2)/25))/(LN(2)/25)*Calculateur!CG128*Calculateur!CI128*VLOOKUP('Données projet'!$B$12,Paramètres!$A$1:$I$89,3,0)*0.475*44/12</f>
        <v>0.77628693297788121</v>
      </c>
      <c r="CM128" s="21">
        <f>EXP(-LN(2)/2)*CM127+(1-EXP(-LN(2)/2))/(LN(2)/2)*CG128*CJ128*VLOOKUP('Données projet'!$B$12,Paramètres!$A$1:$I$89,3,0)*0.475*44/12</f>
        <v>4.50812411375109E-14</v>
      </c>
      <c r="CN128" s="22">
        <f t="shared" si="66"/>
        <v>2.0594937943068059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237.64646718446005</v>
      </c>
      <c r="T129" s="59">
        <f t="shared" si="88"/>
        <v>156.67965022779907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0.4978980121064579</v>
      </c>
      <c r="AA129" s="21">
        <f>EXP(-LN(2)/25)*AA128+(1-EXP(-LN(2)/25))/(LN(2)/25)*Calculateur!V129*Calculateur!X129*VLOOKUP('Données projet'!$B$9,Paramètres!$A$1:$I$89,3,0)*0.475*44/12</f>
        <v>0.29296118871205779</v>
      </c>
      <c r="AB129" s="21">
        <f>EXP(-LN(2)/2)*AB128+(1-EXP(-LN(2)/2))/(LN(2)/2)*V129*Y129*VLOOKUP('Données projet'!$B$9,Paramètres!$A$1:$I$89,3,0)*0.475*44/12</f>
        <v>2.1681220394050171E-14</v>
      </c>
      <c r="AC129" s="22">
        <f t="shared" si="57"/>
        <v>0.79085920081853733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-1.1527845344971866E-13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272.93635583300755</v>
      </c>
      <c r="AO129" s="59">
        <f t="shared" si="90"/>
        <v>179.56041631665812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0.55798915149861672</v>
      </c>
      <c r="AV129" s="21">
        <f>EXP(-LN(2)/25)*AV128+(1-EXP(-LN(2)/25))/(LN(2)/25)*Calculateur!AQ129*Calculateur!AS129*VLOOKUP('Données projet'!$B$10,Paramètres!$A$1:$I$89,3,0)*0.475*44/12</f>
        <v>0.32831857355661631</v>
      </c>
      <c r="AW129" s="21">
        <f>EXP(-LN(2)/2)*AW128+(1-EXP(-LN(2)/2))/(LN(2)/2)*AQ129*AT129*VLOOKUP('Données projet'!$B$10,Paramètres!$A$1:$I$89,3,0)*0.475*44/12</f>
        <v>2.42979194071252E-14</v>
      </c>
      <c r="AX129" s="21">
        <f t="shared" si="60"/>
        <v>0.88630772505525734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226.0452828290525</v>
      </c>
      <c r="BJ129" s="59">
        <f t="shared" si="92"/>
        <v>179.89696397462069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1.3558767411753376</v>
      </c>
      <c r="BQ129" s="21">
        <f>EXP(-LN(2)/25)*BQ128+(1-EXP(-LN(2)/25))/(LN(2)/25)*Calculateur!BL129*Calculateur!BN129*VLOOKUP('Données projet'!$B$11,Paramètres!$A$1:$I$89,3,0)*0.475*44/12</f>
        <v>0.77870166566452426</v>
      </c>
      <c r="BR129" s="21">
        <f>EXP(-LN(2)/2)*BR128+(1-EXP(-LN(2)/2))/(LN(2)/2)*BL129*BO129*VLOOKUP('Données projet'!$B$11,Paramètres!$A$1:$I$89,3,0)*0.475*44/12</f>
        <v>3.923307418886578E-14</v>
      </c>
      <c r="BS129" s="22">
        <f t="shared" si="63"/>
        <v>2.1345784068399007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-1.7053025658242404E-13</v>
      </c>
      <c r="BZ129" s="13">
        <f>BY129*VLOOKUP('Données projet'!$B$12,Paramètres!$A$1:$I$89,3,0)*VLOOKUP('Données projet'!$B$12,Paramètres!$A$1:$I$89,5,0)</f>
        <v>-1.3567387213697657E-13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219.43439115440339</v>
      </c>
      <c r="CE129" s="59">
        <f t="shared" si="94"/>
        <v>217.8880462742099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1.2580439574571221</v>
      </c>
      <c r="CL129" s="21">
        <f>EXP(-LN(2)/25)*CL128+(1-EXP(-LN(2)/25))/(LN(2)/25)*Calculateur!CG129*Calculateur!CI129*VLOOKUP('Données projet'!$B$12,Paramètres!$A$1:$I$89,3,0)*0.475*44/12</f>
        <v>0.75505932597244552</v>
      </c>
      <c r="CM129" s="21">
        <f>EXP(-LN(2)/2)*CM128+(1-EXP(-LN(2)/2))/(LN(2)/2)*CG129*CJ129*VLOOKUP('Données projet'!$B$12,Paramètres!$A$1:$I$89,3,0)*0.475*44/12</f>
        <v>3.1877251312639904E-14</v>
      </c>
      <c r="CN129" s="22">
        <f t="shared" si="66"/>
        <v>2.0131032834295994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237.64646718446005</v>
      </c>
      <c r="T130" s="59">
        <f t="shared" si="88"/>
        <v>156.67965022779907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0.48813453577685095</v>
      </c>
      <c r="AA130" s="21">
        <f>EXP(-LN(2)/25)*AA129+(1-EXP(-LN(2)/25))/(LN(2)/25)*Calculateur!V130*Calculateur!X130*VLOOKUP('Données projet'!$B$9,Paramètres!$A$1:$I$89,3,0)*0.475*44/12</f>
        <v>0.28495014960056725</v>
      </c>
      <c r="AB130" s="21">
        <f>EXP(-LN(2)/2)*AB129+(1-EXP(-LN(2)/2))/(LN(2)/2)*V130*Y130*VLOOKUP('Données projet'!$B$9,Paramètres!$A$1:$I$89,3,0)*0.475*44/12</f>
        <v>1.5330937965032946E-14</v>
      </c>
      <c r="AC130" s="22">
        <f t="shared" si="57"/>
        <v>0.77308468537743358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-1.1527845344971866E-13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272.93635583300755</v>
      </c>
      <c r="AO130" s="59">
        <f t="shared" si="90"/>
        <v>179.56041631665812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0.54704732457750549</v>
      </c>
      <c r="AV130" s="21">
        <f>EXP(-LN(2)/25)*AV129+(1-EXP(-LN(2)/25))/(LN(2)/25)*Calculateur!AQ130*Calculateur!AS130*VLOOKUP('Données projet'!$B$10,Paramètres!$A$1:$I$89,3,0)*0.475*44/12</f>
        <v>0.31934068489718725</v>
      </c>
      <c r="AW130" s="21">
        <f>EXP(-LN(2)/2)*AW129+(1-EXP(-LN(2)/2))/(LN(2)/2)*AQ130*AT130*VLOOKUP('Données projet'!$B$10,Paramètres!$A$1:$I$89,3,0)*0.475*44/12</f>
        <v>1.7181223581502445E-14</v>
      </c>
      <c r="AX130" s="21">
        <f t="shared" si="60"/>
        <v>0.86638800947470995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226.0452828290525</v>
      </c>
      <c r="BJ130" s="59">
        <f t="shared" si="92"/>
        <v>179.89696397462069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1.3292888252840416</v>
      </c>
      <c r="BQ130" s="21">
        <f>EXP(-LN(2)/25)*BQ129+(1-EXP(-LN(2)/25))/(LN(2)/25)*Calculateur!BL130*Calculateur!BN130*VLOOKUP('Données projet'!$B$11,Paramètres!$A$1:$I$89,3,0)*0.475*44/12</f>
        <v>0.75740802766678694</v>
      </c>
      <c r="BR130" s="21">
        <f>EXP(-LN(2)/2)*BR129+(1-EXP(-LN(2)/2))/(LN(2)/2)*BL130*BO130*VLOOKUP('Données projet'!$B$11,Paramètres!$A$1:$I$89,3,0)*0.475*44/12</f>
        <v>2.7741972805741903E-14</v>
      </c>
      <c r="BS130" s="22">
        <f t="shared" si="63"/>
        <v>2.0866968529508561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-1.7053025658242404E-13</v>
      </c>
      <c r="BZ130" s="13">
        <f>BY130*VLOOKUP('Données projet'!$B$12,Paramètres!$A$1:$I$89,3,0)*VLOOKUP('Données projet'!$B$12,Paramètres!$A$1:$I$89,5,0)</f>
        <v>-1.3567387213697657E-13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219.43439115440339</v>
      </c>
      <c r="CE130" s="59">
        <f t="shared" si="94"/>
        <v>217.8880462742099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1.2333744827824342</v>
      </c>
      <c r="CL130" s="21">
        <f>EXP(-LN(2)/25)*CL129+(1-EXP(-LN(2)/25))/(LN(2)/25)*Calculateur!CG130*Calculateur!CI130*VLOOKUP('Données projet'!$B$12,Paramètres!$A$1:$I$89,3,0)*0.475*44/12</f>
        <v>0.73441218899688476</v>
      </c>
      <c r="CM130" s="21">
        <f>EXP(-LN(2)/2)*CM129+(1-EXP(-LN(2)/2))/(LN(2)/2)*CG130*CJ130*VLOOKUP('Données projet'!$B$12,Paramètres!$A$1:$I$89,3,0)*0.475*44/12</f>
        <v>2.254062056875545E-14</v>
      </c>
      <c r="CN130" s="22">
        <f t="shared" si="66"/>
        <v>1.9677866717793417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237.64646718446005</v>
      </c>
      <c r="T131" s="59">
        <f t="shared" si="88"/>
        <v>156.67965022779907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0.47856251526293508</v>
      </c>
      <c r="AA131" s="21">
        <f>EXP(-LN(2)/25)*AA130+(1-EXP(-LN(2)/25))/(LN(2)/25)*Calculateur!V131*Calculateur!X131*VLOOKUP('Données projet'!$B$9,Paramètres!$A$1:$I$89,3,0)*0.475*44/12</f>
        <v>0.27715817277486265</v>
      </c>
      <c r="AB131" s="21">
        <f>EXP(-LN(2)/2)*AB130+(1-EXP(-LN(2)/2))/(LN(2)/2)*V131*Y131*VLOOKUP('Données projet'!$B$9,Paramètres!$A$1:$I$89,3,0)*0.475*44/12</f>
        <v>1.0840610197025086E-14</v>
      </c>
      <c r="AC131" s="22">
        <f t="shared" si="57"/>
        <v>0.75572068803780867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-1.1527845344971866E-13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272.93635583300755</v>
      </c>
      <c r="AO131" s="59">
        <f t="shared" si="90"/>
        <v>179.56041631665812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0.53632006020846179</v>
      </c>
      <c r="AV131" s="21">
        <f>EXP(-LN(2)/25)*AV130+(1-EXP(-LN(2)/25))/(LN(2)/25)*Calculateur!AQ131*Calculateur!AS131*VLOOKUP('Données projet'!$B$10,Paramètres!$A$1:$I$89,3,0)*0.475*44/12</f>
        <v>0.31060829707527693</v>
      </c>
      <c r="AW131" s="21">
        <f>EXP(-LN(2)/2)*AW130+(1-EXP(-LN(2)/2))/(LN(2)/2)*AQ131*AT131*VLOOKUP('Données projet'!$B$10,Paramètres!$A$1:$I$89,3,0)*0.475*44/12</f>
        <v>1.21489597035626E-14</v>
      </c>
      <c r="AX131" s="21">
        <f t="shared" si="60"/>
        <v>0.84692835728375082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226.0452828290525</v>
      </c>
      <c r="BJ131" s="59">
        <f t="shared" si="92"/>
        <v>179.89696397462069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1.3032222822063464</v>
      </c>
      <c r="BQ131" s="21">
        <f>EXP(-LN(2)/25)*BQ130+(1-EXP(-LN(2)/25))/(LN(2)/25)*Calculateur!BL131*Calculateur!BN131*VLOOKUP('Données projet'!$B$11,Paramètres!$A$1:$I$89,3,0)*0.475*44/12</f>
        <v>0.73669666531988154</v>
      </c>
      <c r="BR131" s="21">
        <f>EXP(-LN(2)/2)*BR130+(1-EXP(-LN(2)/2))/(LN(2)/2)*BL131*BO131*VLOOKUP('Données projet'!$B$11,Paramètres!$A$1:$I$89,3,0)*0.475*44/12</f>
        <v>1.9616537094432893E-14</v>
      </c>
      <c r="BS131" s="22">
        <f t="shared" si="63"/>
        <v>2.0399189475262474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-1.7053025658242404E-13</v>
      </c>
      <c r="BZ131" s="13">
        <f>BY131*VLOOKUP('Données projet'!$B$12,Paramètres!$A$1:$I$89,3,0)*VLOOKUP('Données projet'!$B$12,Paramètres!$A$1:$I$89,5,0)</f>
        <v>-1.3567387213697657E-13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219.43439115440339</v>
      </c>
      <c r="CE131" s="59">
        <f t="shared" si="94"/>
        <v>217.8880462742099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1.2091887614592234</v>
      </c>
      <c r="CL131" s="21">
        <f>EXP(-LN(2)/25)*CL130+(1-EXP(-LN(2)/25))/(LN(2)/25)*Calculateur!CG131*Calculateur!CI131*VLOOKUP('Données projet'!$B$12,Paramètres!$A$1:$I$89,3,0)*0.475*44/12</f>
        <v>0.71432964906770646</v>
      </c>
      <c r="CM131" s="21">
        <f>EXP(-LN(2)/2)*CM130+(1-EXP(-LN(2)/2))/(LN(2)/2)*CG131*CJ131*VLOOKUP('Données projet'!$B$12,Paramètres!$A$1:$I$89,3,0)*0.475*44/12</f>
        <v>1.5938625656319952E-14</v>
      </c>
      <c r="CN131" s="22">
        <f t="shared" si="66"/>
        <v>1.9235184105269458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237.64646718446005</v>
      </c>
      <c r="T132" s="59">
        <f t="shared" si="88"/>
        <v>156.67965022779907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0.46917819623294105</v>
      </c>
      <c r="AA132" s="21">
        <f>EXP(-LN(2)/25)*AA131+(1-EXP(-LN(2)/25))/(LN(2)/25)*Calculateur!V132*Calculateur!X132*VLOOKUP('Données projet'!$B$9,Paramètres!$A$1:$I$89,3,0)*0.475*44/12</f>
        <v>0.26957926796521919</v>
      </c>
      <c r="AB132" s="21">
        <f>EXP(-LN(2)/2)*AB131+(1-EXP(-LN(2)/2))/(LN(2)/2)*V132*Y132*VLOOKUP('Données projet'!$B$9,Paramètres!$A$1:$I$89,3,0)*0.475*44/12</f>
        <v>7.6654689825164731E-15</v>
      </c>
      <c r="AC132" s="22">
        <f t="shared" ref="AC132:AC153" si="111">SUM(Z132:AB132)</f>
        <v>0.7387574641981679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-1.1527845344971866E-13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272.93635583300755</v>
      </c>
      <c r="AO132" s="59">
        <f t="shared" si="90"/>
        <v>179.56041631665812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0.52580315095070984</v>
      </c>
      <c r="AV132" s="21">
        <f>EXP(-LN(2)/25)*AV131+(1-EXP(-LN(2)/25))/(LN(2)/25)*Calculateur!AQ132*Calculateur!AS132*VLOOKUP('Données projet'!$B$10,Paramètres!$A$1:$I$89,3,0)*0.475*44/12</f>
        <v>0.30211469685757303</v>
      </c>
      <c r="AW132" s="21">
        <f>EXP(-LN(2)/2)*AW131+(1-EXP(-LN(2)/2))/(LN(2)/2)*AQ132*AT132*VLOOKUP('Données projet'!$B$10,Paramètres!$A$1:$I$89,3,0)*0.475*44/12</f>
        <v>8.5906117907512226E-15</v>
      </c>
      <c r="AX132" s="21">
        <f t="shared" ref="AX132:AX153" si="114">SUM(AU132:AW132)</f>
        <v>0.82791784780829147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226.0452828290525</v>
      </c>
      <c r="BJ132" s="59">
        <f t="shared" si="92"/>
        <v>179.89696397462069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1.2776668881393836</v>
      </c>
      <c r="BQ132" s="21">
        <f>EXP(-LN(2)/25)*BQ131+(1-EXP(-LN(2)/25))/(LN(2)/25)*Calculateur!BL132*Calculateur!BN132*VLOOKUP('Données projet'!$B$11,Paramètres!$A$1:$I$89,3,0)*0.475*44/12</f>
        <v>0.71655165626551554</v>
      </c>
      <c r="BR132" s="21">
        <f>EXP(-LN(2)/2)*BR131+(1-EXP(-LN(2)/2))/(LN(2)/2)*BL132*BO132*VLOOKUP('Données projet'!$B$11,Paramètres!$A$1:$I$89,3,0)*0.475*44/12</f>
        <v>1.3870986402870953E-14</v>
      </c>
      <c r="BS132" s="22">
        <f t="shared" ref="BS132:BS153" si="117">SUM(BP132:BR132)</f>
        <v>1.9942185444049128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-1.7053025658242404E-13</v>
      </c>
      <c r="BZ132" s="13">
        <f>BY132*VLOOKUP('Données projet'!$B$12,Paramètres!$A$1:$I$89,3,0)*VLOOKUP('Données projet'!$B$12,Paramètres!$A$1:$I$89,5,0)</f>
        <v>-1.3567387213697657E-13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219.43439115440339</v>
      </c>
      <c r="CE132" s="59">
        <f t="shared" si="94"/>
        <v>217.8880462742099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1.1854773073793272</v>
      </c>
      <c r="CL132" s="21">
        <f>EXP(-LN(2)/25)*CL131+(1-EXP(-LN(2)/25))/(LN(2)/25)*Calculateur!CG132*Calculateur!CI132*VLOOKUP('Données projet'!$B$12,Paramètres!$A$1:$I$89,3,0)*0.475*44/12</f>
        <v>0.69479626724898635</v>
      </c>
      <c r="CM132" s="21">
        <f>EXP(-LN(2)/2)*CM131+(1-EXP(-LN(2)/2))/(LN(2)/2)*CG132*CJ132*VLOOKUP('Données projet'!$B$12,Paramètres!$A$1:$I$89,3,0)*0.475*44/12</f>
        <v>1.1270310284377725E-14</v>
      </c>
      <c r="CN132" s="22">
        <f t="shared" ref="CN132:CN153" si="120">SUM(CK132:CM132)</f>
        <v>1.880273574628325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237.64646718446005</v>
      </c>
      <c r="T133" s="59">
        <f t="shared" ref="T133:T196" si="142">$T$3</f>
        <v>156.67965022779907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0.45997789797525579</v>
      </c>
      <c r="AA133" s="21">
        <f>EXP(-LN(2)/25)*AA132+(1-EXP(-LN(2)/25))/(LN(2)/25)*Calculateur!V133*Calculateur!X133*VLOOKUP('Données projet'!$B$9,Paramètres!$A$1:$I$89,3,0)*0.475*44/12</f>
        <v>0.26220760870615273</v>
      </c>
      <c r="AB133" s="21">
        <f>EXP(-LN(2)/2)*AB132+(1-EXP(-LN(2)/2))/(LN(2)/2)*V133*Y133*VLOOKUP('Données projet'!$B$9,Paramètres!$A$1:$I$89,3,0)*0.475*44/12</f>
        <v>5.4203050985125428E-15</v>
      </c>
      <c r="AC133" s="22">
        <f t="shared" si="111"/>
        <v>0.7221855066814139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-1.1527845344971866E-13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272.93635583300755</v>
      </c>
      <c r="AO133" s="59">
        <f t="shared" ref="AO133:AO196" si="144">$AO$3</f>
        <v>179.56041631665812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0.51549247186882119</v>
      </c>
      <c r="AV133" s="21">
        <f>EXP(-LN(2)/25)*AV132+(1-EXP(-LN(2)/25))/(LN(2)/25)*Calculateur!AQ133*Calculateur!AS133*VLOOKUP('Données projet'!$B$10,Paramètres!$A$1:$I$89,3,0)*0.475*44/12</f>
        <v>0.29385335458448125</v>
      </c>
      <c r="AW133" s="21">
        <f>EXP(-LN(2)/2)*AW132+(1-EXP(-LN(2)/2))/(LN(2)/2)*AQ133*AT133*VLOOKUP('Données projet'!$B$10,Paramètres!$A$1:$I$89,3,0)*0.475*44/12</f>
        <v>6.0744798517813001E-15</v>
      </c>
      <c r="AX133" s="21">
        <f t="shared" si="114"/>
        <v>0.80934582645330855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226.0452828290525</v>
      </c>
      <c r="BJ133" s="59">
        <f t="shared" ref="BJ133:BJ196" si="146">$BJ$3</f>
        <v>179.89696397462069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1.2526126197628225</v>
      </c>
      <c r="BQ133" s="21">
        <f>EXP(-LN(2)/25)*BQ132+(1-EXP(-LN(2)/25))/(LN(2)/25)*Calculateur!BL133*Calculateur!BN133*VLOOKUP('Données projet'!$B$11,Paramètres!$A$1:$I$89,3,0)*0.475*44/12</f>
        <v>0.69695751354312108</v>
      </c>
      <c r="BR133" s="21">
        <f>EXP(-LN(2)/2)*BR132+(1-EXP(-LN(2)/2))/(LN(2)/2)*BL133*BO133*VLOOKUP('Données projet'!$B$11,Paramètres!$A$1:$I$89,3,0)*0.475*44/12</f>
        <v>9.8082685472164481E-15</v>
      </c>
      <c r="BS133" s="22">
        <f t="shared" si="117"/>
        <v>1.9495701333059534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-1.7053025658242404E-13</v>
      </c>
      <c r="BZ133" s="13">
        <f>BY133*VLOOKUP('Données projet'!$B$12,Paramètres!$A$1:$I$89,3,0)*VLOOKUP('Données projet'!$B$12,Paramètres!$A$1:$I$89,5,0)</f>
        <v>-1.3567387213697657E-13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219.43439115440339</v>
      </c>
      <c r="CE133" s="59">
        <f t="shared" ref="CE133:CE196" si="148">$CE$3</f>
        <v>217.8880462742099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1.1622308204513789</v>
      </c>
      <c r="CL133" s="21">
        <f>EXP(-LN(2)/25)*CL132+(1-EXP(-LN(2)/25))/(LN(2)/25)*Calculateur!CG133*Calculateur!CI133*VLOOKUP('Données projet'!$B$12,Paramètres!$A$1:$I$89,3,0)*0.475*44/12</f>
        <v>0.6757970267833151</v>
      </c>
      <c r="CM133" s="21">
        <f>EXP(-LN(2)/2)*CM132+(1-EXP(-LN(2)/2))/(LN(2)/2)*CG133*CJ133*VLOOKUP('Données projet'!$B$12,Paramètres!$A$1:$I$89,3,0)*0.475*44/12</f>
        <v>7.969312828159976E-15</v>
      </c>
      <c r="CN133" s="22">
        <f t="shared" si="120"/>
        <v>1.838027847234702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237.64646718446005</v>
      </c>
      <c r="T134" s="59">
        <f t="shared" si="142"/>
        <v>156.67965022779907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0.45095801195477592</v>
      </c>
      <c r="AA134" s="21">
        <f>EXP(-LN(2)/25)*AA133+(1-EXP(-LN(2)/25))/(LN(2)/25)*Calculateur!V134*Calculateur!X134*VLOOKUP('Données projet'!$B$9,Paramètres!$A$1:$I$89,3,0)*0.475*44/12</f>
        <v>0.25503752785718414</v>
      </c>
      <c r="AB134" s="21">
        <f>EXP(-LN(2)/2)*AB133+(1-EXP(-LN(2)/2))/(LN(2)/2)*V134*Y134*VLOOKUP('Données projet'!$B$9,Paramètres!$A$1:$I$89,3,0)*0.475*44/12</f>
        <v>3.8327344912582365E-15</v>
      </c>
      <c r="AC134" s="22">
        <f t="shared" si="111"/>
        <v>0.70599553981196395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-1.1527845344971866E-13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272.93635583300755</v>
      </c>
      <c r="AO134" s="59">
        <f t="shared" si="144"/>
        <v>179.56041631665812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0.50538397891483511</v>
      </c>
      <c r="AV134" s="21">
        <f>EXP(-LN(2)/25)*AV133+(1-EXP(-LN(2)/25))/(LN(2)/25)*Calculateur!AQ134*Calculateur!AS134*VLOOKUP('Données projet'!$B$10,Paramètres!$A$1:$I$89,3,0)*0.475*44/12</f>
        <v>0.28581791915029231</v>
      </c>
      <c r="AW134" s="21">
        <f>EXP(-LN(2)/2)*AW133+(1-EXP(-LN(2)/2))/(LN(2)/2)*AQ134*AT134*VLOOKUP('Données projet'!$B$10,Paramètres!$A$1:$I$89,3,0)*0.475*44/12</f>
        <v>4.2953058953756113E-15</v>
      </c>
      <c r="AX134" s="21">
        <f t="shared" si="114"/>
        <v>0.79120189806513175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226.0452828290525</v>
      </c>
      <c r="BJ134" s="59">
        <f t="shared" si="146"/>
        <v>179.89696397462069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1.2280496503075311</v>
      </c>
      <c r="BQ134" s="21">
        <f>EXP(-LN(2)/25)*BQ133+(1-EXP(-LN(2)/25))/(LN(2)/25)*Calculateur!BL134*Calculateur!BN134*VLOOKUP('Données projet'!$B$11,Paramètres!$A$1:$I$89,3,0)*0.475*44/12</f>
        <v>0.67789917368388175</v>
      </c>
      <c r="BR134" s="21">
        <f>EXP(-LN(2)/2)*BR133+(1-EXP(-LN(2)/2))/(LN(2)/2)*BL134*BO134*VLOOKUP('Données projet'!$B$11,Paramètres!$A$1:$I$89,3,0)*0.475*44/12</f>
        <v>6.935493201435478E-15</v>
      </c>
      <c r="BS134" s="22">
        <f t="shared" si="117"/>
        <v>1.9059488239914197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-1.7053025658242404E-13</v>
      </c>
      <c r="BZ134" s="13">
        <f>BY134*VLOOKUP('Données projet'!$B$12,Paramètres!$A$1:$I$89,3,0)*VLOOKUP('Données projet'!$B$12,Paramètres!$A$1:$I$89,5,0)</f>
        <v>-1.3567387213697657E-13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219.43439115440339</v>
      </c>
      <c r="CE134" s="59">
        <f t="shared" si="148"/>
        <v>217.8880462742099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1.1394401829531307</v>
      </c>
      <c r="CL134" s="21">
        <f>EXP(-LN(2)/25)*CL133+(1-EXP(-LN(2)/25))/(LN(2)/25)*Calculateur!CG134*Calculateur!CI134*VLOOKUP('Données projet'!$B$12,Paramètres!$A$1:$I$89,3,0)*0.475*44/12</f>
        <v>0.65731732154730427</v>
      </c>
      <c r="CM134" s="21">
        <f>EXP(-LN(2)/2)*CM133+(1-EXP(-LN(2)/2))/(LN(2)/2)*CG134*CJ134*VLOOKUP('Données projet'!$B$12,Paramètres!$A$1:$I$89,3,0)*0.475*44/12</f>
        <v>5.6351551421888625E-15</v>
      </c>
      <c r="CN134" s="22">
        <f t="shared" si="120"/>
        <v>1.7967575045004405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237.64646718446005</v>
      </c>
      <c r="T135" s="59">
        <f t="shared" si="142"/>
        <v>156.67965022779907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0.4421150003975704</v>
      </c>
      <c r="AA135" s="21">
        <f>EXP(-LN(2)/25)*AA134+(1-EXP(-LN(2)/25))/(LN(2)/25)*Calculateur!V135*Calculateur!X135*VLOOKUP('Données projet'!$B$9,Paramètres!$A$1:$I$89,3,0)*0.475*44/12</f>
        <v>0.24806351324608875</v>
      </c>
      <c r="AB135" s="21">
        <f>EXP(-LN(2)/2)*AB134+(1-EXP(-LN(2)/2))/(LN(2)/2)*V135*Y135*VLOOKUP('Données projet'!$B$9,Paramètres!$A$1:$I$89,3,0)*0.475*44/12</f>
        <v>2.7101525492562714E-15</v>
      </c>
      <c r="AC135" s="22">
        <f t="shared" si="111"/>
        <v>0.69017851364366178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-1.1527845344971866E-13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272.93635583300755</v>
      </c>
      <c r="AO135" s="59">
        <f t="shared" si="144"/>
        <v>179.56041631665812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0.49547370734210477</v>
      </c>
      <c r="AV135" s="21">
        <f>EXP(-LN(2)/25)*AV134+(1-EXP(-LN(2)/25))/(LN(2)/25)*Calculateur!AQ135*Calculateur!AS135*VLOOKUP('Données projet'!$B$10,Paramètres!$A$1:$I$89,3,0)*0.475*44/12</f>
        <v>0.27800221312061646</v>
      </c>
      <c r="AW135" s="21">
        <f>EXP(-LN(2)/2)*AW134+(1-EXP(-LN(2)/2))/(LN(2)/2)*AQ135*AT135*VLOOKUP('Données projet'!$B$10,Paramètres!$A$1:$I$89,3,0)*0.475*44/12</f>
        <v>3.03723992589065E-15</v>
      </c>
      <c r="AX135" s="21">
        <f t="shared" si="114"/>
        <v>0.77347592046272429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226.0452828290525</v>
      </c>
      <c r="BJ135" s="59">
        <f t="shared" si="146"/>
        <v>179.89696397462069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1.2039683457013259</v>
      </c>
      <c r="BQ135" s="21">
        <f>EXP(-LN(2)/25)*BQ134+(1-EXP(-LN(2)/25))/(LN(2)/25)*Calculateur!BL135*Calculateur!BN135*VLOOKUP('Données projet'!$B$11,Paramètres!$A$1:$I$89,3,0)*0.475*44/12</f>
        <v>0.65936198513032784</v>
      </c>
      <c r="BR135" s="21">
        <f>EXP(-LN(2)/2)*BR134+(1-EXP(-LN(2)/2))/(LN(2)/2)*BL135*BO135*VLOOKUP('Données projet'!$B$11,Paramètres!$A$1:$I$89,3,0)*0.475*44/12</f>
        <v>4.9041342736082248E-15</v>
      </c>
      <c r="BS135" s="22">
        <f t="shared" si="117"/>
        <v>1.8633303308316587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-1.7053025658242404E-13</v>
      </c>
      <c r="BZ135" s="13">
        <f>BY135*VLOOKUP('Données projet'!$B$12,Paramètres!$A$1:$I$89,3,0)*VLOOKUP('Données projet'!$B$12,Paramètres!$A$1:$I$89,5,0)</f>
        <v>-1.3567387213697657E-13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219.43439115440339</v>
      </c>
      <c r="CE135" s="59">
        <f t="shared" si="148"/>
        <v>217.8880462742099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1.1170964559553067</v>
      </c>
      <c r="CL135" s="21">
        <f>EXP(-LN(2)/25)*CL134+(1-EXP(-LN(2)/25))/(LN(2)/25)*Calculateur!CG135*Calculateur!CI135*VLOOKUP('Données projet'!$B$12,Paramètres!$A$1:$I$89,3,0)*0.475*44/12</f>
        <v>0.63934294482277765</v>
      </c>
      <c r="CM135" s="21">
        <f>EXP(-LN(2)/2)*CM134+(1-EXP(-LN(2)/2))/(LN(2)/2)*CG135*CJ135*VLOOKUP('Données projet'!$B$12,Paramètres!$A$1:$I$89,3,0)*0.475*44/12</f>
        <v>3.984656414079988E-15</v>
      </c>
      <c r="CN135" s="22">
        <f t="shared" si="120"/>
        <v>1.7564394007780884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237.64646718446005</v>
      </c>
      <c r="T136" s="59">
        <f t="shared" si="142"/>
        <v>156.67965022779907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0.43344539490329725</v>
      </c>
      <c r="AA136" s="21">
        <f>EXP(-LN(2)/25)*AA135+(1-EXP(-LN(2)/25))/(LN(2)/25)*Calculateur!V136*Calculateur!X136*VLOOKUP('Données projet'!$B$9,Paramètres!$A$1:$I$89,3,0)*0.475*44/12</f>
        <v>0.24128020343128123</v>
      </c>
      <c r="AB136" s="21">
        <f>EXP(-LN(2)/2)*AB135+(1-EXP(-LN(2)/2))/(LN(2)/2)*V136*Y136*VLOOKUP('Données projet'!$B$9,Paramètres!$A$1:$I$89,3,0)*0.475*44/12</f>
        <v>1.9163672456291183E-15</v>
      </c>
      <c r="AC136" s="22">
        <f t="shared" si="111"/>
        <v>0.67472559833458035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-1.1527845344971866E-13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272.93635583300755</v>
      </c>
      <c r="AO136" s="59">
        <f t="shared" si="144"/>
        <v>179.56041631665812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0.4857577701502469</v>
      </c>
      <c r="AV136" s="21">
        <f>EXP(-LN(2)/25)*AV135+(1-EXP(-LN(2)/25))/(LN(2)/25)*Calculateur!AQ136*Calculateur!AS136*VLOOKUP('Données projet'!$B$10,Paramètres!$A$1:$I$89,3,0)*0.475*44/12</f>
        <v>0.27040022798333219</v>
      </c>
      <c r="AW136" s="21">
        <f>EXP(-LN(2)/2)*AW135+(1-EXP(-LN(2)/2))/(LN(2)/2)*AQ136*AT136*VLOOKUP('Données projet'!$B$10,Paramètres!$A$1:$I$89,3,0)*0.475*44/12</f>
        <v>2.1476529476878057E-15</v>
      </c>
      <c r="AX136" s="21">
        <f t="shared" si="114"/>
        <v>0.7561579981335812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226.0452828290525</v>
      </c>
      <c r="BJ136" s="59">
        <f t="shared" si="146"/>
        <v>179.89696397462069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1.1803592607903028</v>
      </c>
      <c r="BQ136" s="21">
        <f>EXP(-LN(2)/25)*BQ135+(1-EXP(-LN(2)/25))/(LN(2)/25)*Calculateur!BL136*Calculateur!BN136*VLOOKUP('Données projet'!$B$11,Paramètres!$A$1:$I$89,3,0)*0.475*44/12</f>
        <v>0.64133169697259917</v>
      </c>
      <c r="BR136" s="21">
        <f>EXP(-LN(2)/2)*BR135+(1-EXP(-LN(2)/2))/(LN(2)/2)*BL136*BO136*VLOOKUP('Données projet'!$B$11,Paramètres!$A$1:$I$89,3,0)*0.475*44/12</f>
        <v>3.4677466007177394E-15</v>
      </c>
      <c r="BS136" s="22">
        <f t="shared" si="117"/>
        <v>1.8216909577629057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-1.7053025658242404E-13</v>
      </c>
      <c r="BZ136" s="13">
        <f>BY136*VLOOKUP('Données projet'!$B$12,Paramètres!$A$1:$I$89,3,0)*VLOOKUP('Données projet'!$B$12,Paramètres!$A$1:$I$89,5,0)</f>
        <v>-1.3567387213697657E-13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219.43439115440339</v>
      </c>
      <c r="CE136" s="59">
        <f t="shared" si="148"/>
        <v>217.8880462742099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1.0951908758155824</v>
      </c>
      <c r="CL136" s="21">
        <f>EXP(-LN(2)/25)*CL135+(1-EXP(-LN(2)/25))/(LN(2)/25)*Calculateur!CG136*Calculateur!CI136*VLOOKUP('Données projet'!$B$12,Paramètres!$A$1:$I$89,3,0)*0.475*44/12</f>
        <v>0.62186007837501456</v>
      </c>
      <c r="CM136" s="21">
        <f>EXP(-LN(2)/2)*CM135+(1-EXP(-LN(2)/2))/(LN(2)/2)*CG136*CJ136*VLOOKUP('Données projet'!$B$12,Paramètres!$A$1:$I$89,3,0)*0.475*44/12</f>
        <v>2.8175775710944313E-15</v>
      </c>
      <c r="CN136" s="22">
        <f t="shared" si="120"/>
        <v>1.7170509541905998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237.64646718446005</v>
      </c>
      <c r="T137" s="59">
        <f t="shared" si="142"/>
        <v>156.67965022779907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0.42494579508482955</v>
      </c>
      <c r="AA137" s="21">
        <f>EXP(-LN(2)/25)*AA136+(1-EXP(-LN(2)/25))/(LN(2)/25)*Calculateur!V137*Calculateur!X137*VLOOKUP('Données projet'!$B$9,Paramètres!$A$1:$I$89,3,0)*0.475*44/12</f>
        <v>0.2346823835800784</v>
      </c>
      <c r="AB137" s="21">
        <f>EXP(-LN(2)/2)*AB136+(1-EXP(-LN(2)/2))/(LN(2)/2)*V137*Y137*VLOOKUP('Données projet'!$B$9,Paramètres!$A$1:$I$89,3,0)*0.475*44/12</f>
        <v>1.3550762746281357E-15</v>
      </c>
      <c r="AC137" s="22">
        <f t="shared" si="111"/>
        <v>0.6596281786649093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-1.1527845344971866E-13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272.93635583300755</v>
      </c>
      <c r="AO137" s="59">
        <f t="shared" si="144"/>
        <v>179.56041631665812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0.47623235656058482</v>
      </c>
      <c r="AV137" s="21">
        <f>EXP(-LN(2)/25)*AV136+(1-EXP(-LN(2)/25))/(LN(2)/25)*Calculateur!AQ137*Calculateur!AS137*VLOOKUP('Données projet'!$B$10,Paramètres!$A$1:$I$89,3,0)*0.475*44/12</f>
        <v>0.26300611952939801</v>
      </c>
      <c r="AW137" s="21">
        <f>EXP(-LN(2)/2)*AW136+(1-EXP(-LN(2)/2))/(LN(2)/2)*AQ137*AT137*VLOOKUP('Données projet'!$B$10,Paramètres!$A$1:$I$89,3,0)*0.475*44/12</f>
        <v>1.518619962945325E-15</v>
      </c>
      <c r="AX137" s="21">
        <f t="shared" si="114"/>
        <v>0.73923847608998439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226.0452828290525</v>
      </c>
      <c r="BJ137" s="59">
        <f t="shared" si="146"/>
        <v>179.89696397462069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1.1572131356342652</v>
      </c>
      <c r="BQ137" s="21">
        <f>EXP(-LN(2)/25)*BQ136+(1-EXP(-LN(2)/25))/(LN(2)/25)*Calculateur!BL137*Calculateur!BN137*VLOOKUP('Données projet'!$B$11,Paramètres!$A$1:$I$89,3,0)*0.475*44/12</f>
        <v>0.62379444799271533</v>
      </c>
      <c r="BR137" s="21">
        <f>EXP(-LN(2)/2)*BR136+(1-EXP(-LN(2)/2))/(LN(2)/2)*BL137*BO137*VLOOKUP('Données projet'!$B$11,Paramètres!$A$1:$I$89,3,0)*0.475*44/12</f>
        <v>2.4520671368041128E-15</v>
      </c>
      <c r="BS137" s="22">
        <f t="shared" si="117"/>
        <v>1.781007583626983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-1.7053025658242404E-13</v>
      </c>
      <c r="BZ137" s="13">
        <f>BY137*VLOOKUP('Données projet'!$B$12,Paramètres!$A$1:$I$89,3,0)*VLOOKUP('Données projet'!$B$12,Paramètres!$A$1:$I$89,5,0)</f>
        <v>-1.3567387213697657E-13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219.43439115440339</v>
      </c>
      <c r="CE137" s="59">
        <f t="shared" si="148"/>
        <v>217.8880462742099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1.0737148507413135</v>
      </c>
      <c r="CL137" s="21">
        <f>EXP(-LN(2)/25)*CL136+(1-EXP(-LN(2)/25))/(LN(2)/25)*Calculateur!CG137*Calculateur!CI137*VLOOKUP('Données projet'!$B$12,Paramètres!$A$1:$I$89,3,0)*0.475*44/12</f>
        <v>0.60485528182964954</v>
      </c>
      <c r="CM137" s="21">
        <f>EXP(-LN(2)/2)*CM136+(1-EXP(-LN(2)/2))/(LN(2)/2)*CG137*CJ137*VLOOKUP('Données projet'!$B$12,Paramètres!$A$1:$I$89,3,0)*0.475*44/12</f>
        <v>1.992328207039994E-15</v>
      </c>
      <c r="CN137" s="22">
        <f t="shared" si="120"/>
        <v>1.678570132570965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237.64646718446005</v>
      </c>
      <c r="T138" s="59">
        <f t="shared" si="142"/>
        <v>156.67965022779907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0.41661286723455804</v>
      </c>
      <c r="AA138" s="21">
        <f>EXP(-LN(2)/25)*AA137+(1-EXP(-LN(2)/25))/(LN(2)/25)*Calculateur!V138*Calculateur!X138*VLOOKUP('Données projet'!$B$9,Paramètres!$A$1:$I$89,3,0)*0.475*44/12</f>
        <v>0.22826498145967097</v>
      </c>
      <c r="AB138" s="21">
        <f>EXP(-LN(2)/2)*AB137+(1-EXP(-LN(2)/2))/(LN(2)/2)*V138*Y138*VLOOKUP('Données projet'!$B$9,Paramètres!$A$1:$I$89,3,0)*0.475*44/12</f>
        <v>9.5818362281455913E-16</v>
      </c>
      <c r="AC138" s="22">
        <f t="shared" si="111"/>
        <v>0.64487784869423004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-1.1527845344971866E-13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272.93635583300755</v>
      </c>
      <c r="AO138" s="59">
        <f t="shared" si="144"/>
        <v>179.56041631665812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0.46689373052148742</v>
      </c>
      <c r="AV138" s="21">
        <f>EXP(-LN(2)/25)*AV137+(1-EXP(-LN(2)/25))/(LN(2)/25)*Calculateur!AQ138*Calculateur!AS138*VLOOKUP('Données projet'!$B$10,Paramètres!$A$1:$I$89,3,0)*0.475*44/12</f>
        <v>0.2558142033599759</v>
      </c>
      <c r="AW138" s="21">
        <f>EXP(-LN(2)/2)*AW137+(1-EXP(-LN(2)/2))/(LN(2)/2)*AQ138*AT138*VLOOKUP('Données projet'!$B$10,Paramètres!$A$1:$I$89,3,0)*0.475*44/12</f>
        <v>1.0738264738439028E-15</v>
      </c>
      <c r="AX138" s="21">
        <f t="shared" si="114"/>
        <v>0.72270793388146437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226.0452828290525</v>
      </c>
      <c r="BJ138" s="59">
        <f t="shared" si="146"/>
        <v>179.89696397462069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1.1345208918747951</v>
      </c>
      <c r="BQ138" s="21">
        <f>EXP(-LN(2)/25)*BQ137+(1-EXP(-LN(2)/25))/(LN(2)/25)*Calculateur!BL138*Calculateur!BN138*VLOOKUP('Données projet'!$B$11,Paramètres!$A$1:$I$89,3,0)*0.475*44/12</f>
        <v>0.60673675600843024</v>
      </c>
      <c r="BR138" s="21">
        <f>EXP(-LN(2)/2)*BR137+(1-EXP(-LN(2)/2))/(LN(2)/2)*BL138*BO138*VLOOKUP('Données projet'!$B$11,Paramètres!$A$1:$I$89,3,0)*0.475*44/12</f>
        <v>1.7338733003588701E-15</v>
      </c>
      <c r="BS138" s="22">
        <f t="shared" si="117"/>
        <v>1.7412576478832271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-1.7053025658242404E-13</v>
      </c>
      <c r="BZ138" s="13">
        <f>BY138*VLOOKUP('Données projet'!$B$12,Paramètres!$A$1:$I$89,3,0)*VLOOKUP('Données projet'!$B$12,Paramètres!$A$1:$I$89,5,0)</f>
        <v>-1.3567387213697657E-13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219.43439115440339</v>
      </c>
      <c r="CE138" s="59">
        <f t="shared" si="148"/>
        <v>217.8880462742099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1.0526599574196691</v>
      </c>
      <c r="CL138" s="21">
        <f>EXP(-LN(2)/25)*CL137+(1-EXP(-LN(2)/25))/(LN(2)/25)*Calculateur!CG138*Calculateur!CI138*VLOOKUP('Données projet'!$B$12,Paramètres!$A$1:$I$89,3,0)*0.475*44/12</f>
        <v>0.58831548234006092</v>
      </c>
      <c r="CM138" s="21">
        <f>EXP(-LN(2)/2)*CM137+(1-EXP(-LN(2)/2))/(LN(2)/2)*CG138*CJ138*VLOOKUP('Données projet'!$B$12,Paramètres!$A$1:$I$89,3,0)*0.475*44/12</f>
        <v>1.4087887855472156E-15</v>
      </c>
      <c r="CN138" s="22">
        <f t="shared" si="120"/>
        <v>1.6409754397597314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237.64646718446005</v>
      </c>
      <c r="T139" s="59">
        <f t="shared" si="142"/>
        <v>156.67965022779907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0.40844334301684621</v>
      </c>
      <c r="AA139" s="21">
        <f>EXP(-LN(2)/25)*AA138+(1-EXP(-LN(2)/25))/(LN(2)/25)*Calculateur!V139*Calculateur!X139*VLOOKUP('Données projet'!$B$9,Paramètres!$A$1:$I$89,3,0)*0.475*44/12</f>
        <v>0.22202306353772261</v>
      </c>
      <c r="AB139" s="21">
        <f>EXP(-LN(2)/2)*AB138+(1-EXP(-LN(2)/2))/(LN(2)/2)*V139*Y139*VLOOKUP('Données projet'!$B$9,Paramètres!$A$1:$I$89,3,0)*0.475*44/12</f>
        <v>6.7753813731406785E-16</v>
      </c>
      <c r="AC139" s="22">
        <f t="shared" si="111"/>
        <v>0.63046640655456954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-1.1527845344971866E-13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272.93635583300755</v>
      </c>
      <c r="AO139" s="59">
        <f t="shared" si="144"/>
        <v>179.56041631665812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0.45773822924301727</v>
      </c>
      <c r="AV139" s="21">
        <f>EXP(-LN(2)/25)*AV138+(1-EXP(-LN(2)/25))/(LN(2)/25)*Calculateur!AQ139*Calculateur!AS139*VLOOKUP('Données projet'!$B$10,Paramètres!$A$1:$I$89,3,0)*0.475*44/12</f>
        <v>0.24881895051641306</v>
      </c>
      <c r="AW139" s="21">
        <f>EXP(-LN(2)/2)*AW138+(1-EXP(-LN(2)/2))/(LN(2)/2)*AQ139*AT139*VLOOKUP('Données projet'!$B$10,Paramètres!$A$1:$I$89,3,0)*0.475*44/12</f>
        <v>7.5930998147266251E-16</v>
      </c>
      <c r="AX139" s="21">
        <f t="shared" si="114"/>
        <v>0.70655717975943111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226.0452828290525</v>
      </c>
      <c r="BJ139" s="59">
        <f t="shared" si="146"/>
        <v>179.89696397462069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1.1122736291745461</v>
      </c>
      <c r="BQ139" s="21">
        <f>EXP(-LN(2)/25)*BQ138+(1-EXP(-LN(2)/25))/(LN(2)/25)*Calculateur!BL139*Calculateur!BN139*VLOOKUP('Données projet'!$B$11,Paramètres!$A$1:$I$89,3,0)*0.475*44/12</f>
        <v>0.59014550750848038</v>
      </c>
      <c r="BR139" s="21">
        <f>EXP(-LN(2)/2)*BR138+(1-EXP(-LN(2)/2))/(LN(2)/2)*BL139*BO139*VLOOKUP('Données projet'!$B$11,Paramètres!$A$1:$I$89,3,0)*0.475*44/12</f>
        <v>1.2260335684020566E-15</v>
      </c>
      <c r="BS139" s="22">
        <f t="shared" si="117"/>
        <v>1.7024191366830279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-1.7053025658242404E-13</v>
      </c>
      <c r="BZ139" s="13">
        <f>BY139*VLOOKUP('Données projet'!$B$12,Paramètres!$A$1:$I$89,3,0)*VLOOKUP('Données projet'!$B$12,Paramètres!$A$1:$I$89,5,0)</f>
        <v>-1.3567387213697657E-13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219.43439115440339</v>
      </c>
      <c r="CE139" s="59">
        <f t="shared" si="148"/>
        <v>217.8880462742099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1.0320179377138454</v>
      </c>
      <c r="CL139" s="21">
        <f>EXP(-LN(2)/25)*CL138+(1-EXP(-LN(2)/25))/(LN(2)/25)*Calculateur!CG139*Calculateur!CI139*VLOOKUP('Données projet'!$B$12,Paramètres!$A$1:$I$89,3,0)*0.475*44/12</f>
        <v>0.5722279645373054</v>
      </c>
      <c r="CM139" s="21">
        <f>EXP(-LN(2)/2)*CM138+(1-EXP(-LN(2)/2))/(LN(2)/2)*CG139*CJ139*VLOOKUP('Données projet'!$B$12,Paramètres!$A$1:$I$89,3,0)*0.475*44/12</f>
        <v>9.96164103519997E-16</v>
      </c>
      <c r="CN139" s="22">
        <f t="shared" si="120"/>
        <v>1.6042459022511517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237.64646718446005</v>
      </c>
      <c r="T140" s="59">
        <f t="shared" si="142"/>
        <v>156.67965022779907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0.40043401818612595</v>
      </c>
      <c r="AA140" s="21">
        <f>EXP(-LN(2)/25)*AA139+(1-EXP(-LN(2)/25))/(LN(2)/25)*Calculateur!V140*Calculateur!X140*VLOOKUP('Données projet'!$B$9,Paramètres!$A$1:$I$89,3,0)*0.475*44/12</f>
        <v>0.21595183118959813</v>
      </c>
      <c r="AB140" s="21">
        <f>EXP(-LN(2)/2)*AB139+(1-EXP(-LN(2)/2))/(LN(2)/2)*V140*Y140*VLOOKUP('Données projet'!$B$9,Paramètres!$A$1:$I$89,3,0)*0.475*44/12</f>
        <v>4.7909181140727957E-16</v>
      </c>
      <c r="AC140" s="22">
        <f t="shared" si="111"/>
        <v>0.61638584937572449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-1.1527845344971866E-13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272.93635583300755</v>
      </c>
      <c r="AO140" s="59">
        <f t="shared" si="144"/>
        <v>179.56041631665812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0.44876226176031353</v>
      </c>
      <c r="AV140" s="21">
        <f>EXP(-LN(2)/25)*AV139+(1-EXP(-LN(2)/25))/(LN(2)/25)*Calculateur!AQ140*Calculateur!AS140*VLOOKUP('Données projet'!$B$10,Paramètres!$A$1:$I$89,3,0)*0.475*44/12</f>
        <v>0.24201498322972181</v>
      </c>
      <c r="AW140" s="21">
        <f>EXP(-LN(2)/2)*AW139+(1-EXP(-LN(2)/2))/(LN(2)/2)*AQ140*AT140*VLOOKUP('Données projet'!$B$10,Paramètres!$A$1:$I$89,3,0)*0.475*44/12</f>
        <v>5.3691323692195141E-16</v>
      </c>
      <c r="AX140" s="21">
        <f t="shared" si="114"/>
        <v>0.6907772449900359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226.0452828290525</v>
      </c>
      <c r="BJ140" s="59">
        <f t="shared" si="146"/>
        <v>179.89696397462069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1.0904626217263587</v>
      </c>
      <c r="BQ140" s="21">
        <f>EXP(-LN(2)/25)*BQ139+(1-EXP(-LN(2)/25))/(LN(2)/25)*Calculateur!BL140*Calculateur!BN140*VLOOKUP('Données projet'!$B$11,Paramètres!$A$1:$I$89,3,0)*0.475*44/12</f>
        <v>0.5740079475712575</v>
      </c>
      <c r="BR140" s="21">
        <f>EXP(-LN(2)/2)*BR139+(1-EXP(-LN(2)/2))/(LN(2)/2)*BL140*BO140*VLOOKUP('Données projet'!$B$11,Paramètres!$A$1:$I$89,3,0)*0.475*44/12</f>
        <v>8.6693665017943514E-16</v>
      </c>
      <c r="BS140" s="22">
        <f t="shared" si="117"/>
        <v>1.6644705692976172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-1.7053025658242404E-13</v>
      </c>
      <c r="BZ140" s="13">
        <f>BY140*VLOOKUP('Données projet'!$B$12,Paramètres!$A$1:$I$89,3,0)*VLOOKUP('Données projet'!$B$12,Paramètres!$A$1:$I$89,5,0)</f>
        <v>-1.3567387213697657E-13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219.43439115440339</v>
      </c>
      <c r="CE140" s="59">
        <f t="shared" si="148"/>
        <v>217.8880462742099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1.011780695424064</v>
      </c>
      <c r="CL140" s="21">
        <f>EXP(-LN(2)/25)*CL139+(1-EXP(-LN(2)/25))/(LN(2)/25)*Calculateur!CG140*Calculateur!CI140*VLOOKUP('Données projet'!$B$12,Paramètres!$A$1:$I$89,3,0)*0.475*44/12</f>
        <v>0.55658036075487194</v>
      </c>
      <c r="CM140" s="21">
        <f>EXP(-LN(2)/2)*CM139+(1-EXP(-LN(2)/2))/(LN(2)/2)*CG140*CJ140*VLOOKUP('Données projet'!$B$12,Paramètres!$A$1:$I$89,3,0)*0.475*44/12</f>
        <v>7.0439439277360782E-16</v>
      </c>
      <c r="CN140" s="22">
        <f t="shared" si="120"/>
        <v>1.5683610561789367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237.64646718446005</v>
      </c>
      <c r="T141" s="59">
        <f t="shared" si="142"/>
        <v>156.67965022779907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0.39258175133013035</v>
      </c>
      <c r="AA141" s="21">
        <f>EXP(-LN(2)/25)*AA140+(1-EXP(-LN(2)/25))/(LN(2)/25)*Calculateur!V141*Calculateur!X141*VLOOKUP('Données projet'!$B$9,Paramètres!$A$1:$I$89,3,0)*0.475*44/12</f>
        <v>0.21004661700930533</v>
      </c>
      <c r="AB141" s="21">
        <f>EXP(-LN(2)/2)*AB140+(1-EXP(-LN(2)/2))/(LN(2)/2)*V141*Y141*VLOOKUP('Données projet'!$B$9,Paramètres!$A$1:$I$89,3,0)*0.475*44/12</f>
        <v>3.3876906865703393E-16</v>
      </c>
      <c r="AC141" s="22">
        <f t="shared" si="111"/>
        <v>0.602628368339436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-1.1527845344971866E-13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272.93635583300755</v>
      </c>
      <c r="AO141" s="59">
        <f t="shared" si="144"/>
        <v>179.56041631665812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0.43996230752514603</v>
      </c>
      <c r="AV141" s="21">
        <f>EXP(-LN(2)/25)*AV140+(1-EXP(-LN(2)/25))/(LN(2)/25)*Calculateur!AQ141*Calculateur!AS141*VLOOKUP('Données projet'!$B$10,Paramètres!$A$1:$I$89,3,0)*0.475*44/12</f>
        <v>0.23539707078629024</v>
      </c>
      <c r="AW141" s="21">
        <f>EXP(-LN(2)/2)*AW140+(1-EXP(-LN(2)/2))/(LN(2)/2)*AQ141*AT141*VLOOKUP('Données projet'!$B$10,Paramètres!$A$1:$I$89,3,0)*0.475*44/12</f>
        <v>3.7965499073633125E-16</v>
      </c>
      <c r="AX141" s="21">
        <f t="shared" si="114"/>
        <v>0.67535937831143655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226.0452828290525</v>
      </c>
      <c r="BJ141" s="59">
        <f t="shared" si="146"/>
        <v>179.89696397462069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1.0690793148308293</v>
      </c>
      <c r="BQ141" s="21">
        <f>EXP(-LN(2)/25)*BQ140+(1-EXP(-LN(2)/25))/(LN(2)/25)*Calculateur!BL141*Calculateur!BN141*VLOOKUP('Données projet'!$B$11,Paramètres!$A$1:$I$89,3,0)*0.475*44/12</f>
        <v>0.55831167005915538</v>
      </c>
      <c r="BR141" s="21">
        <f>EXP(-LN(2)/2)*BR140+(1-EXP(-LN(2)/2))/(LN(2)/2)*BL141*BO141*VLOOKUP('Données projet'!$B$11,Paramètres!$A$1:$I$89,3,0)*0.475*44/12</f>
        <v>6.130167842010284E-16</v>
      </c>
      <c r="BS141" s="22">
        <f t="shared" si="117"/>
        <v>1.6273909848899855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-1.7053025658242404E-13</v>
      </c>
      <c r="BZ141" s="13">
        <f>BY141*VLOOKUP('Données projet'!$B$12,Paramètres!$A$1:$I$89,3,0)*VLOOKUP('Données projet'!$B$12,Paramètres!$A$1:$I$89,5,0)</f>
        <v>-1.3567387213697657E-13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219.43439115440339</v>
      </c>
      <c r="CE141" s="59">
        <f t="shared" si="148"/>
        <v>217.8880462742099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0.99194029311208631</v>
      </c>
      <c r="CL141" s="21">
        <f>EXP(-LN(2)/25)*CL140+(1-EXP(-LN(2)/25))/(LN(2)/25)*Calculateur!CG141*Calculateur!CI141*VLOOKUP('Données projet'!$B$12,Paramètres!$A$1:$I$89,3,0)*0.475*44/12</f>
        <v>0.54136064152074093</v>
      </c>
      <c r="CM141" s="21">
        <f>EXP(-LN(2)/2)*CM140+(1-EXP(-LN(2)/2))/(LN(2)/2)*CG141*CJ141*VLOOKUP('Données projet'!$B$12,Paramètres!$A$1:$I$89,3,0)*0.475*44/12</f>
        <v>4.980820517599985E-16</v>
      </c>
      <c r="CN141" s="22">
        <f t="shared" si="120"/>
        <v>1.5333009346328277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237.64646718446005</v>
      </c>
      <c r="T142" s="59">
        <f t="shared" si="142"/>
        <v>156.67965022779907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0.38488346263777096</v>
      </c>
      <c r="AA142" s="21">
        <f>EXP(-LN(2)/25)*AA141+(1-EXP(-LN(2)/25))/(LN(2)/25)*Calculateur!V142*Calculateur!X142*VLOOKUP('Données projet'!$B$9,Paramètres!$A$1:$I$89,3,0)*0.475*44/12</f>
        <v>0.20430288122131435</v>
      </c>
      <c r="AB142" s="21">
        <f>EXP(-LN(2)/2)*AB141+(1-EXP(-LN(2)/2))/(LN(2)/2)*V142*Y142*VLOOKUP('Données projet'!$B$9,Paramètres!$A$1:$I$89,3,0)*0.475*44/12</f>
        <v>2.3954590570363978E-16</v>
      </c>
      <c r="AC142" s="22">
        <f t="shared" si="111"/>
        <v>0.58918634385908553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-1.1527845344971866E-13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272.93635583300755</v>
      </c>
      <c r="AO142" s="59">
        <f t="shared" si="144"/>
        <v>179.56041631665812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0.43133491502508808</v>
      </c>
      <c r="AV142" s="21">
        <f>EXP(-LN(2)/25)*AV141+(1-EXP(-LN(2)/25))/(LN(2)/25)*Calculateur!AQ142*Calculateur!AS142*VLOOKUP('Données projet'!$B$10,Paramètres!$A$1:$I$89,3,0)*0.475*44/12</f>
        <v>0.22896012550664518</v>
      </c>
      <c r="AW142" s="21">
        <f>EXP(-LN(2)/2)*AW141+(1-EXP(-LN(2)/2))/(LN(2)/2)*AQ142*AT142*VLOOKUP('Données projet'!$B$10,Paramètres!$A$1:$I$89,3,0)*0.475*44/12</f>
        <v>2.6845661846097571E-16</v>
      </c>
      <c r="AX142" s="21">
        <f t="shared" si="114"/>
        <v>0.66029504053173349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226.0452828290525</v>
      </c>
      <c r="BJ142" s="59">
        <f t="shared" si="146"/>
        <v>179.89696397462069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1.0481153215409917</v>
      </c>
      <c r="BQ142" s="21">
        <f>EXP(-LN(2)/25)*BQ141+(1-EXP(-LN(2)/25))/(LN(2)/25)*Calculateur!BL142*Calculateur!BN142*VLOOKUP('Données projet'!$B$11,Paramètres!$A$1:$I$89,3,0)*0.475*44/12</f>
        <v>0.54304460808105304</v>
      </c>
      <c r="BR142" s="21">
        <f>EXP(-LN(2)/2)*BR141+(1-EXP(-LN(2)/2))/(LN(2)/2)*BL142*BO142*VLOOKUP('Données projet'!$B$11,Paramètres!$A$1:$I$89,3,0)*0.475*44/12</f>
        <v>4.3346832508971762E-16</v>
      </c>
      <c r="BS142" s="22">
        <f t="shared" si="117"/>
        <v>1.5911599296220453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-1.7053025658242404E-13</v>
      </c>
      <c r="BZ142" s="13">
        <f>BY142*VLOOKUP('Données projet'!$B$12,Paramètres!$A$1:$I$89,3,0)*VLOOKUP('Données projet'!$B$12,Paramètres!$A$1:$I$89,5,0)</f>
        <v>-1.3567387213697657E-13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219.43439115440339</v>
      </c>
      <c r="CE142" s="59">
        <f t="shared" si="148"/>
        <v>217.8880462742099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0.97248894898799598</v>
      </c>
      <c r="CL142" s="21">
        <f>EXP(-LN(2)/25)*CL141+(1-EXP(-LN(2)/25))/(LN(2)/25)*Calculateur!CG142*Calculateur!CI142*VLOOKUP('Données projet'!$B$12,Paramètres!$A$1:$I$89,3,0)*0.475*44/12</f>
        <v>0.52655710630943742</v>
      </c>
      <c r="CM142" s="21">
        <f>EXP(-LN(2)/2)*CM141+(1-EXP(-LN(2)/2))/(LN(2)/2)*CG142*CJ142*VLOOKUP('Données projet'!$B$12,Paramètres!$A$1:$I$89,3,0)*0.475*44/12</f>
        <v>3.5219719638680391E-16</v>
      </c>
      <c r="CN142" s="22">
        <f t="shared" si="120"/>
        <v>1.4990460552974338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237.64646718446005</v>
      </c>
      <c r="T143" s="59">
        <f t="shared" si="142"/>
        <v>156.67965022779907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0.37733613269117627</v>
      </c>
      <c r="AA143" s="21">
        <f>EXP(-LN(2)/25)*AA142+(1-EXP(-LN(2)/25))/(LN(2)/25)*Calculateur!V143*Calculateur!X143*VLOOKUP('Données projet'!$B$9,Paramètres!$A$1:$I$89,3,0)*0.475*44/12</f>
        <v>0.19871620819049593</v>
      </c>
      <c r="AB143" s="21">
        <f>EXP(-LN(2)/2)*AB142+(1-EXP(-LN(2)/2))/(LN(2)/2)*V143*Y143*VLOOKUP('Données projet'!$B$9,Paramètres!$A$1:$I$89,3,0)*0.475*44/12</f>
        <v>1.6938453432851696E-16</v>
      </c>
      <c r="AC143" s="22">
        <f t="shared" si="111"/>
        <v>0.57605234088167245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-1.1527845344971866E-13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272.93635583300755</v>
      </c>
      <c r="AO143" s="59">
        <f t="shared" si="144"/>
        <v>179.56041631665812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0.42287670042976644</v>
      </c>
      <c r="AV143" s="21">
        <f>EXP(-LN(2)/25)*AV142+(1-EXP(-LN(2)/25))/(LN(2)/25)*Calculateur!AQ143*Calculateur!AS143*VLOOKUP('Données projet'!$B$10,Paramètres!$A$1:$I$89,3,0)*0.475*44/12</f>
        <v>0.22269919883417627</v>
      </c>
      <c r="AW143" s="21">
        <f>EXP(-LN(2)/2)*AW142+(1-EXP(-LN(2)/2))/(LN(2)/2)*AQ143*AT143*VLOOKUP('Données projet'!$B$10,Paramètres!$A$1:$I$89,3,0)*0.475*44/12</f>
        <v>1.8982749536816563E-16</v>
      </c>
      <c r="AX143" s="21">
        <f t="shared" si="114"/>
        <v>0.64557589926394288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226.0452828290525</v>
      </c>
      <c r="BJ143" s="59">
        <f t="shared" si="146"/>
        <v>179.89696397462069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1.0275624193727946</v>
      </c>
      <c r="BQ143" s="21">
        <f>EXP(-LN(2)/25)*BQ142+(1-EXP(-LN(2)/25))/(LN(2)/25)*Calculateur!BL143*Calculateur!BN143*VLOOKUP('Données projet'!$B$11,Paramètres!$A$1:$I$89,3,0)*0.475*44/12</f>
        <v>0.52819502471560187</v>
      </c>
      <c r="BR143" s="21">
        <f>EXP(-LN(2)/2)*BR142+(1-EXP(-LN(2)/2))/(LN(2)/2)*BL143*BO143*VLOOKUP('Données projet'!$B$11,Paramètres!$A$1:$I$89,3,0)*0.475*44/12</f>
        <v>3.0650839210051425E-16</v>
      </c>
      <c r="BS143" s="22">
        <f t="shared" si="117"/>
        <v>1.5557574440883968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-1.7053025658242404E-13</v>
      </c>
      <c r="BZ143" s="13">
        <f>BY143*VLOOKUP('Données projet'!$B$12,Paramètres!$A$1:$I$89,3,0)*VLOOKUP('Données projet'!$B$12,Paramètres!$A$1:$I$89,5,0)</f>
        <v>-1.3567387213697657E-13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219.43439115440339</v>
      </c>
      <c r="CE143" s="59">
        <f t="shared" si="148"/>
        <v>217.8880462742099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0.95341903385803062</v>
      </c>
      <c r="CL143" s="21">
        <f>EXP(-LN(2)/25)*CL142+(1-EXP(-LN(2)/25))/(LN(2)/25)*Calculateur!CG143*Calculateur!CI143*VLOOKUP('Données projet'!$B$12,Paramètres!$A$1:$I$89,3,0)*0.475*44/12</f>
        <v>0.51215837454697111</v>
      </c>
      <c r="CM143" s="21">
        <f>EXP(-LN(2)/2)*CM142+(1-EXP(-LN(2)/2))/(LN(2)/2)*CG143*CJ143*VLOOKUP('Données projet'!$B$12,Paramètres!$A$1:$I$89,3,0)*0.475*44/12</f>
        <v>2.4904102587999925E-16</v>
      </c>
      <c r="CN143" s="22">
        <f t="shared" si="120"/>
        <v>1.4655774084050019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237.64646718446005</v>
      </c>
      <c r="T144" s="59">
        <f t="shared" si="142"/>
        <v>156.67965022779907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0.36993680128141759</v>
      </c>
      <c r="AA144" s="21">
        <f>EXP(-LN(2)/25)*AA143+(1-EXP(-LN(2)/25))/(LN(2)/25)*Calculateur!V144*Calculateur!X144*VLOOKUP('Données projet'!$B$9,Paramètres!$A$1:$I$89,3,0)*0.475*44/12</f>
        <v>0.19328230302749561</v>
      </c>
      <c r="AB144" s="21">
        <f>EXP(-LN(2)/2)*AB143+(1-EXP(-LN(2)/2))/(LN(2)/2)*V144*Y144*VLOOKUP('Données projet'!$B$9,Paramètres!$A$1:$I$89,3,0)*0.475*44/12</f>
        <v>1.1977295285181989E-16</v>
      </c>
      <c r="AC144" s="22">
        <f t="shared" si="111"/>
        <v>0.56321910430891331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-1.1527845344971866E-13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272.93635583300755</v>
      </c>
      <c r="AO144" s="59">
        <f t="shared" si="144"/>
        <v>179.56041631665812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0.41458434626365759</v>
      </c>
      <c r="AV144" s="21">
        <f>EXP(-LN(2)/25)*AV143+(1-EXP(-LN(2)/25))/(LN(2)/25)*Calculateur!AQ144*Calculateur!AS144*VLOOKUP('Données projet'!$B$10,Paramètres!$A$1:$I$89,3,0)*0.475*44/12</f>
        <v>0.21660947753081383</v>
      </c>
      <c r="AW144" s="21">
        <f>EXP(-LN(2)/2)*AW143+(1-EXP(-LN(2)/2))/(LN(2)/2)*AQ144*AT144*VLOOKUP('Données projet'!$B$10,Paramètres!$A$1:$I$89,3,0)*0.475*44/12</f>
        <v>1.3422830923048785E-16</v>
      </c>
      <c r="AX144" s="21">
        <f t="shared" si="114"/>
        <v>0.63119382379447153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226.0452828290525</v>
      </c>
      <c r="BJ144" s="59">
        <f t="shared" si="146"/>
        <v>179.89696397462069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1.0074125470800834</v>
      </c>
      <c r="BQ144" s="21">
        <f>EXP(-LN(2)/25)*BQ143+(1-EXP(-LN(2)/25))/(LN(2)/25)*Calculateur!BL144*Calculateur!BN144*VLOOKUP('Données projet'!$B$11,Paramètres!$A$1:$I$89,3,0)*0.475*44/12</f>
        <v>0.51375150398818459</v>
      </c>
      <c r="BR144" s="21">
        <f>EXP(-LN(2)/2)*BR143+(1-EXP(-LN(2)/2))/(LN(2)/2)*BL144*BO144*VLOOKUP('Données projet'!$B$11,Paramètres!$A$1:$I$89,3,0)*0.475*44/12</f>
        <v>2.1673416254485886E-16</v>
      </c>
      <c r="BS144" s="22">
        <f t="shared" si="117"/>
        <v>1.5211640510682682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-1.7053025658242404E-13</v>
      </c>
      <c r="BZ144" s="13">
        <f>BY144*VLOOKUP('Données projet'!$B$12,Paramètres!$A$1:$I$89,3,0)*VLOOKUP('Données projet'!$B$12,Paramètres!$A$1:$I$89,5,0)</f>
        <v>-1.3567387213697657E-13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219.43439115440339</v>
      </c>
      <c r="CE144" s="59">
        <f t="shared" si="148"/>
        <v>217.8880462742099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0.93472306813226413</v>
      </c>
      <c r="CL144" s="21">
        <f>EXP(-LN(2)/25)*CL143+(1-EXP(-LN(2)/25))/(LN(2)/25)*Calculateur!CG144*Calculateur!CI144*VLOOKUP('Données projet'!$B$12,Paramètres!$A$1:$I$89,3,0)*0.475*44/12</f>
        <v>0.49815337686174582</v>
      </c>
      <c r="CM144" s="21">
        <f>EXP(-LN(2)/2)*CM143+(1-EXP(-LN(2)/2))/(LN(2)/2)*CG144*CJ144*VLOOKUP('Données projet'!$B$12,Paramètres!$A$1:$I$89,3,0)*0.475*44/12</f>
        <v>1.7609859819340195E-16</v>
      </c>
      <c r="CN144" s="22">
        <f t="shared" si="120"/>
        <v>1.4328764449940101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237.64646718446005</v>
      </c>
      <c r="T145" s="59">
        <f t="shared" si="142"/>
        <v>156.67965022779907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0.36268256624745776</v>
      </c>
      <c r="AA145" s="21">
        <f>EXP(-LN(2)/25)*AA144+(1-EXP(-LN(2)/25))/(LN(2)/25)*Calculateur!V145*Calculateur!X145*VLOOKUP('Données projet'!$B$9,Paramètres!$A$1:$I$89,3,0)*0.475*44/12</f>
        <v>0.18799698828693417</v>
      </c>
      <c r="AB145" s="21">
        <f>EXP(-LN(2)/2)*AB144+(1-EXP(-LN(2)/2))/(LN(2)/2)*V145*Y145*VLOOKUP('Données projet'!$B$9,Paramètres!$A$1:$I$89,3,0)*0.475*44/12</f>
        <v>8.4692267164258482E-17</v>
      </c>
      <c r="AC145" s="22">
        <f t="shared" si="111"/>
        <v>0.55067955453439199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-1.1527845344971866E-13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272.93635583300755</v>
      </c>
      <c r="AO145" s="59">
        <f t="shared" si="144"/>
        <v>179.56041631665812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0.40645460010490952</v>
      </c>
      <c r="AV145" s="21">
        <f>EXP(-LN(2)/25)*AV144+(1-EXP(-LN(2)/25))/(LN(2)/25)*Calculateur!AQ145*Calculateur!AS145*VLOOKUP('Données projet'!$B$10,Paramètres!$A$1:$I$89,3,0)*0.475*44/12</f>
        <v>0.21068627997673636</v>
      </c>
      <c r="AW145" s="21">
        <f>EXP(-LN(2)/2)*AW144+(1-EXP(-LN(2)/2))/(LN(2)/2)*AQ145*AT145*VLOOKUP('Données projet'!$B$10,Paramètres!$A$1:$I$89,3,0)*0.475*44/12</f>
        <v>9.4913747684082814E-17</v>
      </c>
      <c r="AX145" s="21">
        <f t="shared" si="114"/>
        <v>0.61714088008164603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226.0452828290525</v>
      </c>
      <c r="BJ145" s="59">
        <f t="shared" si="146"/>
        <v>179.89696397462069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0.98765780149282378</v>
      </c>
      <c r="BQ145" s="21">
        <f>EXP(-LN(2)/25)*BQ144+(1-EXP(-LN(2)/25))/(LN(2)/25)*Calculateur!BL145*Calculateur!BN145*VLOOKUP('Données projet'!$B$11,Paramètres!$A$1:$I$89,3,0)*0.475*44/12</f>
        <v>0.4997029420946103</v>
      </c>
      <c r="BR145" s="21">
        <f>EXP(-LN(2)/2)*BR144+(1-EXP(-LN(2)/2))/(LN(2)/2)*BL145*BO145*VLOOKUP('Données projet'!$B$11,Paramètres!$A$1:$I$89,3,0)*0.475*44/12</f>
        <v>1.5325419605025715E-16</v>
      </c>
      <c r="BS145" s="22">
        <f t="shared" si="117"/>
        <v>1.4873607435874343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-1.7053025658242404E-13</v>
      </c>
      <c r="BZ145" s="13">
        <f>BY145*VLOOKUP('Données projet'!$B$12,Paramètres!$A$1:$I$89,3,0)*VLOOKUP('Données projet'!$B$12,Paramètres!$A$1:$I$89,5,0)</f>
        <v>-1.3567387213697657E-13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219.43439115440339</v>
      </c>
      <c r="CE145" s="59">
        <f t="shared" si="148"/>
        <v>217.8880462742099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0.91639371889096688</v>
      </c>
      <c r="CL145" s="21">
        <f>EXP(-LN(2)/25)*CL144+(1-EXP(-LN(2)/25))/(LN(2)/25)*Calculateur!CG145*Calculateur!CI145*VLOOKUP('Données projet'!$B$12,Paramètres!$A$1:$I$89,3,0)*0.475*44/12</f>
        <v>0.48453134657471386</v>
      </c>
      <c r="CM145" s="21">
        <f>EXP(-LN(2)/2)*CM144+(1-EXP(-LN(2)/2))/(LN(2)/2)*CG145*CJ145*VLOOKUP('Données projet'!$B$12,Paramètres!$A$1:$I$89,3,0)*0.475*44/12</f>
        <v>1.2452051293999963E-16</v>
      </c>
      <c r="CN145" s="22">
        <f t="shared" si="120"/>
        <v>1.4009250654656811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237.64646718446005</v>
      </c>
      <c r="T146" s="59">
        <f t="shared" si="142"/>
        <v>156.67965022779907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0.35557058233786742</v>
      </c>
      <c r="AA146" s="21">
        <f>EXP(-LN(2)/25)*AA145+(1-EXP(-LN(2)/25))/(LN(2)/25)*Calculateur!V146*Calculateur!X146*VLOOKUP('Données projet'!$B$9,Paramètres!$A$1:$I$89,3,0)*0.475*44/12</f>
        <v>0.18285620075589601</v>
      </c>
      <c r="AB146" s="21">
        <f>EXP(-LN(2)/2)*AB145+(1-EXP(-LN(2)/2))/(LN(2)/2)*V146*Y146*VLOOKUP('Données projet'!$B$9,Paramètres!$A$1:$I$89,3,0)*0.475*44/12</f>
        <v>5.9886476425909946E-17</v>
      </c>
      <c r="AC146" s="22">
        <f t="shared" si="111"/>
        <v>0.53842678309376357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-1.1527845344971866E-13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272.93635583300755</v>
      </c>
      <c r="AO146" s="59">
        <f t="shared" si="144"/>
        <v>179.56041631665812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0.39848427330967895</v>
      </c>
      <c r="AV146" s="21">
        <f>EXP(-LN(2)/25)*AV145+(1-EXP(-LN(2)/25))/(LN(2)/25)*Calculateur!AQ146*Calculateur!AS146*VLOOKUP('Données projet'!$B$10,Paramètres!$A$1:$I$89,3,0)*0.475*44/12</f>
        <v>0.20492505257126256</v>
      </c>
      <c r="AW146" s="21">
        <f>EXP(-LN(2)/2)*AW145+(1-EXP(-LN(2)/2))/(LN(2)/2)*AQ146*AT146*VLOOKUP('Données projet'!$B$10,Paramètres!$A$1:$I$89,3,0)*0.475*44/12</f>
        <v>6.7114154615243927E-17</v>
      </c>
      <c r="AX146" s="21">
        <f t="shared" si="114"/>
        <v>0.60340932588094165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226.0452828290525</v>
      </c>
      <c r="BJ146" s="59">
        <f t="shared" si="146"/>
        <v>179.89696397462069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0.96829043441732521</v>
      </c>
      <c r="BQ146" s="21">
        <f>EXP(-LN(2)/25)*BQ145+(1-EXP(-LN(2)/25))/(LN(2)/25)*Calculateur!BL146*Calculateur!BN146*VLOOKUP('Données projet'!$B$11,Paramètres!$A$1:$I$89,3,0)*0.475*44/12</f>
        <v>0.48603853886479753</v>
      </c>
      <c r="BR146" s="21">
        <f>EXP(-LN(2)/2)*BR145+(1-EXP(-LN(2)/2))/(LN(2)/2)*BL146*BO146*VLOOKUP('Données projet'!$B$11,Paramètres!$A$1:$I$89,3,0)*0.475*44/12</f>
        <v>1.0836708127242944E-16</v>
      </c>
      <c r="BS146" s="22">
        <f t="shared" si="117"/>
        <v>1.4543289732821227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-1.7053025658242404E-13</v>
      </c>
      <c r="BZ146" s="13">
        <f>BY146*VLOOKUP('Données projet'!$B$12,Paramètres!$A$1:$I$89,3,0)*VLOOKUP('Données projet'!$B$12,Paramètres!$A$1:$I$89,5,0)</f>
        <v>-1.3567387213697657E-13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219.43439115440339</v>
      </c>
      <c r="CE146" s="59">
        <f t="shared" si="148"/>
        <v>217.8880462742099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0.89842379700849229</v>
      </c>
      <c r="CL146" s="21">
        <f>EXP(-LN(2)/25)*CL145+(1-EXP(-LN(2)/25))/(LN(2)/25)*Calculateur!CG146*Calculateur!CI146*VLOOKUP('Données projet'!$B$12,Paramètres!$A$1:$I$89,3,0)*0.475*44/12</f>
        <v>0.47128181142223219</v>
      </c>
      <c r="CM146" s="21">
        <f>EXP(-LN(2)/2)*CM145+(1-EXP(-LN(2)/2))/(LN(2)/2)*CG146*CJ146*VLOOKUP('Données projet'!$B$12,Paramètres!$A$1:$I$89,3,0)*0.475*44/12</f>
        <v>8.8049299096700977E-17</v>
      </c>
      <c r="CN146" s="22">
        <f t="shared" si="120"/>
        <v>1.3697056084307244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237.64646718446005</v>
      </c>
      <c r="T147" s="59">
        <f t="shared" si="142"/>
        <v>156.67965022779907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0.34859806009486227</v>
      </c>
      <c r="AA147" s="21">
        <f>EXP(-LN(2)/25)*AA146+(1-EXP(-LN(2)/25))/(LN(2)/25)*Calculateur!V147*Calculateur!X147*VLOOKUP('Données projet'!$B$9,Paramètres!$A$1:$I$89,3,0)*0.475*44/12</f>
        <v>0.17785598833023636</v>
      </c>
      <c r="AB147" s="21">
        <f>EXP(-LN(2)/2)*AB146+(1-EXP(-LN(2)/2))/(LN(2)/2)*V147*Y147*VLOOKUP('Données projet'!$B$9,Paramètres!$A$1:$I$89,3,0)*0.475*44/12</f>
        <v>4.2346133582129241E-17</v>
      </c>
      <c r="AC147" s="22">
        <f t="shared" si="111"/>
        <v>0.52645404842509858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-1.1527845344971866E-13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272.93635583300755</v>
      </c>
      <c r="AO147" s="59">
        <f t="shared" si="144"/>
        <v>179.56041631665812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0.39067023976148352</v>
      </c>
      <c r="AV147" s="21">
        <f>EXP(-LN(2)/25)*AV146+(1-EXP(-LN(2)/25))/(LN(2)/25)*Calculateur!AQ147*Calculateur!AS147*VLOOKUP('Données projet'!$B$10,Paramètres!$A$1:$I$89,3,0)*0.475*44/12</f>
        <v>0.19932136623216123</v>
      </c>
      <c r="AW147" s="21">
        <f>EXP(-LN(2)/2)*AW146+(1-EXP(-LN(2)/2))/(LN(2)/2)*AQ147*AT147*VLOOKUP('Données projet'!$B$10,Paramètres!$A$1:$I$89,3,0)*0.475*44/12</f>
        <v>4.7456873842041407E-17</v>
      </c>
      <c r="AX147" s="21">
        <f t="shared" si="114"/>
        <v>0.58999160599364475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226.0452828290525</v>
      </c>
      <c r="BJ147" s="59">
        <f t="shared" si="146"/>
        <v>179.89696397462069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0.94930284959724964</v>
      </c>
      <c r="BQ147" s="21">
        <f>EXP(-LN(2)/25)*BQ146+(1-EXP(-LN(2)/25))/(LN(2)/25)*Calculateur!BL147*Calculateur!BN147*VLOOKUP('Données projet'!$B$11,Paramètres!$A$1:$I$89,3,0)*0.475*44/12</f>
        <v>0.47274778945988372</v>
      </c>
      <c r="BR147" s="21">
        <f>EXP(-LN(2)/2)*BR146+(1-EXP(-LN(2)/2))/(LN(2)/2)*BL147*BO147*VLOOKUP('Données projet'!$B$11,Paramètres!$A$1:$I$89,3,0)*0.475*44/12</f>
        <v>7.6627098025128587E-17</v>
      </c>
      <c r="BS147" s="22">
        <f t="shared" si="117"/>
        <v>1.4220506390571335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-1.7053025658242404E-13</v>
      </c>
      <c r="BZ147" s="13">
        <f>BY147*VLOOKUP('Données projet'!$B$12,Paramètres!$A$1:$I$89,3,0)*VLOOKUP('Données projet'!$B$12,Paramètres!$A$1:$I$89,5,0)</f>
        <v>-1.3567387213697657E-13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219.43439115440339</v>
      </c>
      <c r="CE147" s="59">
        <f t="shared" si="148"/>
        <v>217.8880462742099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0.88080625433356297</v>
      </c>
      <c r="CL147" s="21">
        <f>EXP(-LN(2)/25)*CL146+(1-EXP(-LN(2)/25))/(LN(2)/25)*Calculateur!CG147*Calculateur!CI147*VLOOKUP('Données projet'!$B$12,Paramètres!$A$1:$I$89,3,0)*0.475*44/12</f>
        <v>0.45839458550525791</v>
      </c>
      <c r="CM147" s="21">
        <f>EXP(-LN(2)/2)*CM146+(1-EXP(-LN(2)/2))/(LN(2)/2)*CG147*CJ147*VLOOKUP('Données projet'!$B$12,Paramètres!$A$1:$I$89,3,0)*0.475*44/12</f>
        <v>6.2260256469999813E-17</v>
      </c>
      <c r="CN147" s="22">
        <f t="shared" si="120"/>
        <v>1.3392008398388209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237.64646718446005</v>
      </c>
      <c r="T148" s="59">
        <f t="shared" si="142"/>
        <v>156.67965022779907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0.34176226476022381</v>
      </c>
      <c r="AA148" s="21">
        <f>EXP(-LN(2)/25)*AA147+(1-EXP(-LN(2)/25))/(LN(2)/25)*Calculateur!V148*Calculateur!X148*VLOOKUP('Données projet'!$B$9,Paramètres!$A$1:$I$89,3,0)*0.475*44/12</f>
        <v>0.17299250697630611</v>
      </c>
      <c r="AB148" s="21">
        <f>EXP(-LN(2)/2)*AB147+(1-EXP(-LN(2)/2))/(LN(2)/2)*V148*Y148*VLOOKUP('Données projet'!$B$9,Paramètres!$A$1:$I$89,3,0)*0.475*44/12</f>
        <v>2.9943238212954973E-17</v>
      </c>
      <c r="AC148" s="22">
        <f t="shared" si="111"/>
        <v>0.51475477173652995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-1.1527845344971866E-13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272.93635583300755</v>
      </c>
      <c r="AO148" s="59">
        <f t="shared" si="144"/>
        <v>179.56041631665812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0.38300943464507836</v>
      </c>
      <c r="AV148" s="21">
        <f>EXP(-LN(2)/25)*AV147+(1-EXP(-LN(2)/25))/(LN(2)/25)*Calculateur!AQ148*Calculateur!AS148*VLOOKUP('Données projet'!$B$10,Paramètres!$A$1:$I$89,3,0)*0.475*44/12</f>
        <v>0.19387091299068768</v>
      </c>
      <c r="AW148" s="21">
        <f>EXP(-LN(2)/2)*AW147+(1-EXP(-LN(2)/2))/(LN(2)/2)*AQ148*AT148*VLOOKUP('Données projet'!$B$10,Paramètres!$A$1:$I$89,3,0)*0.475*44/12</f>
        <v>3.3557077307621963E-17</v>
      </c>
      <c r="AX148" s="21">
        <f t="shared" si="114"/>
        <v>0.57688034763576601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226.0452828290525</v>
      </c>
      <c r="BJ148" s="59">
        <f t="shared" si="146"/>
        <v>179.89696397462069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0.93068759973421256</v>
      </c>
      <c r="BQ148" s="21">
        <f>EXP(-LN(2)/25)*BQ147+(1-EXP(-LN(2)/25))/(LN(2)/25)*Calculateur!BL148*Calculateur!BN148*VLOOKUP('Données projet'!$B$11,Paramètres!$A$1:$I$89,3,0)*0.475*44/12</f>
        <v>0.4598204762963774</v>
      </c>
      <c r="BR148" s="21">
        <f>EXP(-LN(2)/2)*BR147+(1-EXP(-LN(2)/2))/(LN(2)/2)*BL148*BO148*VLOOKUP('Données projet'!$B$11,Paramètres!$A$1:$I$89,3,0)*0.475*44/12</f>
        <v>5.4183540636214733E-17</v>
      </c>
      <c r="BS148" s="22">
        <f t="shared" si="117"/>
        <v>1.3905080760305899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-1.7053025658242404E-13</v>
      </c>
      <c r="BZ148" s="13">
        <f>BY148*VLOOKUP('Données projet'!$B$12,Paramètres!$A$1:$I$89,3,0)*VLOOKUP('Données projet'!$B$12,Paramètres!$A$1:$I$89,5,0)</f>
        <v>-1.3567387213697657E-13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219.43439115440339</v>
      </c>
      <c r="CE148" s="59">
        <f t="shared" si="148"/>
        <v>217.8880462742099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0.86353418092484902</v>
      </c>
      <c r="CL148" s="21">
        <f>EXP(-LN(2)/25)*CL147+(1-EXP(-LN(2)/25))/(LN(2)/25)*Calculateur!CG148*Calculateur!CI148*VLOOKUP('Données projet'!$B$12,Paramètres!$A$1:$I$89,3,0)*0.475*44/12</f>
        <v>0.44585976145869305</v>
      </c>
      <c r="CM148" s="21">
        <f>EXP(-LN(2)/2)*CM147+(1-EXP(-LN(2)/2))/(LN(2)/2)*CG148*CJ148*VLOOKUP('Données projet'!$B$12,Paramètres!$A$1:$I$89,3,0)*0.475*44/12</f>
        <v>4.4024649548350489E-17</v>
      </c>
      <c r="CN148" s="22">
        <f t="shared" si="120"/>
        <v>1.3093939423835421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237.64646718446005</v>
      </c>
      <c r="T149" s="59">
        <f t="shared" si="142"/>
        <v>156.67965022779907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0.33506051520267416</v>
      </c>
      <c r="AA149" s="21">
        <f>EXP(-LN(2)/25)*AA148+(1-EXP(-LN(2)/25))/(LN(2)/25)*Calculateur!V149*Calculateur!X149*VLOOKUP('Données projet'!$B$9,Paramètres!$A$1:$I$89,3,0)*0.475*44/12</f>
        <v>0.16826201777575844</v>
      </c>
      <c r="AB149" s="21">
        <f>EXP(-LN(2)/2)*AB148+(1-EXP(-LN(2)/2))/(LN(2)/2)*V149*Y149*VLOOKUP('Données projet'!$B$9,Paramètres!$A$1:$I$89,3,0)*0.475*44/12</f>
        <v>2.117306679106462E-17</v>
      </c>
      <c r="AC149" s="22">
        <f t="shared" si="111"/>
        <v>0.50332253297843255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-1.1527845344971866E-13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272.93635583300755</v>
      </c>
      <c r="AO149" s="59">
        <f t="shared" si="144"/>
        <v>179.56041631665812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0.37549885324437615</v>
      </c>
      <c r="AV149" s="21">
        <f>EXP(-LN(2)/25)*AV148+(1-EXP(-LN(2)/25))/(LN(2)/25)*Calculateur!AQ149*Calculateur!AS149*VLOOKUP('Données projet'!$B$10,Paramètres!$A$1:$I$89,3,0)*0.475*44/12</f>
        <v>0.18856950267972911</v>
      </c>
      <c r="AW149" s="21">
        <f>EXP(-LN(2)/2)*AW148+(1-EXP(-LN(2)/2))/(LN(2)/2)*AQ149*AT149*VLOOKUP('Données projet'!$B$10,Paramètres!$A$1:$I$89,3,0)*0.475*44/12</f>
        <v>2.3728436921020703E-17</v>
      </c>
      <c r="AX149" s="21">
        <f t="shared" si="114"/>
        <v>0.56406835592410531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226.0452828290525</v>
      </c>
      <c r="BJ149" s="59">
        <f t="shared" si="146"/>
        <v>179.89696397462069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0.91243738356680837</v>
      </c>
      <c r="BQ149" s="21">
        <f>EXP(-LN(2)/25)*BQ148+(1-EXP(-LN(2)/25))/(LN(2)/25)*Calculateur!BL149*Calculateur!BN149*VLOOKUP('Données projet'!$B$11,Paramètres!$A$1:$I$89,3,0)*0.475*44/12</f>
        <v>0.44724666119114503</v>
      </c>
      <c r="BR149" s="21">
        <f>EXP(-LN(2)/2)*BR148+(1-EXP(-LN(2)/2))/(LN(2)/2)*BL149*BO149*VLOOKUP('Données projet'!$B$11,Paramètres!$A$1:$I$89,3,0)*0.475*44/12</f>
        <v>3.83135490125643E-17</v>
      </c>
      <c r="BS149" s="22">
        <f t="shared" si="117"/>
        <v>1.3596840447579535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-1.7053025658242404E-13</v>
      </c>
      <c r="BZ149" s="13">
        <f>BY149*VLOOKUP('Données projet'!$B$12,Paramètres!$A$1:$I$89,3,0)*VLOOKUP('Données projet'!$B$12,Paramètres!$A$1:$I$89,5,0)</f>
        <v>-1.3567387213697657E-13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219.43439115440339</v>
      </c>
      <c r="CE149" s="59">
        <f t="shared" si="148"/>
        <v>217.8880462742099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0.84660080234075541</v>
      </c>
      <c r="CL149" s="21">
        <f>EXP(-LN(2)/25)*CL148+(1-EXP(-LN(2)/25))/(LN(2)/25)*Calculateur!CG149*Calculateur!CI149*VLOOKUP('Données projet'!$B$12,Paramètres!$A$1:$I$89,3,0)*0.475*44/12</f>
        <v>0.43366770283485928</v>
      </c>
      <c r="CM149" s="21">
        <f>EXP(-LN(2)/2)*CM148+(1-EXP(-LN(2)/2))/(LN(2)/2)*CG149*CJ149*VLOOKUP('Données projet'!$B$12,Paramètres!$A$1:$I$89,3,0)*0.475*44/12</f>
        <v>3.1130128234999906E-17</v>
      </c>
      <c r="CN149" s="22">
        <f t="shared" si="120"/>
        <v>1.2802685051756146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237.64646718446005</v>
      </c>
      <c r="T150" s="59">
        <f t="shared" si="142"/>
        <v>156.67965022779907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0.32849018286628445</v>
      </c>
      <c r="AA150" s="21">
        <f>EXP(-LN(2)/25)*AA149+(1-EXP(-LN(2)/25))/(LN(2)/25)*Calculateur!V150*Calculateur!X150*VLOOKUP('Données projet'!$B$9,Paramètres!$A$1:$I$89,3,0)*0.475*44/12</f>
        <v>0.16366088405116538</v>
      </c>
      <c r="AB150" s="21">
        <f>EXP(-LN(2)/2)*AB149+(1-EXP(-LN(2)/2))/(LN(2)/2)*V150*Y150*VLOOKUP('Données projet'!$B$9,Paramètres!$A$1:$I$89,3,0)*0.475*44/12</f>
        <v>1.4971619106477486E-17</v>
      </c>
      <c r="AC150" s="22">
        <f t="shared" si="111"/>
        <v>0.49215106691744981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-1.1527845344971866E-13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272.93635583300755</v>
      </c>
      <c r="AO150" s="59">
        <f t="shared" si="144"/>
        <v>179.56041631665812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0.36813554976393942</v>
      </c>
      <c r="AV150" s="21">
        <f>EXP(-LN(2)/25)*AV149+(1-EXP(-LN(2)/25))/(LN(2)/25)*Calculateur!AQ150*Calculateur!AS150*VLOOKUP('Données projet'!$B$10,Paramètres!$A$1:$I$89,3,0)*0.475*44/12</f>
        <v>0.18341305971251276</v>
      </c>
      <c r="AW150" s="21">
        <f>EXP(-LN(2)/2)*AW149+(1-EXP(-LN(2)/2))/(LN(2)/2)*AQ150*AT150*VLOOKUP('Données projet'!$B$10,Paramètres!$A$1:$I$89,3,0)*0.475*44/12</f>
        <v>1.6778538653810982E-17</v>
      </c>
      <c r="AX150" s="21">
        <f t="shared" si="114"/>
        <v>0.55154860947645212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226.0452828290525</v>
      </c>
      <c r="BJ150" s="59">
        <f t="shared" si="146"/>
        <v>179.89696397462069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0.89454504300691429</v>
      </c>
      <c r="BQ150" s="21">
        <f>EXP(-LN(2)/25)*BQ149+(1-EXP(-LN(2)/25))/(LN(2)/25)*Calculateur!BL150*Calculateur!BN150*VLOOKUP('Données projet'!$B$11,Paramètres!$A$1:$I$89,3,0)*0.475*44/12</f>
        <v>0.43501667772119346</v>
      </c>
      <c r="BR150" s="21">
        <f>EXP(-LN(2)/2)*BR149+(1-EXP(-LN(2)/2))/(LN(2)/2)*BL150*BO150*VLOOKUP('Données projet'!$B$11,Paramètres!$A$1:$I$89,3,0)*0.475*44/12</f>
        <v>2.709177031810737E-17</v>
      </c>
      <c r="BS150" s="22">
        <f t="shared" si="117"/>
        <v>1.3295617207281079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-1.7053025658242404E-13</v>
      </c>
      <c r="BZ150" s="13">
        <f>BY150*VLOOKUP('Données projet'!$B$12,Paramètres!$A$1:$I$89,3,0)*VLOOKUP('Données projet'!$B$12,Paramètres!$A$1:$I$89,5,0)</f>
        <v>-1.3567387213697657E-13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219.43439115440339</v>
      </c>
      <c r="CE150" s="59">
        <f t="shared" si="148"/>
        <v>217.8880462742099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0.82999947698235477</v>
      </c>
      <c r="CL150" s="21">
        <f>EXP(-LN(2)/25)*CL149+(1-EXP(-LN(2)/25))/(LN(2)/25)*Calculateur!CG150*Calculateur!CI150*VLOOKUP('Données projet'!$B$12,Paramètres!$A$1:$I$89,3,0)*0.475*44/12</f>
        <v>0.42180903669524672</v>
      </c>
      <c r="CM150" s="21">
        <f>EXP(-LN(2)/2)*CM149+(1-EXP(-LN(2)/2))/(LN(2)/2)*CG150*CJ150*VLOOKUP('Données projet'!$B$12,Paramètres!$A$1:$I$89,3,0)*0.475*44/12</f>
        <v>2.2012324774175244E-17</v>
      </c>
      <c r="CN150" s="22">
        <f t="shared" si="120"/>
        <v>1.2518085136776014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237.64646718446005</v>
      </c>
      <c r="T151" s="59">
        <f t="shared" si="142"/>
        <v>156.67965022779907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0.32204869073950432</v>
      </c>
      <c r="AA151" s="21">
        <f>EXP(-LN(2)/25)*AA150+(1-EXP(-LN(2)/25))/(LN(2)/25)*Calculateur!V151*Calculateur!X151*VLOOKUP('Données projet'!$B$9,Paramètres!$A$1:$I$89,3,0)*0.475*44/12</f>
        <v>0.15918556857023441</v>
      </c>
      <c r="AB151" s="21">
        <f>EXP(-LN(2)/2)*AB150+(1-EXP(-LN(2)/2))/(LN(2)/2)*V151*Y151*VLOOKUP('Données projet'!$B$9,Paramètres!$A$1:$I$89,3,0)*0.475*44/12</f>
        <v>1.058653339553231E-17</v>
      </c>
      <c r="AC151" s="22">
        <f t="shared" si="111"/>
        <v>0.48123425930973873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-1.1527845344971866E-13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272.93635583300755</v>
      </c>
      <c r="AO151" s="59">
        <f t="shared" si="144"/>
        <v>179.56041631665812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0.36091663617358238</v>
      </c>
      <c r="AV151" s="21">
        <f>EXP(-LN(2)/25)*AV150+(1-EXP(-LN(2)/25))/(LN(2)/25)*Calculateur!AQ151*Calculateur!AS151*VLOOKUP('Données projet'!$B$10,Paramètres!$A$1:$I$89,3,0)*0.475*44/12</f>
        <v>0.17839761994940048</v>
      </c>
      <c r="AW151" s="21">
        <f>EXP(-LN(2)/2)*AW150+(1-EXP(-LN(2)/2))/(LN(2)/2)*AQ151*AT151*VLOOKUP('Données projet'!$B$10,Paramètres!$A$1:$I$89,3,0)*0.475*44/12</f>
        <v>1.1864218460510352E-17</v>
      </c>
      <c r="AX151" s="21">
        <f t="shared" si="114"/>
        <v>0.53931425612298289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226.0452828290525</v>
      </c>
      <c r="BJ151" s="59">
        <f t="shared" si="146"/>
        <v>179.89696397462069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0.87700356033214955</v>
      </c>
      <c r="BQ151" s="21">
        <f>EXP(-LN(2)/25)*BQ150+(1-EXP(-LN(2)/25))/(LN(2)/25)*Calculateur!BL151*Calculateur!BN151*VLOOKUP('Données projet'!$B$11,Paramètres!$A$1:$I$89,3,0)*0.475*44/12</f>
        <v>0.4231211237923746</v>
      </c>
      <c r="BR151" s="21">
        <f>EXP(-LN(2)/2)*BR150+(1-EXP(-LN(2)/2))/(LN(2)/2)*BL151*BO151*VLOOKUP('Données projet'!$B$11,Paramètres!$A$1:$I$89,3,0)*0.475*44/12</f>
        <v>1.9156774506282153E-17</v>
      </c>
      <c r="BS151" s="22">
        <f t="shared" si="117"/>
        <v>1.3001246841245242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-1.7053025658242404E-13</v>
      </c>
      <c r="BZ151" s="13">
        <f>BY151*VLOOKUP('Données projet'!$B$12,Paramètres!$A$1:$I$89,3,0)*VLOOKUP('Données projet'!$B$12,Paramètres!$A$1:$I$89,5,0)</f>
        <v>-1.3567387213697657E-13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219.43439115440339</v>
      </c>
      <c r="CE151" s="59">
        <f t="shared" si="148"/>
        <v>217.8880462742099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0.81372369348842377</v>
      </c>
      <c r="CL151" s="21">
        <f>EXP(-LN(2)/25)*CL150+(1-EXP(-LN(2)/25))/(LN(2)/25)*Calculateur!CG151*Calculateur!CI151*VLOOKUP('Données projet'!$B$12,Paramètres!$A$1:$I$89,3,0)*0.475*44/12</f>
        <v>0.41027464640484201</v>
      </c>
      <c r="CM151" s="21">
        <f>EXP(-LN(2)/2)*CM150+(1-EXP(-LN(2)/2))/(LN(2)/2)*CG151*CJ151*VLOOKUP('Données projet'!$B$12,Paramètres!$A$1:$I$89,3,0)*0.475*44/12</f>
        <v>1.5565064117499953E-17</v>
      </c>
      <c r="CN151" s="22">
        <f t="shared" si="120"/>
        <v>1.2239983398932659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237.64646718446005</v>
      </c>
      <c r="T152" s="59">
        <f t="shared" si="142"/>
        <v>156.67965022779907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0.31573351234440811</v>
      </c>
      <c r="AA152" s="21">
        <f>EXP(-LN(2)/25)*AA151+(1-EXP(-LN(2)/25))/(LN(2)/25)*Calculateur!V152*Calculateur!X152*VLOOKUP('Données projet'!$B$9,Paramètres!$A$1:$I$89,3,0)*0.475*44/12</f>
        <v>0.15483263082647614</v>
      </c>
      <c r="AB152" s="21">
        <f>EXP(-LN(2)/2)*AB151+(1-EXP(-LN(2)/2))/(LN(2)/2)*V152*Y152*VLOOKUP('Données projet'!$B$9,Paramètres!$A$1:$I$89,3,0)*0.475*44/12</f>
        <v>7.4858095532387432E-18</v>
      </c>
      <c r="AC152" s="22">
        <f t="shared" si="111"/>
        <v>0.47056614317088424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-1.1527845344971866E-13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272.93635583300755</v>
      </c>
      <c r="AO152" s="59">
        <f t="shared" si="144"/>
        <v>179.56041631665812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0.35383928107562973</v>
      </c>
      <c r="AV152" s="21">
        <f>EXP(-LN(2)/25)*AV151+(1-EXP(-LN(2)/25))/(LN(2)/25)*Calculateur!AQ152*Calculateur!AS152*VLOOKUP('Données projet'!$B$10,Paramètres!$A$1:$I$89,3,0)*0.475*44/12</f>
        <v>0.17351932765036102</v>
      </c>
      <c r="AW152" s="21">
        <f>EXP(-LN(2)/2)*AW151+(1-EXP(-LN(2)/2))/(LN(2)/2)*AQ152*AT152*VLOOKUP('Données projet'!$B$10,Paramètres!$A$1:$I$89,3,0)*0.475*44/12</f>
        <v>8.3892693269054908E-18</v>
      </c>
      <c r="AX152" s="21">
        <f t="shared" si="114"/>
        <v>0.52735860872599072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226.0452828290525</v>
      </c>
      <c r="BJ152" s="59">
        <f t="shared" si="146"/>
        <v>179.89696397462069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0.85980605543338895</v>
      </c>
      <c r="BQ152" s="21">
        <f>EXP(-LN(2)/25)*BQ151+(1-EXP(-LN(2)/25))/(LN(2)/25)*Calculateur!BL152*Calculateur!BN152*VLOOKUP('Données projet'!$B$11,Paramètres!$A$1:$I$89,3,0)*0.475*44/12</f>
        <v>0.41155085441129929</v>
      </c>
      <c r="BR152" s="21">
        <f>EXP(-LN(2)/2)*BR151+(1-EXP(-LN(2)/2))/(LN(2)/2)*BL152*BO152*VLOOKUP('Données projet'!$B$11,Paramètres!$A$1:$I$89,3,0)*0.475*44/12</f>
        <v>1.3545885159053686E-17</v>
      </c>
      <c r="BS152" s="22">
        <f t="shared" si="117"/>
        <v>1.2713569098446882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-1.7053025658242404E-13</v>
      </c>
      <c r="BZ152" s="13">
        <f>BY152*VLOOKUP('Données projet'!$B$12,Paramètres!$A$1:$I$89,3,0)*VLOOKUP('Données projet'!$B$12,Paramètres!$A$1:$I$89,5,0)</f>
        <v>-1.3567387213697657E-13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219.43439115440339</v>
      </c>
      <c r="CE152" s="59">
        <f t="shared" si="148"/>
        <v>217.8880462742099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0.79776706818156107</v>
      </c>
      <c r="CL152" s="21">
        <f>EXP(-LN(2)/25)*CL151+(1-EXP(-LN(2)/25))/(LN(2)/25)*Calculateur!CG152*Calculateur!CI152*VLOOKUP('Données projet'!$B$12,Paramètres!$A$1:$I$89,3,0)*0.475*44/12</f>
        <v>0.39905566462349568</v>
      </c>
      <c r="CM152" s="21">
        <f>EXP(-LN(2)/2)*CM151+(1-EXP(-LN(2)/2))/(LN(2)/2)*CG152*CJ152*VLOOKUP('Données projet'!$B$12,Paramètres!$A$1:$I$89,3,0)*0.475*44/12</f>
        <v>1.1006162387087622E-17</v>
      </c>
      <c r="CN152" s="22">
        <f t="shared" si="120"/>
        <v>1.1968227328050567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237.64646718446005</v>
      </c>
      <c r="T153" s="59">
        <f t="shared" si="142"/>
        <v>156.67965022779907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0.30954217074576124</v>
      </c>
      <c r="AA153" s="21">
        <f>EXP(-LN(2)/25)*AA152+(1-EXP(-LN(2)/25))/(LN(2)/25)*Calculateur!V153*Calculateur!X153*VLOOKUP('Données projet'!$B$9,Paramètres!$A$1:$I$89,3,0)*0.475*44/12</f>
        <v>0.15059872439423197</v>
      </c>
      <c r="AB153" s="21">
        <f>EXP(-LN(2)/2)*AB152+(1-EXP(-LN(2)/2))/(LN(2)/2)*V153*Y153*VLOOKUP('Données projet'!$B$9,Paramètres!$A$1:$I$89,3,0)*0.475*44/12</f>
        <v>5.2932666977661551E-18</v>
      </c>
      <c r="AC153" s="22">
        <f t="shared" si="111"/>
        <v>0.46014089513999323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-1.1527845344971866E-13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272.93635583300755</v>
      </c>
      <c r="AO153" s="59">
        <f t="shared" si="144"/>
        <v>179.56041631665812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0.34690070859438754</v>
      </c>
      <c r="AV153" s="21">
        <f>EXP(-LN(2)/25)*AV152+(1-EXP(-LN(2)/25))/(LN(2)/25)*Calculateur!AQ153*Calculateur!AS153*VLOOKUP('Données projet'!$B$10,Paramètres!$A$1:$I$89,3,0)*0.475*44/12</f>
        <v>0.16877443251077703</v>
      </c>
      <c r="AW153" s="21">
        <f>EXP(-LN(2)/2)*AW152+(1-EXP(-LN(2)/2))/(LN(2)/2)*AQ153*AT153*VLOOKUP('Données projet'!$B$10,Paramètres!$A$1:$I$89,3,0)*0.475*44/12</f>
        <v>5.9321092302551758E-18</v>
      </c>
      <c r="AX153" s="21">
        <f t="shared" si="114"/>
        <v>0.51567514110516455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226.0452828290525</v>
      </c>
      <c r="BJ153" s="59">
        <f t="shared" si="146"/>
        <v>179.89696397462069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0.8429457831162509</v>
      </c>
      <c r="BQ153" s="21">
        <f>EXP(-LN(2)/25)*BQ152+(1-EXP(-LN(2)/25))/(LN(2)/25)*Calculateur!BL153*Calculateur!BN153*VLOOKUP('Données projet'!$B$11,Paramètres!$A$1:$I$89,3,0)*0.475*44/12</f>
        <v>0.40029697465490349</v>
      </c>
      <c r="BR153" s="21">
        <f>EXP(-LN(2)/2)*BR152+(1-EXP(-LN(2)/2))/(LN(2)/2)*BL153*BO153*VLOOKUP('Données projet'!$B$11,Paramètres!$A$1:$I$89,3,0)*0.475*44/12</f>
        <v>9.578387253141078E-18</v>
      </c>
      <c r="BS153" s="22">
        <f t="shared" si="117"/>
        <v>1.2432427577711544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-1.7053025658242404E-13</v>
      </c>
      <c r="BZ153" s="13">
        <f>BY153*VLOOKUP('Données projet'!$B$12,Paramètres!$A$1:$I$89,3,0)*VLOOKUP('Données projet'!$B$12,Paramètres!$A$1:$I$89,5,0)</f>
        <v>-1.3567387213697657E-13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219.43439115440339</v>
      </c>
      <c r="CE153" s="59">
        <f t="shared" si="148"/>
        <v>217.8880462742099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0.78212334256438554</v>
      </c>
      <c r="CL153" s="21">
        <f>EXP(-LN(2)/25)*CL152+(1-EXP(-LN(2)/25))/(LN(2)/25)*Calculateur!CG153*Calculateur!CI153*VLOOKUP('Données projet'!$B$12,Paramètres!$A$1:$I$89,3,0)*0.475*44/12</f>
        <v>0.38814346648894082</v>
      </c>
      <c r="CM153" s="21">
        <f>EXP(-LN(2)/2)*CM152+(1-EXP(-LN(2)/2))/(LN(2)/2)*CG153*CJ153*VLOOKUP('Données projet'!$B$12,Paramètres!$A$1:$I$89,3,0)*0.475*44/12</f>
        <v>7.7825320587499766E-18</v>
      </c>
      <c r="CN153" s="22">
        <f t="shared" si="120"/>
        <v>1.1702668090533264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237.64646718446005</v>
      </c>
      <c r="T154" s="59">
        <f t="shared" si="142"/>
        <v>156.67965022779907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0.30347223757951836</v>
      </c>
      <c r="AA154" s="21">
        <f>EXP(-LN(2)/25)*AA153+(1-EXP(-LN(2)/25))/(LN(2)/25)*Calculateur!V154*Calculateur!X154*VLOOKUP('Données projet'!$B$9,Paramètres!$A$1:$I$89,3,0)*0.475*44/12</f>
        <v>0.14648059435602898</v>
      </c>
      <c r="AB154" s="21">
        <f>EXP(-LN(2)/2)*AB153+(1-EXP(-LN(2)/2))/(LN(2)/2)*V154*Y154*VLOOKUP('Données projet'!$B$9,Paramètres!$A$1:$I$89,3,0)*0.475*44/12</f>
        <v>3.7429047766193716E-18</v>
      </c>
      <c r="AC154" s="22">
        <f t="shared" ref="AC154:AC203" si="163">SUM(Z154:AB154)</f>
        <v>0.44995283193554736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-1.1527845344971866E-13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272.93635583300755</v>
      </c>
      <c r="AO154" s="59">
        <f t="shared" si="144"/>
        <v>179.56041631665812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0.34009819728739121</v>
      </c>
      <c r="AV154" s="21">
        <f>EXP(-LN(2)/25)*AV153+(1-EXP(-LN(2)/25))/(LN(2)/25)*Calculateur!AQ154*Calculateur!AS154*VLOOKUP('Données projet'!$B$10,Paramètres!$A$1:$I$89,3,0)*0.475*44/12</f>
        <v>0.16415928677830816</v>
      </c>
      <c r="AW154" s="21">
        <f>EXP(-LN(2)/2)*AW153+(1-EXP(-LN(2)/2))/(LN(2)/2)*AQ154*AT154*VLOOKUP('Données projet'!$B$10,Paramètres!$A$1:$I$89,3,0)*0.475*44/12</f>
        <v>4.1946346634527454E-18</v>
      </c>
      <c r="AX154" s="21">
        <f t="shared" ref="AX154:AX203" si="166">SUM(AU154:AW154)</f>
        <v>0.50425748406569937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226.0452828290525</v>
      </c>
      <c r="BJ154" s="59">
        <f t="shared" si="146"/>
        <v>179.89696397462069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0.82641613045550122</v>
      </c>
      <c r="BQ154" s="21">
        <f>EXP(-LN(2)/25)*BQ153+(1-EXP(-LN(2)/25))/(LN(2)/25)*Calculateur!BL154*Calculateur!BN154*VLOOKUP('Données projet'!$B$11,Paramètres!$A$1:$I$89,3,0)*0.475*44/12</f>
        <v>0.38935083283226213</v>
      </c>
      <c r="BR154" s="21">
        <f>EXP(-LN(2)/2)*BR153+(1-EXP(-LN(2)/2))/(LN(2)/2)*BL154*BO154*VLOOKUP('Données projet'!$B$11,Paramètres!$A$1:$I$89,3,0)*0.475*44/12</f>
        <v>6.7729425795268448E-18</v>
      </c>
      <c r="BS154" s="22">
        <f t="shared" ref="BS154:BS203" si="169">SUM(BP154:BR154)</f>
        <v>1.2157669632877632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-1.7053025658242404E-13</v>
      </c>
      <c r="BZ154" s="13">
        <f>BY154*VLOOKUP('Données projet'!$B$12,Paramètres!$A$1:$I$89,3,0)*VLOOKUP('Données projet'!$B$12,Paramètres!$A$1:$I$89,5,0)</f>
        <v>-1.3567387213697657E-13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219.43439115440339</v>
      </c>
      <c r="CE154" s="59">
        <f t="shared" si="148"/>
        <v>217.8880462742099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0.76678638086483231</v>
      </c>
      <c r="CL154" s="21">
        <f>EXP(-LN(2)/25)*CL153+(1-EXP(-LN(2)/25))/(LN(2)/25)*Calculateur!CG154*Calculateur!CI154*VLOOKUP('Données projet'!$B$12,Paramètres!$A$1:$I$89,3,0)*0.475*44/12</f>
        <v>0.37752966298622292</v>
      </c>
      <c r="CM154" s="21">
        <f>EXP(-LN(2)/2)*CM153+(1-EXP(-LN(2)/2))/(LN(2)/2)*CG154*CJ154*VLOOKUP('Données projet'!$B$12,Paramètres!$A$1:$I$89,3,0)*0.475*44/12</f>
        <v>5.5030811935438111E-18</v>
      </c>
      <c r="CN154" s="22">
        <f t="shared" ref="CN154:CN203" si="172">SUM(CK154:CM154)</f>
        <v>1.1443160438510551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237.64646718446005</v>
      </c>
      <c r="T155" s="59">
        <f t="shared" si="142"/>
        <v>156.67965022779907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0.29752133210037185</v>
      </c>
      <c r="AA155" s="21">
        <f>EXP(-LN(2)/25)*AA154+(1-EXP(-LN(2)/25))/(LN(2)/25)*Calculateur!V155*Calculateur!X155*VLOOKUP('Données projet'!$B$9,Paramètres!$A$1:$I$89,3,0)*0.475*44/12</f>
        <v>0.14247507480028368</v>
      </c>
      <c r="AB155" s="21">
        <f>EXP(-LN(2)/2)*AB154+(1-EXP(-LN(2)/2))/(LN(2)/2)*V155*Y155*VLOOKUP('Données projet'!$B$9,Paramètres!$A$1:$I$89,3,0)*0.475*44/12</f>
        <v>2.6466333488830775E-18</v>
      </c>
      <c r="AC155" s="22">
        <f t="shared" si="163"/>
        <v>0.43999640690065556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-1.1527845344971866E-13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272.93635583300755</v>
      </c>
      <c r="AO155" s="59">
        <f t="shared" si="144"/>
        <v>179.56041631665812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0.3334290790780029</v>
      </c>
      <c r="AV155" s="21">
        <f>EXP(-LN(2)/25)*AV154+(1-EXP(-LN(2)/25))/(LN(2)/25)*Calculateur!AQ155*Calculateur!AS155*VLOOKUP('Données projet'!$B$10,Paramètres!$A$1:$I$89,3,0)*0.475*44/12</f>
        <v>0.15967034244859363</v>
      </c>
      <c r="AW155" s="21">
        <f>EXP(-LN(2)/2)*AW154+(1-EXP(-LN(2)/2))/(LN(2)/2)*AQ155*AT155*VLOOKUP('Données projet'!$B$10,Paramètres!$A$1:$I$89,3,0)*0.475*44/12</f>
        <v>2.9660546151275879E-18</v>
      </c>
      <c r="AX155" s="21">
        <f t="shared" si="166"/>
        <v>0.49309942152659653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226.0452828290525</v>
      </c>
      <c r="BJ155" s="59">
        <f t="shared" si="146"/>
        <v>179.89696397462069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0.81021061420133622</v>
      </c>
      <c r="BQ155" s="21">
        <f>EXP(-LN(2)/25)*BQ154+(1-EXP(-LN(2)/25))/(LN(2)/25)*Calculateur!BL155*Calculateur!BN155*VLOOKUP('Données projet'!$B$11,Paramètres!$A$1:$I$89,3,0)*0.475*44/12</f>
        <v>0.37870401383339347</v>
      </c>
      <c r="BR155" s="21">
        <f>EXP(-LN(2)/2)*BR154+(1-EXP(-LN(2)/2))/(LN(2)/2)*BL155*BO155*VLOOKUP('Données projet'!$B$11,Paramètres!$A$1:$I$89,3,0)*0.475*44/12</f>
        <v>4.7891936265705398E-18</v>
      </c>
      <c r="BS155" s="22">
        <f t="shared" si="169"/>
        <v>1.1889146280347296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-1.7053025658242404E-13</v>
      </c>
      <c r="BZ155" s="13">
        <f>BY155*VLOOKUP('Données projet'!$B$12,Paramètres!$A$1:$I$89,3,0)*VLOOKUP('Données projet'!$B$12,Paramètres!$A$1:$I$89,5,0)</f>
        <v>-1.3567387213697657E-13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219.43439115440339</v>
      </c>
      <c r="CE155" s="59">
        <f t="shared" si="148"/>
        <v>217.8880462742099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0.75175016762958435</v>
      </c>
      <c r="CL155" s="21">
        <f>EXP(-LN(2)/25)*CL154+(1-EXP(-LN(2)/25))/(LN(2)/25)*Calculateur!CG155*Calculateur!CI155*VLOOKUP('Données projet'!$B$12,Paramètres!$A$1:$I$89,3,0)*0.475*44/12</f>
        <v>0.36720609449844255</v>
      </c>
      <c r="CM155" s="21">
        <f>EXP(-LN(2)/2)*CM154+(1-EXP(-LN(2)/2))/(LN(2)/2)*CG155*CJ155*VLOOKUP('Données projet'!$B$12,Paramètres!$A$1:$I$89,3,0)*0.475*44/12</f>
        <v>3.8912660293749883E-18</v>
      </c>
      <c r="CN155" s="22">
        <f t="shared" si="172"/>
        <v>1.1189562621280269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237.64646718446005</v>
      </c>
      <c r="T156" s="59">
        <f t="shared" si="142"/>
        <v>156.67965022779907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0.29168712024797744</v>
      </c>
      <c r="AA156" s="21">
        <f>EXP(-LN(2)/25)*AA155+(1-EXP(-LN(2)/25))/(LN(2)/25)*Calculateur!V156*Calculateur!X156*VLOOKUP('Données projet'!$B$9,Paramètres!$A$1:$I$89,3,0)*0.475*44/12</f>
        <v>0.13857908638743138</v>
      </c>
      <c r="AB156" s="21">
        <f>EXP(-LN(2)/2)*AB155+(1-EXP(-LN(2)/2))/(LN(2)/2)*V156*Y156*VLOOKUP('Données projet'!$B$9,Paramètres!$A$1:$I$89,3,0)*0.475*44/12</f>
        <v>1.8714523883096858E-18</v>
      </c>
      <c r="AC156" s="22">
        <f t="shared" si="163"/>
        <v>0.43026620663540882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-1.1527845344971866E-13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272.93635583300755</v>
      </c>
      <c r="AO156" s="59">
        <f t="shared" si="144"/>
        <v>179.56041631665812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0.32689073820894021</v>
      </c>
      <c r="AV156" s="21">
        <f>EXP(-LN(2)/25)*AV155+(1-EXP(-LN(2)/25))/(LN(2)/25)*Calculateur!AQ156*Calculateur!AS156*VLOOKUP('Données projet'!$B$10,Paramètres!$A$1:$I$89,3,0)*0.475*44/12</f>
        <v>0.15530414853763846</v>
      </c>
      <c r="AW156" s="21">
        <f>EXP(-LN(2)/2)*AW155+(1-EXP(-LN(2)/2))/(LN(2)/2)*AQ156*AT156*VLOOKUP('Données projet'!$B$10,Paramètres!$A$1:$I$89,3,0)*0.475*44/12</f>
        <v>2.0973173317263727E-18</v>
      </c>
      <c r="AX156" s="21">
        <f t="shared" si="166"/>
        <v>0.48219488674657868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226.0452828290525</v>
      </c>
      <c r="BJ156" s="59">
        <f t="shared" si="146"/>
        <v>179.89696397462069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0.79432287823652648</v>
      </c>
      <c r="BQ156" s="21">
        <f>EXP(-LN(2)/25)*BQ155+(1-EXP(-LN(2)/25))/(LN(2)/25)*Calculateur!BL156*Calculateur!BN156*VLOOKUP('Données projet'!$B$11,Paramètres!$A$1:$I$89,3,0)*0.475*44/12</f>
        <v>0.36834833265994077</v>
      </c>
      <c r="BR156" s="21">
        <f>EXP(-LN(2)/2)*BR155+(1-EXP(-LN(2)/2))/(LN(2)/2)*BL156*BO156*VLOOKUP('Données projet'!$B$11,Paramètres!$A$1:$I$89,3,0)*0.475*44/12</f>
        <v>3.3864712897634228E-18</v>
      </c>
      <c r="BS156" s="22">
        <f t="shared" si="169"/>
        <v>1.1626712108964672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-1.7053025658242404E-13</v>
      </c>
      <c r="BZ156" s="13">
        <f>BY156*VLOOKUP('Données projet'!$B$12,Paramètres!$A$1:$I$89,3,0)*VLOOKUP('Données projet'!$B$12,Paramètres!$A$1:$I$89,5,0)</f>
        <v>-1.3567387213697657E-13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219.43439115440339</v>
      </c>
      <c r="CE156" s="59">
        <f t="shared" si="148"/>
        <v>217.8880462742099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0.73700880536469515</v>
      </c>
      <c r="CL156" s="21">
        <f>EXP(-LN(2)/25)*CL155+(1-EXP(-LN(2)/25))/(LN(2)/25)*Calculateur!CG156*Calculateur!CI156*VLOOKUP('Données projet'!$B$12,Paramètres!$A$1:$I$89,3,0)*0.475*44/12</f>
        <v>0.3571648245338534</v>
      </c>
      <c r="CM156" s="21">
        <f>EXP(-LN(2)/2)*CM155+(1-EXP(-LN(2)/2))/(LN(2)/2)*CG156*CJ156*VLOOKUP('Données projet'!$B$12,Paramètres!$A$1:$I$89,3,0)*0.475*44/12</f>
        <v>2.7515405967719055E-18</v>
      </c>
      <c r="CN156" s="22">
        <f t="shared" si="172"/>
        <v>1.0941736298985485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237.64646718446005</v>
      </c>
      <c r="T157" s="59">
        <f t="shared" si="142"/>
        <v>156.67965022779907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0.28596731373149065</v>
      </c>
      <c r="AA157" s="21">
        <f>EXP(-LN(2)/25)*AA156+(1-EXP(-LN(2)/25))/(LN(2)/25)*Calculateur!V157*Calculateur!X157*VLOOKUP('Données projet'!$B$9,Paramètres!$A$1:$I$89,3,0)*0.475*44/12</f>
        <v>0.13478963398260965</v>
      </c>
      <c r="AB157" s="21">
        <f>EXP(-LN(2)/2)*AB156+(1-EXP(-LN(2)/2))/(LN(2)/2)*V157*Y157*VLOOKUP('Données projet'!$B$9,Paramètres!$A$1:$I$89,3,0)*0.475*44/12</f>
        <v>1.3233166744415388E-18</v>
      </c>
      <c r="AC157" s="22">
        <f t="shared" si="163"/>
        <v>0.42075694771410033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-1.1527845344971866E-13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272.93635583300755</v>
      </c>
      <c r="AO157" s="59">
        <f t="shared" si="144"/>
        <v>179.56041631665812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0.32048061021632568</v>
      </c>
      <c r="AV157" s="21">
        <f>EXP(-LN(2)/25)*AV156+(1-EXP(-LN(2)/25))/(LN(2)/25)*Calculateur!AQ157*Calculateur!AS157*VLOOKUP('Données projet'!$B$10,Paramètres!$A$1:$I$89,3,0)*0.475*44/12</f>
        <v>0.15105734842878651</v>
      </c>
      <c r="AW157" s="21">
        <f>EXP(-LN(2)/2)*AW156+(1-EXP(-LN(2)/2))/(LN(2)/2)*AQ157*AT157*VLOOKUP('Données projet'!$B$10,Paramètres!$A$1:$I$89,3,0)*0.475*44/12</f>
        <v>1.483027307563794E-18</v>
      </c>
      <c r="AX157" s="21">
        <f t="shared" si="166"/>
        <v>0.47153795864511217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226.0452828290525</v>
      </c>
      <c r="BJ157" s="59">
        <f t="shared" si="146"/>
        <v>179.89696397462069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0.77874669108342454</v>
      </c>
      <c r="BQ157" s="21">
        <f>EXP(-LN(2)/25)*BQ156+(1-EXP(-LN(2)/25))/(LN(2)/25)*Calculateur!BL157*Calculateur!BN157*VLOOKUP('Données projet'!$B$11,Paramètres!$A$1:$I$89,3,0)*0.475*44/12</f>
        <v>0.35827582813275777</v>
      </c>
      <c r="BR157" s="21">
        <f>EXP(-LN(2)/2)*BR156+(1-EXP(-LN(2)/2))/(LN(2)/2)*BL157*BO157*VLOOKUP('Données projet'!$B$11,Paramètres!$A$1:$I$89,3,0)*0.475*44/12</f>
        <v>2.3945968132852703E-18</v>
      </c>
      <c r="BS157" s="22">
        <f t="shared" si="169"/>
        <v>1.1370225192161822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-1.7053025658242404E-13</v>
      </c>
      <c r="BZ157" s="13">
        <f>BY157*VLOOKUP('Données projet'!$B$12,Paramètres!$A$1:$I$89,3,0)*VLOOKUP('Données projet'!$B$12,Paramètres!$A$1:$I$89,5,0)</f>
        <v>-1.3567387213697657E-13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219.43439115440339</v>
      </c>
      <c r="CE157" s="59">
        <f t="shared" si="148"/>
        <v>217.8880462742099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0.7225565122224773</v>
      </c>
      <c r="CL157" s="21">
        <f>EXP(-LN(2)/25)*CL156+(1-EXP(-LN(2)/25))/(LN(2)/25)*Calculateur!CG157*Calculateur!CI157*VLOOKUP('Données projet'!$B$12,Paramètres!$A$1:$I$89,3,0)*0.475*44/12</f>
        <v>0.34739813362449334</v>
      </c>
      <c r="CM157" s="21">
        <f>EXP(-LN(2)/2)*CM156+(1-EXP(-LN(2)/2))/(LN(2)/2)*CG157*CJ157*VLOOKUP('Données projet'!$B$12,Paramètres!$A$1:$I$89,3,0)*0.475*44/12</f>
        <v>1.9456330146874941E-18</v>
      </c>
      <c r="CN157" s="22">
        <f t="shared" si="172"/>
        <v>1.0699546458469706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237.64646718446005</v>
      </c>
      <c r="T158" s="59">
        <f t="shared" si="142"/>
        <v>156.67965022779907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0.28035966913205468</v>
      </c>
      <c r="AA158" s="21">
        <f>EXP(-LN(2)/25)*AA157+(1-EXP(-LN(2)/25))/(LN(2)/25)*Calculateur!V158*Calculateur!X158*VLOOKUP('Données projet'!$B$9,Paramètres!$A$1:$I$89,3,0)*0.475*44/12</f>
        <v>0.13110380435307642</v>
      </c>
      <c r="AB158" s="21">
        <f>EXP(-LN(2)/2)*AB157+(1-EXP(-LN(2)/2))/(LN(2)/2)*V158*Y158*VLOOKUP('Données projet'!$B$9,Paramètres!$A$1:$I$89,3,0)*0.475*44/12</f>
        <v>9.357261941548429E-19</v>
      </c>
      <c r="AC158" s="22">
        <f t="shared" si="163"/>
        <v>0.41146347348513113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-1.1527845344971866E-13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272.93635583300755</v>
      </c>
      <c r="AO158" s="59">
        <f t="shared" si="144"/>
        <v>179.56041631665812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0.31419618092385432</v>
      </c>
      <c r="AV158" s="21">
        <f>EXP(-LN(2)/25)*AV157+(1-EXP(-LN(2)/25))/(LN(2)/25)*Calculateur!AQ158*Calculateur!AS158*VLOOKUP('Données projet'!$B$10,Paramètres!$A$1:$I$89,3,0)*0.475*44/12</f>
        <v>0.14692667729224063</v>
      </c>
      <c r="AW158" s="21">
        <f>EXP(-LN(2)/2)*AW157+(1-EXP(-LN(2)/2))/(LN(2)/2)*AQ158*AT158*VLOOKUP('Données projet'!$B$10,Paramètres!$A$1:$I$89,3,0)*0.475*44/12</f>
        <v>1.0486586658631864E-18</v>
      </c>
      <c r="AX158" s="21">
        <f t="shared" si="166"/>
        <v>0.46112285821609494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226.0452828290525</v>
      </c>
      <c r="BJ158" s="59">
        <f t="shared" si="146"/>
        <v>179.89696397462069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0.76347594345985892</v>
      </c>
      <c r="BQ158" s="21">
        <f>EXP(-LN(2)/25)*BQ157+(1-EXP(-LN(2)/25))/(LN(2)/25)*Calculateur!BL158*Calculateur!BN158*VLOOKUP('Données projet'!$B$11,Paramètres!$A$1:$I$89,3,0)*0.475*44/12</f>
        <v>0.34847875677156054</v>
      </c>
      <c r="BR158" s="21">
        <f>EXP(-LN(2)/2)*BR157+(1-EXP(-LN(2)/2))/(LN(2)/2)*BL158*BO158*VLOOKUP('Données projet'!$B$11,Paramètres!$A$1:$I$89,3,0)*0.475*44/12</f>
        <v>1.6932356448817118E-18</v>
      </c>
      <c r="BS158" s="22">
        <f t="shared" si="169"/>
        <v>1.1119547002314194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-1.7053025658242404E-13</v>
      </c>
      <c r="BZ158" s="13">
        <f>BY158*VLOOKUP('Données projet'!$B$12,Paramètres!$A$1:$I$89,3,0)*VLOOKUP('Données projet'!$B$12,Paramètres!$A$1:$I$89,5,0)</f>
        <v>-1.3567387213697657E-13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219.43439115440339</v>
      </c>
      <c r="CE158" s="59">
        <f t="shared" si="148"/>
        <v>217.8880462742099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0.70838761973374986</v>
      </c>
      <c r="CL158" s="21">
        <f>EXP(-LN(2)/25)*CL157+(1-EXP(-LN(2)/25))/(LN(2)/25)*Calculateur!CG158*Calculateur!CI158*VLOOKUP('Données projet'!$B$12,Paramètres!$A$1:$I$89,3,0)*0.475*44/12</f>
        <v>0.33789851339165772</v>
      </c>
      <c r="CM158" s="21">
        <f>EXP(-LN(2)/2)*CM157+(1-EXP(-LN(2)/2))/(LN(2)/2)*CG158*CJ158*VLOOKUP('Données projet'!$B$12,Paramètres!$A$1:$I$89,3,0)*0.475*44/12</f>
        <v>1.3757702983859528E-18</v>
      </c>
      <c r="CN158" s="22">
        <f t="shared" si="172"/>
        <v>1.0462861331254076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237.64646718446005</v>
      </c>
      <c r="T159" s="59">
        <f t="shared" si="142"/>
        <v>156.67965022779907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0.27486198702288817</v>
      </c>
      <c r="AA159" s="21">
        <f>EXP(-LN(2)/25)*AA158+(1-EXP(-LN(2)/25))/(LN(2)/25)*Calculateur!V159*Calculateur!X159*VLOOKUP('Données projet'!$B$9,Paramètres!$A$1:$I$89,3,0)*0.475*44/12</f>
        <v>0.12751876392859213</v>
      </c>
      <c r="AB159" s="21">
        <f>EXP(-LN(2)/2)*AB158+(1-EXP(-LN(2)/2))/(LN(2)/2)*V159*Y159*VLOOKUP('Données projet'!$B$9,Paramètres!$A$1:$I$89,3,0)*0.475*44/12</f>
        <v>6.6165833722076939E-19</v>
      </c>
      <c r="AC159" s="22">
        <f t="shared" si="163"/>
        <v>0.40238075095148029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-1.1527845344971866E-13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272.93635583300755</v>
      </c>
      <c r="AO159" s="59">
        <f t="shared" si="144"/>
        <v>179.56041631665812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0.30803498545668495</v>
      </c>
      <c r="AV159" s="21">
        <f>EXP(-LN(2)/25)*AV158+(1-EXP(-LN(2)/25))/(LN(2)/25)*Calculateur!AQ159*Calculateur!AS159*VLOOKUP('Données projet'!$B$10,Paramètres!$A$1:$I$89,3,0)*0.475*44/12</f>
        <v>0.14290895957514615</v>
      </c>
      <c r="AW159" s="21">
        <f>EXP(-LN(2)/2)*AW158+(1-EXP(-LN(2)/2))/(LN(2)/2)*AQ159*AT159*VLOOKUP('Données projet'!$B$10,Paramètres!$A$1:$I$89,3,0)*0.475*44/12</f>
        <v>7.4151365378189698E-19</v>
      </c>
      <c r="AX159" s="21">
        <f t="shared" si="166"/>
        <v>0.45094394503183111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226.0452828290525</v>
      </c>
      <c r="BJ159" s="59">
        <f t="shared" si="146"/>
        <v>179.89696397462069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0.74850464588295507</v>
      </c>
      <c r="BQ159" s="21">
        <f>EXP(-LN(2)/25)*BQ158+(1-EXP(-LN(2)/25))/(LN(2)/25)*Calculateur!BL159*Calculateur!BN159*VLOOKUP('Données projet'!$B$11,Paramètres!$A$1:$I$89,3,0)*0.475*44/12</f>
        <v>0.33894958684194088</v>
      </c>
      <c r="BR159" s="21">
        <f>EXP(-LN(2)/2)*BR158+(1-EXP(-LN(2)/2))/(LN(2)/2)*BL159*BO159*VLOOKUP('Données projet'!$B$11,Paramètres!$A$1:$I$89,3,0)*0.475*44/12</f>
        <v>1.1972984066426353E-18</v>
      </c>
      <c r="BS159" s="22">
        <f t="shared" si="169"/>
        <v>1.0874542327248959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-1.7053025658242404E-13</v>
      </c>
      <c r="BZ159" s="13">
        <f>BY159*VLOOKUP('Données projet'!$B$12,Paramètres!$A$1:$I$89,3,0)*VLOOKUP('Données projet'!$B$12,Paramètres!$A$1:$I$89,5,0)</f>
        <v>-1.3567387213697657E-13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219.43439115440339</v>
      </c>
      <c r="CE159" s="59">
        <f t="shared" si="148"/>
        <v>217.8880462742099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0.69449657058455527</v>
      </c>
      <c r="CL159" s="21">
        <f>EXP(-LN(2)/25)*CL158+(1-EXP(-LN(2)/25))/(LN(2)/25)*Calculateur!CG159*Calculateur!CI159*VLOOKUP('Données projet'!$B$12,Paramètres!$A$1:$I$89,3,0)*0.475*44/12</f>
        <v>0.3286586607736523</v>
      </c>
      <c r="CM159" s="21">
        <f>EXP(-LN(2)/2)*CM158+(1-EXP(-LN(2)/2))/(LN(2)/2)*CG159*CJ159*VLOOKUP('Données projet'!$B$12,Paramètres!$A$1:$I$89,3,0)*0.475*44/12</f>
        <v>9.7281650734374707E-19</v>
      </c>
      <c r="CN159" s="22">
        <f t="shared" si="172"/>
        <v>1.0231552313582075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237.64646718446005</v>
      </c>
      <c r="T160" s="59">
        <f t="shared" si="142"/>
        <v>156.67965022779907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0.26947211110662744</v>
      </c>
      <c r="AA160" s="21">
        <f>EXP(-LN(2)/25)*AA159+(1-EXP(-LN(2)/25))/(LN(2)/25)*Calculateur!V160*Calculateur!X160*VLOOKUP('Données projet'!$B$9,Paramètres!$A$1:$I$89,3,0)*0.475*44/12</f>
        <v>0.12403175662304443</v>
      </c>
      <c r="AB160" s="21">
        <f>EXP(-LN(2)/2)*AB159+(1-EXP(-LN(2)/2))/(LN(2)/2)*V160*Y160*VLOOKUP('Données projet'!$B$9,Paramètres!$A$1:$I$89,3,0)*0.475*44/12</f>
        <v>4.6786309707742145E-19</v>
      </c>
      <c r="AC160" s="22">
        <f t="shared" si="163"/>
        <v>0.39350386772967189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-1.1527845344971866E-13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272.93635583300755</v>
      </c>
      <c r="AO160" s="59">
        <f t="shared" si="144"/>
        <v>179.56041631665812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0.30199460727466859</v>
      </c>
      <c r="AV160" s="21">
        <f>EXP(-LN(2)/25)*AV159+(1-EXP(-LN(2)/25))/(LN(2)/25)*Calculateur!AQ160*Calculateur!AS160*VLOOKUP('Données projet'!$B$10,Paramètres!$A$1:$I$89,3,0)*0.475*44/12</f>
        <v>0.13900110656030823</v>
      </c>
      <c r="AW160" s="21">
        <f>EXP(-LN(2)/2)*AW159+(1-EXP(-LN(2)/2))/(LN(2)/2)*AQ160*AT160*VLOOKUP('Données projet'!$B$10,Paramètres!$A$1:$I$89,3,0)*0.475*44/12</f>
        <v>5.2432933293159318E-19</v>
      </c>
      <c r="AX160" s="21">
        <f t="shared" si="166"/>
        <v>0.44099571383497682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226.0452828290525</v>
      </c>
      <c r="BJ160" s="59">
        <f t="shared" si="146"/>
        <v>179.89696397462069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0.73382692631994451</v>
      </c>
      <c r="BQ160" s="21">
        <f>EXP(-LN(2)/25)*BQ159+(1-EXP(-LN(2)/25))/(LN(2)/25)*Calculateur!BL160*Calculateur!BN160*VLOOKUP('Données projet'!$B$11,Paramètres!$A$1:$I$89,3,0)*0.475*44/12</f>
        <v>0.32968099256516392</v>
      </c>
      <c r="BR160" s="21">
        <f>EXP(-LN(2)/2)*BR159+(1-EXP(-LN(2)/2))/(LN(2)/2)*BL160*BO160*VLOOKUP('Données projet'!$B$11,Paramètres!$A$1:$I$89,3,0)*0.475*44/12</f>
        <v>8.4661782244085598E-19</v>
      </c>
      <c r="BS160" s="22">
        <f t="shared" si="169"/>
        <v>1.0635079188851084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-1.7053025658242404E-13</v>
      </c>
      <c r="BZ160" s="13">
        <f>BY160*VLOOKUP('Données projet'!$B$12,Paramètres!$A$1:$I$89,3,0)*VLOOKUP('Données projet'!$B$12,Paramètres!$A$1:$I$89,5,0)</f>
        <v>-1.3567387213697657E-13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219.43439115440339</v>
      </c>
      <c r="CE160" s="59">
        <f t="shared" si="148"/>
        <v>217.8880462742099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0.68087791643647311</v>
      </c>
      <c r="CL160" s="21">
        <f>EXP(-LN(2)/25)*CL159+(1-EXP(-LN(2)/25))/(LN(2)/25)*Calculateur!CG160*Calculateur!CI160*VLOOKUP('Données projet'!$B$12,Paramètres!$A$1:$I$89,3,0)*0.475*44/12</f>
        <v>0.31967147241138899</v>
      </c>
      <c r="CM160" s="21">
        <f>EXP(-LN(2)/2)*CM159+(1-EXP(-LN(2)/2))/(LN(2)/2)*CG160*CJ160*VLOOKUP('Données projet'!$B$12,Paramètres!$A$1:$I$89,3,0)*0.475*44/12</f>
        <v>6.8788514919297638E-19</v>
      </c>
      <c r="CN160" s="22">
        <f t="shared" si="172"/>
        <v>1.000549388847862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237.64646718446005</v>
      </c>
      <c r="T161" s="59">
        <f t="shared" si="142"/>
        <v>156.67965022779907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0.26418792736958485</v>
      </c>
      <c r="AA161" s="21">
        <f>EXP(-LN(2)/25)*AA160+(1-EXP(-LN(2)/25))/(LN(2)/25)*Calculateur!V161*Calculateur!X161*VLOOKUP('Données projet'!$B$9,Paramètres!$A$1:$I$89,3,0)*0.475*44/12</f>
        <v>0.12064010171564067</v>
      </c>
      <c r="AB161" s="21">
        <f>EXP(-LN(2)/2)*AB160+(1-EXP(-LN(2)/2))/(LN(2)/2)*V161*Y161*VLOOKUP('Données projet'!$B$9,Paramètres!$A$1:$I$89,3,0)*0.475*44/12</f>
        <v>3.3082916861038469E-19</v>
      </c>
      <c r="AC161" s="22">
        <f t="shared" si="163"/>
        <v>0.38482802908522551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-1.1527845344971866E-13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272.93635583300755</v>
      </c>
      <c r="AO161" s="59">
        <f t="shared" si="144"/>
        <v>179.56041631665812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0.29607267722453467</v>
      </c>
      <c r="AV161" s="21">
        <f>EXP(-LN(2)/25)*AV160+(1-EXP(-LN(2)/25))/(LN(2)/25)*Calculateur!AQ161*Calculateur!AS161*VLOOKUP('Données projet'!$B$10,Paramètres!$A$1:$I$89,3,0)*0.475*44/12</f>
        <v>0.13520011399166609</v>
      </c>
      <c r="AW161" s="21">
        <f>EXP(-LN(2)/2)*AW160+(1-EXP(-LN(2)/2))/(LN(2)/2)*AQ161*AT161*VLOOKUP('Données projet'!$B$10,Paramètres!$A$1:$I$89,3,0)*0.475*44/12</f>
        <v>3.7075682689094849E-19</v>
      </c>
      <c r="AX161" s="21">
        <f t="shared" si="166"/>
        <v>0.43127279121620077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226.0452828290525</v>
      </c>
      <c r="BJ161" s="59">
        <f t="shared" si="146"/>
        <v>179.89696397462069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0.7194370278850396</v>
      </c>
      <c r="BQ161" s="21">
        <f>EXP(-LN(2)/25)*BQ160+(1-EXP(-LN(2)/25))/(LN(2)/25)*Calculateur!BL161*Calculateur!BN161*VLOOKUP('Données projet'!$B$11,Paramètres!$A$1:$I$89,3,0)*0.475*44/12</f>
        <v>0.32066584848629959</v>
      </c>
      <c r="BR161" s="21">
        <f>EXP(-LN(2)/2)*BR160+(1-EXP(-LN(2)/2))/(LN(2)/2)*BL161*BO161*VLOOKUP('Données projet'!$B$11,Paramètres!$A$1:$I$89,3,0)*0.475*44/12</f>
        <v>5.9864920332131776E-19</v>
      </c>
      <c r="BS161" s="22">
        <f t="shared" si="169"/>
        <v>1.0401028763713391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-1.7053025658242404E-13</v>
      </c>
      <c r="BZ161" s="13">
        <f>BY161*VLOOKUP('Données projet'!$B$12,Paramètres!$A$1:$I$89,3,0)*VLOOKUP('Données projet'!$B$12,Paramètres!$A$1:$I$89,5,0)</f>
        <v>-1.3567387213697657E-13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219.43439115440339</v>
      </c>
      <c r="CE161" s="59">
        <f t="shared" si="148"/>
        <v>217.8880462742099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0.66752631578967592</v>
      </c>
      <c r="CL161" s="21">
        <f>EXP(-LN(2)/25)*CL160+(1-EXP(-LN(2)/25))/(LN(2)/25)*Calculateur!CG161*Calculateur!CI161*VLOOKUP('Données projet'!$B$12,Paramètres!$A$1:$I$89,3,0)*0.475*44/12</f>
        <v>0.31093003918750745</v>
      </c>
      <c r="CM161" s="21">
        <f>EXP(-LN(2)/2)*CM160+(1-EXP(-LN(2)/2))/(LN(2)/2)*CG161*CJ161*VLOOKUP('Données projet'!$B$12,Paramètres!$A$1:$I$89,3,0)*0.475*44/12</f>
        <v>4.8640825367187354E-19</v>
      </c>
      <c r="CN161" s="22">
        <f t="shared" si="172"/>
        <v>0.97845635497718342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237.64646718446005</v>
      </c>
      <c r="T162" s="59">
        <f t="shared" si="142"/>
        <v>156.67965022779907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0.25900736325259188</v>
      </c>
      <c r="AA162" s="21">
        <f>EXP(-LN(2)/25)*AA161+(1-EXP(-LN(2)/25))/(LN(2)/25)*Calculateur!V162*Calculateur!X162*VLOOKUP('Données projet'!$B$9,Paramètres!$A$1:$I$89,3,0)*0.475*44/12</f>
        <v>0.11734119179003925</v>
      </c>
      <c r="AB162" s="21">
        <f>EXP(-LN(2)/2)*AB161+(1-EXP(-LN(2)/2))/(LN(2)/2)*V162*Y162*VLOOKUP('Données projet'!$B$9,Paramètres!$A$1:$I$89,3,0)*0.475*44/12</f>
        <v>2.3393154853871073E-19</v>
      </c>
      <c r="AC162" s="22">
        <f t="shared" si="163"/>
        <v>0.37634855504263115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-1.1527845344971866E-13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272.93635583300755</v>
      </c>
      <c r="AO162" s="59">
        <f t="shared" si="144"/>
        <v>179.56041631665812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0.2902668726106632</v>
      </c>
      <c r="AV162" s="21">
        <f>EXP(-LN(2)/25)*AV161+(1-EXP(-LN(2)/25))/(LN(2)/25)*Calculateur!AQ162*Calculateur!AS162*VLOOKUP('Données projet'!$B$10,Paramètres!$A$1:$I$89,3,0)*0.475*44/12</f>
        <v>0.131503059764699</v>
      </c>
      <c r="AW162" s="21">
        <f>EXP(-LN(2)/2)*AW161+(1-EXP(-LN(2)/2))/(LN(2)/2)*AQ162*AT162*VLOOKUP('Données projet'!$B$10,Paramètres!$A$1:$I$89,3,0)*0.475*44/12</f>
        <v>2.6216466646579659E-19</v>
      </c>
      <c r="AX162" s="21">
        <f t="shared" si="166"/>
        <v>0.4217699323753622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226.0452828290525</v>
      </c>
      <c r="BJ162" s="59">
        <f t="shared" si="146"/>
        <v>179.89696397462069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0.70532930658147175</v>
      </c>
      <c r="BQ162" s="21">
        <f>EXP(-LN(2)/25)*BQ161+(1-EXP(-LN(2)/25))/(LN(2)/25)*Calculateur!BL162*Calculateur!BN162*VLOOKUP('Données projet'!$B$11,Paramètres!$A$1:$I$89,3,0)*0.475*44/12</f>
        <v>0.31189722399635766</v>
      </c>
      <c r="BR162" s="21">
        <f>EXP(-LN(2)/2)*BR161+(1-EXP(-LN(2)/2))/(LN(2)/2)*BL162*BO162*VLOOKUP('Données projet'!$B$11,Paramètres!$A$1:$I$89,3,0)*0.475*44/12</f>
        <v>4.2330891122042809E-19</v>
      </c>
      <c r="BS162" s="22">
        <f t="shared" si="169"/>
        <v>1.0172265305778294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-1.7053025658242404E-13</v>
      </c>
      <c r="BZ162" s="13">
        <f>BY162*VLOOKUP('Données projet'!$B$12,Paramètres!$A$1:$I$89,3,0)*VLOOKUP('Données projet'!$B$12,Paramètres!$A$1:$I$89,5,0)</f>
        <v>-1.3567387213697657E-13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219.43439115440339</v>
      </c>
      <c r="CE162" s="59">
        <f t="shared" si="148"/>
        <v>217.8880462742099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0.65443653188789019</v>
      </c>
      <c r="CL162" s="21">
        <f>EXP(-LN(2)/25)*CL161+(1-EXP(-LN(2)/25))/(LN(2)/25)*Calculateur!CG162*Calculateur!CI162*VLOOKUP('Données projet'!$B$12,Paramètres!$A$1:$I$89,3,0)*0.475*44/12</f>
        <v>0.30242764091482494</v>
      </c>
      <c r="CM162" s="21">
        <f>EXP(-LN(2)/2)*CM161+(1-EXP(-LN(2)/2))/(LN(2)/2)*CG162*CJ162*VLOOKUP('Données projet'!$B$12,Paramètres!$A$1:$I$89,3,0)*0.475*44/12</f>
        <v>3.4394257459648819E-19</v>
      </c>
      <c r="CN162" s="22">
        <f t="shared" si="172"/>
        <v>0.95686417280271518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237.64646718446005</v>
      </c>
      <c r="T163" s="59">
        <f t="shared" si="142"/>
        <v>156.67965022779907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0.25392838683810104</v>
      </c>
      <c r="AA163" s="21">
        <f>EXP(-LN(2)/25)*AA162+(1-EXP(-LN(2)/25))/(LN(2)/25)*Calculateur!V163*Calculateur!X163*VLOOKUP('Données projet'!$B$9,Paramètres!$A$1:$I$89,3,0)*0.475*44/12</f>
        <v>0.11413249072983554</v>
      </c>
      <c r="AB163" s="21">
        <f>EXP(-LN(2)/2)*AB162+(1-EXP(-LN(2)/2))/(LN(2)/2)*V163*Y163*VLOOKUP('Données projet'!$B$9,Paramètres!$A$1:$I$89,3,0)*0.475*44/12</f>
        <v>1.6541458430519235E-19</v>
      </c>
      <c r="AC163" s="22">
        <f t="shared" si="163"/>
        <v>0.3680608775679366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-1.1527845344971866E-13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272.93635583300755</v>
      </c>
      <c r="AO163" s="59">
        <f t="shared" si="144"/>
        <v>179.56041631665812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0.28457491628407861</v>
      </c>
      <c r="AV163" s="21">
        <f>EXP(-LN(2)/25)*AV162+(1-EXP(-LN(2)/25))/(LN(2)/25)*Calculateur!AQ163*Calculateur!AS163*VLOOKUP('Données projet'!$B$10,Paramètres!$A$1:$I$89,3,0)*0.475*44/12</f>
        <v>0.12790710167998795</v>
      </c>
      <c r="AW163" s="21">
        <f>EXP(-LN(2)/2)*AW162+(1-EXP(-LN(2)/2))/(LN(2)/2)*AQ163*AT163*VLOOKUP('Données projet'!$B$10,Paramètres!$A$1:$I$89,3,0)*0.475*44/12</f>
        <v>1.8537841344547425E-19</v>
      </c>
      <c r="AX163" s="21">
        <f t="shared" si="166"/>
        <v>0.41248201796406658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226.0452828290525</v>
      </c>
      <c r="BJ163" s="59">
        <f t="shared" si="146"/>
        <v>179.89696397462069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0.69149822908780656</v>
      </c>
      <c r="BQ163" s="21">
        <f>EXP(-LN(2)/25)*BQ162+(1-EXP(-LN(2)/25))/(LN(2)/25)*Calculateur!BL163*Calculateur!BN163*VLOOKUP('Données projet'!$B$11,Paramètres!$A$1:$I$89,3,0)*0.475*44/12</f>
        <v>0.30336837800421512</v>
      </c>
      <c r="BR163" s="21">
        <f>EXP(-LN(2)/2)*BR162+(1-EXP(-LN(2)/2))/(LN(2)/2)*BL163*BO163*VLOOKUP('Données projet'!$B$11,Paramètres!$A$1:$I$89,3,0)*0.475*44/12</f>
        <v>2.9932460166065893E-19</v>
      </c>
      <c r="BS163" s="22">
        <f t="shared" si="169"/>
        <v>0.99486660709202168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-1.7053025658242404E-13</v>
      </c>
      <c r="BZ163" s="13">
        <f>BY163*VLOOKUP('Données projet'!$B$12,Paramètres!$A$1:$I$89,3,0)*VLOOKUP('Données projet'!$B$12,Paramètres!$A$1:$I$89,5,0)</f>
        <v>-1.3567387213697657E-13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219.43439115440339</v>
      </c>
      <c r="CE163" s="59">
        <f t="shared" si="148"/>
        <v>217.8880462742099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0.6416034306644387</v>
      </c>
      <c r="CL163" s="21">
        <f>EXP(-LN(2)/25)*CL162+(1-EXP(-LN(2)/25))/(LN(2)/25)*Calculateur!CG163*Calculateur!CI163*VLOOKUP('Données projet'!$B$12,Paramètres!$A$1:$I$89,3,0)*0.475*44/12</f>
        <v>0.29415774117003063</v>
      </c>
      <c r="CM163" s="21">
        <f>EXP(-LN(2)/2)*CM162+(1-EXP(-LN(2)/2))/(LN(2)/2)*CG163*CJ163*VLOOKUP('Données projet'!$B$12,Paramètres!$A$1:$I$89,3,0)*0.475*44/12</f>
        <v>2.4320412683593677E-19</v>
      </c>
      <c r="CN163" s="22">
        <f t="shared" si="172"/>
        <v>0.93576117183446939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237.64646718446005</v>
      </c>
      <c r="T164" s="59">
        <f t="shared" si="142"/>
        <v>156.67965022779907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0.24894900605322862</v>
      </c>
      <c r="AA164" s="21">
        <f>EXP(-LN(2)/25)*AA163+(1-EXP(-LN(2)/25))/(LN(2)/25)*Calculateur!V164*Calculateur!X164*VLOOKUP('Données projet'!$B$9,Paramètres!$A$1:$I$89,3,0)*0.475*44/12</f>
        <v>0.11101153176886136</v>
      </c>
      <c r="AB164" s="21">
        <f>EXP(-LN(2)/2)*AB163+(1-EXP(-LN(2)/2))/(LN(2)/2)*V164*Y164*VLOOKUP('Données projet'!$B$9,Paramètres!$A$1:$I$89,3,0)*0.475*44/12</f>
        <v>1.1696577426935536E-19</v>
      </c>
      <c r="AC164" s="22">
        <f t="shared" si="163"/>
        <v>0.35996053782208998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-1.1527845344971866E-13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272.93635583300755</v>
      </c>
      <c r="AO164" s="59">
        <f t="shared" si="144"/>
        <v>179.56041631665812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0.2789945757493078</v>
      </c>
      <c r="AV164" s="21">
        <f>EXP(-LN(2)/25)*AV163+(1-EXP(-LN(2)/25))/(LN(2)/25)*Calculateur!AQ164*Calculateur!AS164*VLOOKUP('Données projet'!$B$10,Paramètres!$A$1:$I$89,3,0)*0.475*44/12</f>
        <v>0.12440947525820653</v>
      </c>
      <c r="AW164" s="21">
        <f>EXP(-LN(2)/2)*AW163+(1-EXP(-LN(2)/2))/(LN(2)/2)*AQ164*AT164*VLOOKUP('Données projet'!$B$10,Paramètres!$A$1:$I$89,3,0)*0.475*44/12</f>
        <v>1.3108233323289829E-19</v>
      </c>
      <c r="AX164" s="21">
        <f t="shared" si="166"/>
        <v>0.40340405100751431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226.0452828290525</v>
      </c>
      <c r="BJ164" s="59">
        <f t="shared" si="146"/>
        <v>179.89696397462069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0.67793837058766782</v>
      </c>
      <c r="BQ164" s="21">
        <f>EXP(-LN(2)/25)*BQ163+(1-EXP(-LN(2)/25))/(LN(2)/25)*Calculateur!BL164*Calculateur!BN164*VLOOKUP('Données projet'!$B$11,Paramètres!$A$1:$I$89,3,0)*0.475*44/12</f>
        <v>0.29507275375424019</v>
      </c>
      <c r="BR164" s="21">
        <f>EXP(-LN(2)/2)*BR163+(1-EXP(-LN(2)/2))/(LN(2)/2)*BL164*BO164*VLOOKUP('Données projet'!$B$11,Paramètres!$A$1:$I$89,3,0)*0.475*44/12</f>
        <v>2.1165445561021407E-19</v>
      </c>
      <c r="BS164" s="22">
        <f t="shared" si="169"/>
        <v>0.97301112434190795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-1.7053025658242404E-13</v>
      </c>
      <c r="BZ164" s="13">
        <f>BY164*VLOOKUP('Données projet'!$B$12,Paramètres!$A$1:$I$89,3,0)*VLOOKUP('Données projet'!$B$12,Paramètres!$A$1:$I$89,5,0)</f>
        <v>-1.3567387213697657E-13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219.43439115440339</v>
      </c>
      <c r="CE164" s="59">
        <f t="shared" si="148"/>
        <v>217.8880462742099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0.62902197872856025</v>
      </c>
      <c r="CL164" s="21">
        <f>EXP(-LN(2)/25)*CL163+(1-EXP(-LN(2)/25))/(LN(2)/25)*Calculateur!CG164*Calculateur!CI164*VLOOKUP('Données projet'!$B$12,Paramètres!$A$1:$I$89,3,0)*0.475*44/12</f>
        <v>0.28611398226865287</v>
      </c>
      <c r="CM164" s="21">
        <f>EXP(-LN(2)/2)*CM163+(1-EXP(-LN(2)/2))/(LN(2)/2)*CG164*CJ164*VLOOKUP('Données projet'!$B$12,Paramètres!$A$1:$I$89,3,0)*0.475*44/12</f>
        <v>1.719712872982441E-19</v>
      </c>
      <c r="CN164" s="22">
        <f t="shared" si="172"/>
        <v>0.91513596099721317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237.64646718446005</v>
      </c>
      <c r="T165" s="59">
        <f t="shared" si="142"/>
        <v>156.67965022779907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0.24406726788842514</v>
      </c>
      <c r="AA165" s="21">
        <f>EXP(-LN(2)/25)*AA164+(1-EXP(-LN(2)/25))/(LN(2)/25)*Calculateur!V165*Calculateur!X165*VLOOKUP('Données projet'!$B$9,Paramètres!$A$1:$I$89,3,0)*0.475*44/12</f>
        <v>0.1079759155947991</v>
      </c>
      <c r="AB165" s="21">
        <f>EXP(-LN(2)/2)*AB164+(1-EXP(-LN(2)/2))/(LN(2)/2)*V165*Y165*VLOOKUP('Données projet'!$B$9,Paramètres!$A$1:$I$89,3,0)*0.475*44/12</f>
        <v>8.2707292152596173E-20</v>
      </c>
      <c r="AC165" s="22">
        <f t="shared" si="163"/>
        <v>0.35204318348322428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-1.1527845344971866E-13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272.93635583300755</v>
      </c>
      <c r="AO165" s="59">
        <f t="shared" si="144"/>
        <v>179.56041631665812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0.27352366228875219</v>
      </c>
      <c r="AV165" s="21">
        <f>EXP(-LN(2)/25)*AV164+(1-EXP(-LN(2)/25))/(LN(2)/25)*Calculateur!AQ165*Calculateur!AS165*VLOOKUP('Données projet'!$B$10,Paramètres!$A$1:$I$89,3,0)*0.475*44/12</f>
        <v>0.12100749161486091</v>
      </c>
      <c r="AW165" s="21">
        <f>EXP(-LN(2)/2)*AW164+(1-EXP(-LN(2)/2))/(LN(2)/2)*AQ165*AT165*VLOOKUP('Données projet'!$B$10,Paramètres!$A$1:$I$89,3,0)*0.475*44/12</f>
        <v>9.2689206722737123E-20</v>
      </c>
      <c r="AX165" s="21">
        <f t="shared" si="166"/>
        <v>0.3945311539036131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226.0452828290525</v>
      </c>
      <c r="BJ165" s="59">
        <f t="shared" si="146"/>
        <v>179.89696397462069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0.66464441264201979</v>
      </c>
      <c r="BQ165" s="21">
        <f>EXP(-LN(2)/25)*BQ164+(1-EXP(-LN(2)/25))/(LN(2)/25)*Calculateur!BL165*Calculateur!BN165*VLOOKUP('Données projet'!$B$11,Paramètres!$A$1:$I$89,3,0)*0.475*44/12</f>
        <v>0.28700397378562875</v>
      </c>
      <c r="BR165" s="21">
        <f>EXP(-LN(2)/2)*BR164+(1-EXP(-LN(2)/2))/(LN(2)/2)*BL165*BO165*VLOOKUP('Données projet'!$B$11,Paramètres!$A$1:$I$89,3,0)*0.475*44/12</f>
        <v>1.4966230083032949E-19</v>
      </c>
      <c r="BS165" s="22">
        <f t="shared" si="169"/>
        <v>0.9516483864276486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-1.7053025658242404E-13</v>
      </c>
      <c r="BZ165" s="13">
        <f>BY165*VLOOKUP('Données projet'!$B$12,Paramètres!$A$1:$I$89,3,0)*VLOOKUP('Données projet'!$B$12,Paramètres!$A$1:$I$89,5,0)</f>
        <v>-1.3567387213697657E-13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219.43439115440339</v>
      </c>
      <c r="CE165" s="59">
        <f t="shared" si="148"/>
        <v>217.8880462742099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0.61668724139121633</v>
      </c>
      <c r="CL165" s="21">
        <f>EXP(-LN(2)/25)*CL164+(1-EXP(-LN(2)/25))/(LN(2)/25)*Calculateur!CG165*Calculateur!CI165*VLOOKUP('Données projet'!$B$12,Paramètres!$A$1:$I$89,3,0)*0.475*44/12</f>
        <v>0.27829018037743614</v>
      </c>
      <c r="CM165" s="21">
        <f>EXP(-LN(2)/2)*CM164+(1-EXP(-LN(2)/2))/(LN(2)/2)*CG165*CJ165*VLOOKUP('Données projet'!$B$12,Paramètres!$A$1:$I$89,3,0)*0.475*44/12</f>
        <v>1.2160206341796838E-19</v>
      </c>
      <c r="CN165" s="22">
        <f t="shared" si="172"/>
        <v>0.89497742176865247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237.64646718446005</v>
      </c>
      <c r="T166" s="59">
        <f t="shared" si="142"/>
        <v>156.67965022779907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0.23928125763146721</v>
      </c>
      <c r="AA166" s="21">
        <f>EXP(-LN(2)/25)*AA165+(1-EXP(-LN(2)/25))/(LN(2)/25)*Calculateur!V166*Calculateur!X166*VLOOKUP('Données projet'!$B$9,Paramètres!$A$1:$I$89,3,0)*0.475*44/12</f>
        <v>0.1050233085046527</v>
      </c>
      <c r="AB166" s="21">
        <f>EXP(-LN(2)/2)*AB165+(1-EXP(-LN(2)/2))/(LN(2)/2)*V166*Y166*VLOOKUP('Données projet'!$B$9,Paramètres!$A$1:$I$89,3,0)*0.475*44/12</f>
        <v>5.8482887134677682E-20</v>
      </c>
      <c r="AC166" s="22">
        <f t="shared" si="163"/>
        <v>0.34430456613611993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-1.1527845344971866E-13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272.93635583300755</v>
      </c>
      <c r="AO166" s="59">
        <f t="shared" si="144"/>
        <v>179.56041631665812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0.2681600301042304</v>
      </c>
      <c r="AV166" s="21">
        <f>EXP(-LN(2)/25)*AV165+(1-EXP(-LN(2)/25))/(LN(2)/25)*Calculateur!AQ166*Calculateur!AS166*VLOOKUP('Données projet'!$B$10,Paramètres!$A$1:$I$89,3,0)*0.475*44/12</f>
        <v>0.11769853539314512</v>
      </c>
      <c r="AW166" s="21">
        <f>EXP(-LN(2)/2)*AW165+(1-EXP(-LN(2)/2))/(LN(2)/2)*AQ166*AT166*VLOOKUP('Données projet'!$B$10,Paramètres!$A$1:$I$89,3,0)*0.475*44/12</f>
        <v>6.5541166616449147E-20</v>
      </c>
      <c r="AX166" s="21">
        <f t="shared" si="166"/>
        <v>0.38585856549737552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226.0452828290525</v>
      </c>
      <c r="BJ166" s="59">
        <f t="shared" si="146"/>
        <v>179.89696397462069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0.6516111411031722</v>
      </c>
      <c r="BQ166" s="21">
        <f>EXP(-LN(2)/25)*BQ165+(1-EXP(-LN(2)/25))/(LN(2)/25)*Calculateur!BL166*Calculateur!BN166*VLOOKUP('Données projet'!$B$11,Paramètres!$A$1:$I$89,3,0)*0.475*44/12</f>
        <v>0.27915583502957769</v>
      </c>
      <c r="BR166" s="21">
        <f>EXP(-LN(2)/2)*BR165+(1-EXP(-LN(2)/2))/(LN(2)/2)*BL166*BO166*VLOOKUP('Données projet'!$B$11,Paramètres!$A$1:$I$89,3,0)*0.475*44/12</f>
        <v>1.0582722780510705E-19</v>
      </c>
      <c r="BS166" s="22">
        <f t="shared" si="169"/>
        <v>0.93076697613274995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-1.7053025658242404E-13</v>
      </c>
      <c r="BZ166" s="13">
        <f>BY166*VLOOKUP('Données projet'!$B$12,Paramètres!$A$1:$I$89,3,0)*VLOOKUP('Données projet'!$B$12,Paramètres!$A$1:$I$89,5,0)</f>
        <v>-1.3567387213697657E-13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219.43439115440339</v>
      </c>
      <c r="CE166" s="59">
        <f t="shared" si="148"/>
        <v>217.8880462742099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0.60459438072961091</v>
      </c>
      <c r="CL166" s="21">
        <f>EXP(-LN(2)/25)*CL165+(1-EXP(-LN(2)/25))/(LN(2)/25)*Calculateur!CG166*Calculateur!CI166*VLOOKUP('Données projet'!$B$12,Paramètres!$A$1:$I$89,3,0)*0.475*44/12</f>
        <v>0.27068032076037057</v>
      </c>
      <c r="CM166" s="21">
        <f>EXP(-LN(2)/2)*CM165+(1-EXP(-LN(2)/2))/(LN(2)/2)*CG166*CJ166*VLOOKUP('Données projet'!$B$12,Paramètres!$A$1:$I$89,3,0)*0.475*44/12</f>
        <v>8.5985643649122048E-20</v>
      </c>
      <c r="CN166" s="22">
        <f t="shared" si="172"/>
        <v>0.87527470148998154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237.64646718446005</v>
      </c>
      <c r="T167" s="59">
        <f t="shared" si="142"/>
        <v>156.67965022779907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0.23458909811647022</v>
      </c>
      <c r="AA167" s="21">
        <f>EXP(-LN(2)/25)*AA166+(1-EXP(-LN(2)/25))/(LN(2)/25)*Calculateur!V167*Calculateur!X167*VLOOKUP('Données projet'!$B$9,Paramètres!$A$1:$I$89,3,0)*0.475*44/12</f>
        <v>0.10215144061065722</v>
      </c>
      <c r="AB167" s="21">
        <f>EXP(-LN(2)/2)*AB166+(1-EXP(-LN(2)/2))/(LN(2)/2)*V167*Y167*VLOOKUP('Données projet'!$B$9,Paramètres!$A$1:$I$89,3,0)*0.475*44/12</f>
        <v>4.1353646076298087E-20</v>
      </c>
      <c r="AC167" s="22">
        <f t="shared" si="163"/>
        <v>0.33674053872712745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-1.1527845344971866E-13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272.93635583300755</v>
      </c>
      <c r="AO167" s="59">
        <f t="shared" si="144"/>
        <v>179.56041631665812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0.26290157547535442</v>
      </c>
      <c r="AV167" s="21">
        <f>EXP(-LN(2)/25)*AV166+(1-EXP(-LN(2)/25))/(LN(2)/25)*Calculateur!AQ167*Calculateur!AS167*VLOOKUP('Données projet'!$B$10,Paramètres!$A$1:$I$89,3,0)*0.475*44/12</f>
        <v>0.11448006275332259</v>
      </c>
      <c r="AW167" s="21">
        <f>EXP(-LN(2)/2)*AW166+(1-EXP(-LN(2)/2))/(LN(2)/2)*AQ167*AT167*VLOOKUP('Données projet'!$B$10,Paramètres!$A$1:$I$89,3,0)*0.475*44/12</f>
        <v>4.6344603361368561E-20</v>
      </c>
      <c r="AX167" s="21">
        <f t="shared" si="166"/>
        <v>0.37738163822867699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226.0452828290525</v>
      </c>
      <c r="BJ167" s="59">
        <f t="shared" si="146"/>
        <v>179.89696397462069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0.63883344406969078</v>
      </c>
      <c r="BQ167" s="21">
        <f>EXP(-LN(2)/25)*BQ166+(1-EXP(-LN(2)/25))/(LN(2)/25)*Calculateur!BL167*Calculateur!BN167*VLOOKUP('Données projet'!$B$11,Paramètres!$A$1:$I$89,3,0)*0.475*44/12</f>
        <v>0.27152230404052652</v>
      </c>
      <c r="BR167" s="21">
        <f>EXP(-LN(2)/2)*BR166+(1-EXP(-LN(2)/2))/(LN(2)/2)*BL167*BO167*VLOOKUP('Données projet'!$B$11,Paramètres!$A$1:$I$89,3,0)*0.475*44/12</f>
        <v>7.4831150415164756E-20</v>
      </c>
      <c r="BS167" s="22">
        <f t="shared" si="169"/>
        <v>0.91035574811021736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-1.7053025658242404E-13</v>
      </c>
      <c r="BZ167" s="13">
        <f>BY167*VLOOKUP('Données projet'!$B$12,Paramètres!$A$1:$I$89,3,0)*VLOOKUP('Données projet'!$B$12,Paramètres!$A$1:$I$89,5,0)</f>
        <v>-1.3567387213697657E-13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219.43439115440339</v>
      </c>
      <c r="CE167" s="59">
        <f t="shared" si="148"/>
        <v>217.8880462742099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0.59273865368966283</v>
      </c>
      <c r="CL167" s="21">
        <f>EXP(-LN(2)/25)*CL166+(1-EXP(-LN(2)/25))/(LN(2)/25)*Calculateur!CG167*Calculateur!CI167*VLOOKUP('Données projet'!$B$12,Paramètres!$A$1:$I$89,3,0)*0.475*44/12</f>
        <v>0.26327855315471882</v>
      </c>
      <c r="CM167" s="21">
        <f>EXP(-LN(2)/2)*CM166+(1-EXP(-LN(2)/2))/(LN(2)/2)*CG167*CJ167*VLOOKUP('Données projet'!$B$12,Paramètres!$A$1:$I$89,3,0)*0.475*44/12</f>
        <v>6.0801031708984192E-20</v>
      </c>
      <c r="CN167" s="22">
        <f t="shared" si="172"/>
        <v>0.85601720684438165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237.64646718446005</v>
      </c>
      <c r="T168" s="59">
        <f t="shared" si="142"/>
        <v>156.67965022779907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0.22998894898762759</v>
      </c>
      <c r="AA168" s="21">
        <f>EXP(-LN(2)/25)*AA167+(1-EXP(-LN(2)/25))/(LN(2)/25)*Calculateur!V168*Calculateur!X168*VLOOKUP('Données projet'!$B$9,Paramètres!$A$1:$I$89,3,0)*0.475*44/12</f>
        <v>9.9358104095248007E-2</v>
      </c>
      <c r="AB168" s="21">
        <f>EXP(-LN(2)/2)*AB167+(1-EXP(-LN(2)/2))/(LN(2)/2)*V168*Y168*VLOOKUP('Données projet'!$B$9,Paramètres!$A$1:$I$89,3,0)*0.475*44/12</f>
        <v>2.9241443567338841E-20</v>
      </c>
      <c r="AC168" s="22">
        <f t="shared" si="163"/>
        <v>0.3293470530828756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-1.1527845344971866E-13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272.93635583300755</v>
      </c>
      <c r="AO168" s="59">
        <f t="shared" si="144"/>
        <v>179.56041631665812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0.2577462359344101</v>
      </c>
      <c r="AV168" s="21">
        <f>EXP(-LN(2)/25)*AV167+(1-EXP(-LN(2)/25))/(LN(2)/25)*Calculateur!AQ168*Calculateur!AS168*VLOOKUP('Données projet'!$B$10,Paramètres!$A$1:$I$89,3,0)*0.475*44/12</f>
        <v>0.11134959941708814</v>
      </c>
      <c r="AW168" s="21">
        <f>EXP(-LN(2)/2)*AW167+(1-EXP(-LN(2)/2))/(LN(2)/2)*AQ168*AT168*VLOOKUP('Données projet'!$B$10,Paramètres!$A$1:$I$89,3,0)*0.475*44/12</f>
        <v>3.2770583308224574E-20</v>
      </c>
      <c r="AX168" s="21">
        <f t="shared" si="166"/>
        <v>0.36909583535149826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226.0452828290525</v>
      </c>
      <c r="BJ168" s="59">
        <f t="shared" si="146"/>
        <v>179.89696397462069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0.62630630988141034</v>
      </c>
      <c r="BQ168" s="21">
        <f>EXP(-LN(2)/25)*BQ167+(1-EXP(-LN(2)/25))/(LN(2)/25)*Calculateur!BL168*Calculateur!BN168*VLOOKUP('Données projet'!$B$11,Paramètres!$A$1:$I$89,3,0)*0.475*44/12</f>
        <v>0.26409751235780093</v>
      </c>
      <c r="BR168" s="21">
        <f>EXP(-LN(2)/2)*BR167+(1-EXP(-LN(2)/2))/(LN(2)/2)*BL168*BO168*VLOOKUP('Données projet'!$B$11,Paramètres!$A$1:$I$89,3,0)*0.475*44/12</f>
        <v>5.2913613902553535E-20</v>
      </c>
      <c r="BS168" s="22">
        <f t="shared" si="169"/>
        <v>0.89040382223921122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-1.7053025658242404E-13</v>
      </c>
      <c r="BZ168" s="13">
        <f>BY168*VLOOKUP('Données projet'!$B$12,Paramètres!$A$1:$I$89,3,0)*VLOOKUP('Données projet'!$B$12,Paramètres!$A$1:$I$89,5,0)</f>
        <v>-1.3567387213697657E-13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219.43439115440339</v>
      </c>
      <c r="CE168" s="59">
        <f t="shared" si="148"/>
        <v>217.8880462742099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0.58111541022568869</v>
      </c>
      <c r="CL168" s="21">
        <f>EXP(-LN(2)/25)*CL167+(1-EXP(-LN(2)/25))/(LN(2)/25)*Calculateur!CG168*Calculateur!CI168*VLOOKUP('Données projet'!$B$12,Paramètres!$A$1:$I$89,3,0)*0.475*44/12</f>
        <v>0.25607918727348566</v>
      </c>
      <c r="CM168" s="21">
        <f>EXP(-LN(2)/2)*CM167+(1-EXP(-LN(2)/2))/(LN(2)/2)*CG168*CJ168*VLOOKUP('Données projet'!$B$12,Paramètres!$A$1:$I$89,3,0)*0.475*44/12</f>
        <v>4.2992821824561024E-20</v>
      </c>
      <c r="CN168" s="22">
        <f t="shared" si="172"/>
        <v>0.83719459749917435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237.64646718446005</v>
      </c>
      <c r="T169" s="59">
        <f t="shared" si="142"/>
        <v>156.67965022779907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0.22547900597738765</v>
      </c>
      <c r="AA169" s="21">
        <f>EXP(-LN(2)/25)*AA168+(1-EXP(-LN(2)/25))/(LN(2)/25)*Calculateur!V169*Calculateur!X169*VLOOKUP('Données projet'!$B$9,Paramètres!$A$1:$I$89,3,0)*0.475*44/12</f>
        <v>9.6641151513747844E-2</v>
      </c>
      <c r="AB169" s="21">
        <f>EXP(-LN(2)/2)*AB168+(1-EXP(-LN(2)/2))/(LN(2)/2)*V169*Y169*VLOOKUP('Données projet'!$B$9,Paramètres!$A$1:$I$89,3,0)*0.475*44/12</f>
        <v>2.0676823038149043E-20</v>
      </c>
      <c r="AC169" s="22">
        <f t="shared" si="163"/>
        <v>0.32212015749113548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-1.1527845344971866E-13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272.93635583300755</v>
      </c>
      <c r="AO169" s="59">
        <f t="shared" si="144"/>
        <v>179.56041631665812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0.25269198945741705</v>
      </c>
      <c r="AV169" s="21">
        <f>EXP(-LN(2)/25)*AV168+(1-EXP(-LN(2)/25))/(LN(2)/25)*Calculateur!AQ169*Calculateur!AS169*VLOOKUP('Données projet'!$B$10,Paramètres!$A$1:$I$89,3,0)*0.475*44/12</f>
        <v>0.10830473876540692</v>
      </c>
      <c r="AW169" s="21">
        <f>EXP(-LN(2)/2)*AW168+(1-EXP(-LN(2)/2))/(LN(2)/2)*AQ169*AT169*VLOOKUP('Données projet'!$B$10,Paramètres!$A$1:$I$89,3,0)*0.475*44/12</f>
        <v>2.3172301680684281E-20</v>
      </c>
      <c r="AX169" s="21">
        <f t="shared" si="166"/>
        <v>0.36099672822282397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226.0452828290525</v>
      </c>
      <c r="BJ169" s="59">
        <f t="shared" si="146"/>
        <v>179.89696397462069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0.61402482515376466</v>
      </c>
      <c r="BQ169" s="21">
        <f>EXP(-LN(2)/25)*BQ168+(1-EXP(-LN(2)/25))/(LN(2)/25)*Calculateur!BL169*Calculateur!BN169*VLOOKUP('Données projet'!$B$11,Paramètres!$A$1:$I$89,3,0)*0.475*44/12</f>
        <v>0.25687575199409229</v>
      </c>
      <c r="BR169" s="21">
        <f>EXP(-LN(2)/2)*BR168+(1-EXP(-LN(2)/2))/(LN(2)/2)*BL169*BO169*VLOOKUP('Données projet'!$B$11,Paramètres!$A$1:$I$89,3,0)*0.475*44/12</f>
        <v>3.7415575207582384E-20</v>
      </c>
      <c r="BS169" s="22">
        <f t="shared" si="169"/>
        <v>0.87090057714785696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-1.7053025658242404E-13</v>
      </c>
      <c r="BZ169" s="13">
        <f>BY169*VLOOKUP('Données projet'!$B$12,Paramètres!$A$1:$I$89,3,0)*VLOOKUP('Données projet'!$B$12,Paramètres!$A$1:$I$89,5,0)</f>
        <v>-1.3567387213697657E-13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219.43439115440339</v>
      </c>
      <c r="CE169" s="59">
        <f t="shared" si="148"/>
        <v>217.8880462742099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0.56972009147656455</v>
      </c>
      <c r="CL169" s="21">
        <f>EXP(-LN(2)/25)*CL168+(1-EXP(-LN(2)/25))/(LN(2)/25)*Calculateur!CG169*Calculateur!CI169*VLOOKUP('Données projet'!$B$12,Paramètres!$A$1:$I$89,3,0)*0.475*44/12</f>
        <v>0.24907668843087302</v>
      </c>
      <c r="CM169" s="21">
        <f>EXP(-LN(2)/2)*CM168+(1-EXP(-LN(2)/2))/(LN(2)/2)*CG169*CJ169*VLOOKUP('Données projet'!$B$12,Paramètres!$A$1:$I$89,3,0)*0.475*44/12</f>
        <v>3.0400515854492096E-20</v>
      </c>
      <c r="CN169" s="22">
        <f t="shared" si="172"/>
        <v>0.8187967799074376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237.64646718446005</v>
      </c>
      <c r="T170" s="59">
        <f t="shared" si="142"/>
        <v>156.67965022779907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0.2210575001987849</v>
      </c>
      <c r="AA170" s="21">
        <f>EXP(-LN(2)/25)*AA169+(1-EXP(-LN(2)/25))/(LN(2)/25)*Calculateur!V170*Calculateur!X170*VLOOKUP('Données projet'!$B$9,Paramètres!$A$1:$I$89,3,0)*0.475*44/12</f>
        <v>9.3998494143467129E-2</v>
      </c>
      <c r="AB170" s="21">
        <f>EXP(-LN(2)/2)*AB169+(1-EXP(-LN(2)/2))/(LN(2)/2)*V170*Y170*VLOOKUP('Données projet'!$B$9,Paramètres!$A$1:$I$89,3,0)*0.475*44/12</f>
        <v>1.462072178366942E-20</v>
      </c>
      <c r="AC170" s="22">
        <f t="shared" si="163"/>
        <v>0.31505599434225201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-1.1527845344971866E-13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272.93635583300755</v>
      </c>
      <c r="AO170" s="59">
        <f t="shared" si="144"/>
        <v>179.56041631665812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0.24773685367105192</v>
      </c>
      <c r="AV170" s="21">
        <f>EXP(-LN(2)/25)*AV169+(1-EXP(-LN(2)/25))/(LN(2)/25)*Calculateur!AQ170*Calculateur!AS170*VLOOKUP('Données projet'!$B$10,Paramètres!$A$1:$I$89,3,0)*0.475*44/12</f>
        <v>0.10534313998836818</v>
      </c>
      <c r="AW170" s="21">
        <f>EXP(-LN(2)/2)*AW169+(1-EXP(-LN(2)/2))/(LN(2)/2)*AQ170*AT170*VLOOKUP('Données projet'!$B$10,Paramètres!$A$1:$I$89,3,0)*0.475*44/12</f>
        <v>1.6385291654112287E-20</v>
      </c>
      <c r="AX170" s="21">
        <f t="shared" si="166"/>
        <v>0.35307999365942011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226.0452828290525</v>
      </c>
      <c r="BJ170" s="59">
        <f t="shared" si="146"/>
        <v>179.89696397462069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0.60198417285066208</v>
      </c>
      <c r="BQ170" s="21">
        <f>EXP(-LN(2)/25)*BQ169+(1-EXP(-LN(2)/25))/(LN(2)/25)*Calculateur!BL170*Calculateur!BN170*VLOOKUP('Données projet'!$B$11,Paramètres!$A$1:$I$89,3,0)*0.475*44/12</f>
        <v>0.24985147104730515</v>
      </c>
      <c r="BR170" s="21">
        <f>EXP(-LN(2)/2)*BR169+(1-EXP(-LN(2)/2))/(LN(2)/2)*BL170*BO170*VLOOKUP('Données projet'!$B$11,Paramètres!$A$1:$I$89,3,0)*0.475*44/12</f>
        <v>2.645680695127677E-20</v>
      </c>
      <c r="BS170" s="22">
        <f t="shared" si="169"/>
        <v>0.85183564389796729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-1.7053025658242404E-13</v>
      </c>
      <c r="BZ170" s="13">
        <f>BY170*VLOOKUP('Données projet'!$B$12,Paramètres!$A$1:$I$89,3,0)*VLOOKUP('Données projet'!$B$12,Paramètres!$A$1:$I$89,5,0)</f>
        <v>-1.3567387213697657E-13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219.43439115440339</v>
      </c>
      <c r="CE170" s="59">
        <f t="shared" si="148"/>
        <v>217.8880462742099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0.55854822797765269</v>
      </c>
      <c r="CL170" s="21">
        <f>EXP(-LN(2)/25)*CL169+(1-EXP(-LN(2)/25))/(LN(2)/25)*Calculateur!CG170*Calculateur!CI170*VLOOKUP('Données projet'!$B$12,Paramètres!$A$1:$I$89,3,0)*0.475*44/12</f>
        <v>0.24226567328735701</v>
      </c>
      <c r="CM170" s="21">
        <f>EXP(-LN(2)/2)*CM169+(1-EXP(-LN(2)/2))/(LN(2)/2)*CG170*CJ170*VLOOKUP('Données projet'!$B$12,Paramètres!$A$1:$I$89,3,0)*0.475*44/12</f>
        <v>2.1496410912280512E-20</v>
      </c>
      <c r="CN170" s="22">
        <f t="shared" si="172"/>
        <v>0.80081390126500973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237.64646718446005</v>
      </c>
      <c r="T171" s="59">
        <f t="shared" si="142"/>
        <v>156.67965022779907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0.21672269745164832</v>
      </c>
      <c r="AA171" s="21">
        <f>EXP(-LN(2)/25)*AA170+(1-EXP(-LN(2)/25))/(LN(2)/25)*Calculateur!V171*Calculateur!X171*VLOOKUP('Données projet'!$B$9,Paramètres!$A$1:$I$89,3,0)*0.475*44/12</f>
        <v>9.1428100377948046E-2</v>
      </c>
      <c r="AB171" s="21">
        <f>EXP(-LN(2)/2)*AB170+(1-EXP(-LN(2)/2))/(LN(2)/2)*V171*Y171*VLOOKUP('Données projet'!$B$9,Paramètres!$A$1:$I$89,3,0)*0.475*44/12</f>
        <v>1.0338411519074522E-20</v>
      </c>
      <c r="AC171" s="22">
        <f t="shared" si="163"/>
        <v>0.30815079782959637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-1.1527845344971866E-13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272.93635583300755</v>
      </c>
      <c r="AO171" s="59">
        <f t="shared" si="144"/>
        <v>179.56041631665812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0.24287888507512298</v>
      </c>
      <c r="AV171" s="21">
        <f>EXP(-LN(2)/25)*AV170+(1-EXP(-LN(2)/25))/(LN(2)/25)*Calculateur!AQ171*Calculateur!AS171*VLOOKUP('Données projet'!$B$10,Paramètres!$A$1:$I$89,3,0)*0.475*44/12</f>
        <v>0.10246252628563128</v>
      </c>
      <c r="AW171" s="21">
        <f>EXP(-LN(2)/2)*AW170+(1-EXP(-LN(2)/2))/(LN(2)/2)*AQ171*AT171*VLOOKUP('Données projet'!$B$10,Paramètres!$A$1:$I$89,3,0)*0.475*44/12</f>
        <v>1.158615084034214E-20</v>
      </c>
      <c r="AX171" s="21">
        <f t="shared" si="166"/>
        <v>0.34534141136075425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226.0452828290525</v>
      </c>
      <c r="BJ171" s="59">
        <f t="shared" si="146"/>
        <v>179.89696397462069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0.59017963039515065</v>
      </c>
      <c r="BQ171" s="21">
        <f>EXP(-LN(2)/25)*BQ170+(1-EXP(-LN(2)/25))/(LN(2)/25)*Calculateur!BL171*Calculateur!BN171*VLOOKUP('Données projet'!$B$11,Paramètres!$A$1:$I$89,3,0)*0.475*44/12</f>
        <v>0.24301926943239877</v>
      </c>
      <c r="BR171" s="21">
        <f>EXP(-LN(2)/2)*BR170+(1-EXP(-LN(2)/2))/(LN(2)/2)*BL171*BO171*VLOOKUP('Données projet'!$B$11,Paramètres!$A$1:$I$89,3,0)*0.475*44/12</f>
        <v>1.8707787603791195E-20</v>
      </c>
      <c r="BS171" s="22">
        <f t="shared" si="169"/>
        <v>0.83319889982754947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-1.7053025658242404E-13</v>
      </c>
      <c r="BZ171" s="13">
        <f>BY171*VLOOKUP('Données projet'!$B$12,Paramètres!$A$1:$I$89,3,0)*VLOOKUP('Données projet'!$B$12,Paramètres!$A$1:$I$89,5,0)</f>
        <v>-1.3567387213697657E-13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219.43439115440339</v>
      </c>
      <c r="CE171" s="59">
        <f t="shared" si="148"/>
        <v>217.8880462742099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0.54759543790779053</v>
      </c>
      <c r="CL171" s="21">
        <f>EXP(-LN(2)/25)*CL170+(1-EXP(-LN(2)/25))/(LN(2)/25)*Calculateur!CG171*Calculateur!CI171*VLOOKUP('Données projet'!$B$12,Paramètres!$A$1:$I$89,3,0)*0.475*44/12</f>
        <v>0.23564090571111618</v>
      </c>
      <c r="CM171" s="21">
        <f>EXP(-LN(2)/2)*CM170+(1-EXP(-LN(2)/2))/(LN(2)/2)*CG171*CJ171*VLOOKUP('Données projet'!$B$12,Paramètres!$A$1:$I$89,3,0)*0.475*44/12</f>
        <v>1.5200257927246048E-20</v>
      </c>
      <c r="CN171" s="22">
        <f t="shared" si="172"/>
        <v>0.78323634361890671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237.64646718446005</v>
      </c>
      <c r="T172" s="59">
        <f t="shared" si="142"/>
        <v>156.67965022779907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0.2124728975424145</v>
      </c>
      <c r="AA172" s="21">
        <f>EXP(-LN(2)/25)*AA171+(1-EXP(-LN(2)/25))/(LN(2)/25)*Calculateur!V172*Calculateur!X172*VLOOKUP('Données projet'!$B$9,Paramètres!$A$1:$I$89,3,0)*0.475*44/12</f>
        <v>8.8927994165118221E-2</v>
      </c>
      <c r="AB172" s="21">
        <f>EXP(-LN(2)/2)*AB171+(1-EXP(-LN(2)/2))/(LN(2)/2)*V172*Y172*VLOOKUP('Données projet'!$B$9,Paramètres!$A$1:$I$89,3,0)*0.475*44/12</f>
        <v>7.3103608918347102E-21</v>
      </c>
      <c r="AC172" s="22">
        <f t="shared" si="163"/>
        <v>0.3014008917075327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-1.1527845344971866E-13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272.93635583300755</v>
      </c>
      <c r="AO172" s="59">
        <f t="shared" si="144"/>
        <v>179.56041631665812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0.23811617828029197</v>
      </c>
      <c r="AV172" s="21">
        <f>EXP(-LN(2)/25)*AV171+(1-EXP(-LN(2)/25))/(LN(2)/25)*Calculateur!AQ172*Calculateur!AS172*VLOOKUP('Données projet'!$B$10,Paramètres!$A$1:$I$89,3,0)*0.475*44/12</f>
        <v>9.9660683116080617E-2</v>
      </c>
      <c r="AW172" s="21">
        <f>EXP(-LN(2)/2)*AW171+(1-EXP(-LN(2)/2))/(LN(2)/2)*AQ172*AT172*VLOOKUP('Données projet'!$B$10,Paramètres!$A$1:$I$89,3,0)*0.475*44/12</f>
        <v>8.1926458270561434E-21</v>
      </c>
      <c r="AX172" s="21">
        <f t="shared" si="166"/>
        <v>0.33777686139637259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226.0452828290525</v>
      </c>
      <c r="BJ172" s="59">
        <f t="shared" si="146"/>
        <v>179.89696397462069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0.57860656781713182</v>
      </c>
      <c r="BQ172" s="21">
        <f>EXP(-LN(2)/25)*BQ171+(1-EXP(-LN(2)/25))/(LN(2)/25)*Calculateur!BL172*Calculateur!BN172*VLOOKUP('Données projet'!$B$11,Paramètres!$A$1:$I$89,3,0)*0.475*44/12</f>
        <v>0.23637389472994186</v>
      </c>
      <c r="BR172" s="21">
        <f>EXP(-LN(2)/2)*BR171+(1-EXP(-LN(2)/2))/(LN(2)/2)*BL172*BO172*VLOOKUP('Données projet'!$B$11,Paramètres!$A$1:$I$89,3,0)*0.475*44/12</f>
        <v>1.3228403475638388E-20</v>
      </c>
      <c r="BS172" s="22">
        <f t="shared" si="169"/>
        <v>0.81498046254707368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-1.7053025658242404E-13</v>
      </c>
      <c r="BZ172" s="13">
        <f>BY172*VLOOKUP('Données projet'!$B$12,Paramètres!$A$1:$I$89,3,0)*VLOOKUP('Données projet'!$B$12,Paramètres!$A$1:$I$89,5,0)</f>
        <v>-1.3567387213697657E-13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219.43439115440339</v>
      </c>
      <c r="CE172" s="59">
        <f t="shared" si="148"/>
        <v>217.8880462742099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0.53685742537065606</v>
      </c>
      <c r="CL172" s="21">
        <f>EXP(-LN(2)/25)*CL171+(1-EXP(-LN(2)/25))/(LN(2)/25)*Calculateur!CG172*Calculateur!CI172*VLOOKUP('Données projet'!$B$12,Paramètres!$A$1:$I$89,3,0)*0.475*44/12</f>
        <v>0.22919729275262904</v>
      </c>
      <c r="CM172" s="21">
        <f>EXP(-LN(2)/2)*CM171+(1-EXP(-LN(2)/2))/(LN(2)/2)*CG172*CJ172*VLOOKUP('Données projet'!$B$12,Paramètres!$A$1:$I$89,3,0)*0.475*44/12</f>
        <v>1.0748205456140256E-20</v>
      </c>
      <c r="CN172" s="22">
        <f t="shared" si="172"/>
        <v>0.76605471812328507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237.64646718446005</v>
      </c>
      <c r="T173" s="59">
        <f t="shared" si="142"/>
        <v>156.67965022779907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0.20830643361727874</v>
      </c>
      <c r="AA173" s="21">
        <f>EXP(-LN(2)/25)*AA172+(1-EXP(-LN(2)/25))/(LN(2)/25)*Calculateur!V173*Calculateur!X173*VLOOKUP('Données projet'!$B$9,Paramètres!$A$1:$I$89,3,0)*0.475*44/12</f>
        <v>8.6496253488153096E-2</v>
      </c>
      <c r="AB173" s="21">
        <f>EXP(-LN(2)/2)*AB172+(1-EXP(-LN(2)/2))/(LN(2)/2)*V173*Y173*VLOOKUP('Données projet'!$B$9,Paramètres!$A$1:$I$89,3,0)*0.475*44/12</f>
        <v>5.1692057595372608E-21</v>
      </c>
      <c r="AC173" s="22">
        <f t="shared" si="163"/>
        <v>0.29480268710543184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-1.1527845344971866E-13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272.93635583300755</v>
      </c>
      <c r="AO173" s="59">
        <f t="shared" si="144"/>
        <v>179.56041631665812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0.23344686526074326</v>
      </c>
      <c r="AV173" s="21">
        <f>EXP(-LN(2)/25)*AV172+(1-EXP(-LN(2)/25))/(LN(2)/25)*Calculateur!AQ173*Calculateur!AS173*VLOOKUP('Données projet'!$B$10,Paramètres!$A$1:$I$89,3,0)*0.475*44/12</f>
        <v>9.6935456495343839E-2</v>
      </c>
      <c r="AW173" s="21">
        <f>EXP(-LN(2)/2)*AW172+(1-EXP(-LN(2)/2))/(LN(2)/2)*AQ173*AT173*VLOOKUP('Données projet'!$B$10,Paramètres!$A$1:$I$89,3,0)*0.475*44/12</f>
        <v>5.7930754201710702E-21</v>
      </c>
      <c r="AX173" s="21">
        <f t="shared" si="166"/>
        <v>0.33038232175608712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226.0452828290525</v>
      </c>
      <c r="BJ173" s="59">
        <f t="shared" si="146"/>
        <v>179.89696397462069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0.56726044593739677</v>
      </c>
      <c r="BQ173" s="21">
        <f>EXP(-LN(2)/25)*BQ172+(1-EXP(-LN(2)/25))/(LN(2)/25)*Calculateur!BL173*Calculateur!BN173*VLOOKUP('Données projet'!$B$11,Paramètres!$A$1:$I$89,3,0)*0.475*44/12</f>
        <v>0.2299102381481887</v>
      </c>
      <c r="BR173" s="21">
        <f>EXP(-LN(2)/2)*BR172+(1-EXP(-LN(2)/2))/(LN(2)/2)*BL173*BO173*VLOOKUP('Données projet'!$B$11,Paramètres!$A$1:$I$89,3,0)*0.475*44/12</f>
        <v>9.353893801895599E-21</v>
      </c>
      <c r="BS173" s="22">
        <f t="shared" si="169"/>
        <v>0.79717068408558545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-1.7053025658242404E-13</v>
      </c>
      <c r="BZ173" s="13">
        <f>BY173*VLOOKUP('Données projet'!$B$12,Paramètres!$A$1:$I$89,3,0)*VLOOKUP('Données projet'!$B$12,Paramètres!$A$1:$I$89,5,0)</f>
        <v>-1.3567387213697657E-13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219.43439115440339</v>
      </c>
      <c r="CE173" s="59">
        <f t="shared" si="148"/>
        <v>217.8880462742099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0.52632997870983389</v>
      </c>
      <c r="CL173" s="21">
        <f>EXP(-LN(2)/25)*CL172+(1-EXP(-LN(2)/25))/(LN(2)/25)*Calculateur!CG173*Calculateur!CI173*VLOOKUP('Données projet'!$B$12,Paramètres!$A$1:$I$89,3,0)*0.475*44/12</f>
        <v>0.22292988072934661</v>
      </c>
      <c r="CM173" s="21">
        <f>EXP(-LN(2)/2)*CM172+(1-EXP(-LN(2)/2))/(LN(2)/2)*CG173*CJ173*VLOOKUP('Données projet'!$B$12,Paramètres!$A$1:$I$89,3,0)*0.475*44/12</f>
        <v>7.600128963623024E-21</v>
      </c>
      <c r="CN173" s="22">
        <f t="shared" si="172"/>
        <v>0.7492598594391805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237.64646718446005</v>
      </c>
      <c r="T174" s="59">
        <f t="shared" si="142"/>
        <v>156.67965022779907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0.20422167150842283</v>
      </c>
      <c r="AA174" s="21">
        <f>EXP(-LN(2)/25)*AA173+(1-EXP(-LN(2)/25))/(LN(2)/25)*Calculateur!V174*Calculateur!X174*VLOOKUP('Données projet'!$B$9,Paramètres!$A$1:$I$89,3,0)*0.475*44/12</f>
        <v>8.4131008887879263E-2</v>
      </c>
      <c r="AB174" s="21">
        <f>EXP(-LN(2)/2)*AB173+(1-EXP(-LN(2)/2))/(LN(2)/2)*V174*Y174*VLOOKUP('Données projet'!$B$9,Paramètres!$A$1:$I$89,3,0)*0.475*44/12</f>
        <v>3.6551804459173551E-21</v>
      </c>
      <c r="AC174" s="22">
        <f t="shared" si="163"/>
        <v>0.28835268039630207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-1.1527845344971866E-13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272.93635583300755</v>
      </c>
      <c r="AO174" s="59">
        <f t="shared" si="144"/>
        <v>179.56041631665812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0.22886911462150819</v>
      </c>
      <c r="AV174" s="21">
        <f>EXP(-LN(2)/25)*AV173+(1-EXP(-LN(2)/25))/(LN(2)/25)*Calculateur!AQ174*Calculateur!AS174*VLOOKUP('Données projet'!$B$10,Paramètres!$A$1:$I$89,3,0)*0.475*44/12</f>
        <v>9.4284751339864553E-2</v>
      </c>
      <c r="AW174" s="21">
        <f>EXP(-LN(2)/2)*AW173+(1-EXP(-LN(2)/2))/(LN(2)/2)*AQ174*AT174*VLOOKUP('Données projet'!$B$10,Paramètres!$A$1:$I$89,3,0)*0.475*44/12</f>
        <v>4.0963229135280717E-21</v>
      </c>
      <c r="AX174" s="21">
        <f t="shared" si="166"/>
        <v>0.32315386596137274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226.0452828290525</v>
      </c>
      <c r="BJ174" s="59">
        <f t="shared" si="146"/>
        <v>179.89696397462069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0.55613681458727227</v>
      </c>
      <c r="BQ174" s="21">
        <f>EXP(-LN(2)/25)*BQ173+(1-EXP(-LN(2)/25))/(LN(2)/25)*Calculateur!BL174*Calculateur!BN174*VLOOKUP('Données projet'!$B$11,Paramètres!$A$1:$I$89,3,0)*0.475*44/12</f>
        <v>0.22362333059557252</v>
      </c>
      <c r="BR174" s="21">
        <f>EXP(-LN(2)/2)*BR173+(1-EXP(-LN(2)/2))/(LN(2)/2)*BL174*BO174*VLOOKUP('Données projet'!$B$11,Paramètres!$A$1:$I$89,3,0)*0.475*44/12</f>
        <v>6.6142017378191949E-21</v>
      </c>
      <c r="BS174" s="22">
        <f t="shared" si="169"/>
        <v>0.77976014518284475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-1.7053025658242404E-13</v>
      </c>
      <c r="BZ174" s="13">
        <f>BY174*VLOOKUP('Données projet'!$B$12,Paramètres!$A$1:$I$89,3,0)*VLOOKUP('Données projet'!$B$12,Paramètres!$A$1:$I$89,5,0)</f>
        <v>-1.3567387213697657E-13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219.43439115440339</v>
      </c>
      <c r="CE174" s="59">
        <f t="shared" si="148"/>
        <v>217.8880462742099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0.51600896885692205</v>
      </c>
      <c r="CL174" s="21">
        <f>EXP(-LN(2)/25)*CL173+(1-EXP(-LN(2)/25))/(LN(2)/25)*Calculateur!CG174*Calculateur!CI174*VLOOKUP('Données projet'!$B$12,Paramètres!$A$1:$I$89,3,0)*0.475*44/12</f>
        <v>0.21683385141742972</v>
      </c>
      <c r="CM174" s="21">
        <f>EXP(-LN(2)/2)*CM173+(1-EXP(-LN(2)/2))/(LN(2)/2)*CG174*CJ174*VLOOKUP('Données projet'!$B$12,Paramètres!$A$1:$I$89,3,0)*0.475*44/12</f>
        <v>5.374102728070128E-21</v>
      </c>
      <c r="CN174" s="22">
        <f t="shared" si="172"/>
        <v>0.73284282027435177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237.64646718446005</v>
      </c>
      <c r="T175" s="59">
        <f t="shared" si="142"/>
        <v>156.67965022779907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0.2002170090930627</v>
      </c>
      <c r="AA175" s="21">
        <f>EXP(-LN(2)/25)*AA174+(1-EXP(-LN(2)/25))/(LN(2)/25)*Calculateur!V175*Calculateur!X175*VLOOKUP('Données projet'!$B$9,Paramètres!$A$1:$I$89,3,0)*0.475*44/12</f>
        <v>8.1830442025582734E-2</v>
      </c>
      <c r="AB175" s="21">
        <f>EXP(-LN(2)/2)*AB174+(1-EXP(-LN(2)/2))/(LN(2)/2)*V175*Y175*VLOOKUP('Données projet'!$B$9,Paramètres!$A$1:$I$89,3,0)*0.475*44/12</f>
        <v>2.5846028797686304E-21</v>
      </c>
      <c r="AC175" s="22">
        <f t="shared" si="163"/>
        <v>0.28204745111864543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-1.1527845344971866E-13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272.93635583300755</v>
      </c>
      <c r="AO175" s="59">
        <f t="shared" si="144"/>
        <v>179.56041631665812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0.22438113088015635</v>
      </c>
      <c r="AV175" s="21">
        <f>EXP(-LN(2)/25)*AV174+(1-EXP(-LN(2)/25))/(LN(2)/25)*Calculateur!AQ175*Calculateur!AS175*VLOOKUP('Données projet'!$B$10,Paramètres!$A$1:$I$89,3,0)*0.475*44/12</f>
        <v>9.170652985625638E-2</v>
      </c>
      <c r="AW175" s="21">
        <f>EXP(-LN(2)/2)*AW174+(1-EXP(-LN(2)/2))/(LN(2)/2)*AQ175*AT175*VLOOKUP('Données projet'!$B$10,Paramètres!$A$1:$I$89,3,0)*0.475*44/12</f>
        <v>2.8965377100855351E-21</v>
      </c>
      <c r="AX175" s="21">
        <f t="shared" si="166"/>
        <v>0.3160876607364127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226.0452828290525</v>
      </c>
      <c r="BJ175" s="59">
        <f t="shared" si="146"/>
        <v>179.89696397462069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0.54523131086317855</v>
      </c>
      <c r="BQ175" s="21">
        <f>EXP(-LN(2)/25)*BQ174+(1-EXP(-LN(2)/25))/(LN(2)/25)*Calculateur!BL175*Calculateur!BN175*VLOOKUP('Données projet'!$B$11,Paramètres!$A$1:$I$89,3,0)*0.475*44/12</f>
        <v>0.21750833886059673</v>
      </c>
      <c r="BR175" s="21">
        <f>EXP(-LN(2)/2)*BR174+(1-EXP(-LN(2)/2))/(LN(2)/2)*BL175*BO175*VLOOKUP('Données projet'!$B$11,Paramètres!$A$1:$I$89,3,0)*0.475*44/12</f>
        <v>4.6769469009478003E-21</v>
      </c>
      <c r="BS175" s="22">
        <f t="shared" si="169"/>
        <v>0.76273964972377528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-1.7053025658242404E-13</v>
      </c>
      <c r="BZ175" s="13">
        <f>BY175*VLOOKUP('Données projet'!$B$12,Paramètres!$A$1:$I$89,3,0)*VLOOKUP('Données projet'!$B$12,Paramètres!$A$1:$I$89,5,0)</f>
        <v>-1.3567387213697657E-13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219.43439115440339</v>
      </c>
      <c r="CE175" s="59">
        <f t="shared" si="148"/>
        <v>217.8880462742099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0.50589034771203134</v>
      </c>
      <c r="CL175" s="21">
        <f>EXP(-LN(2)/25)*CL174+(1-EXP(-LN(2)/25))/(LN(2)/25)*Calculateur!CG175*Calculateur!CI175*VLOOKUP('Données projet'!$B$12,Paramètres!$A$1:$I$89,3,0)*0.475*44/12</f>
        <v>0.21090451834762344</v>
      </c>
      <c r="CM175" s="21">
        <f>EXP(-LN(2)/2)*CM174+(1-EXP(-LN(2)/2))/(LN(2)/2)*CG175*CJ175*VLOOKUP('Données projet'!$B$12,Paramètres!$A$1:$I$89,3,0)*0.475*44/12</f>
        <v>3.800064481811512E-21</v>
      </c>
      <c r="CN175" s="22">
        <f t="shared" si="172"/>
        <v>0.71679486605965481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237.64646718446005</v>
      </c>
      <c r="T176" s="59">
        <f t="shared" si="142"/>
        <v>156.67965022779907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0.1962908756650649</v>
      </c>
      <c r="AA176" s="21">
        <f>EXP(-LN(2)/25)*AA175+(1-EXP(-LN(2)/25))/(LN(2)/25)*Calculateur!V176*Calculateur!X176*VLOOKUP('Données projet'!$B$9,Paramètres!$A$1:$I$89,3,0)*0.475*44/12</f>
        <v>7.9592784285117249E-2</v>
      </c>
      <c r="AB176" s="21">
        <f>EXP(-LN(2)/2)*AB175+(1-EXP(-LN(2)/2))/(LN(2)/2)*V176*Y176*VLOOKUP('Données projet'!$B$9,Paramètres!$A$1:$I$89,3,0)*0.475*44/12</f>
        <v>1.8275902229586775E-21</v>
      </c>
      <c r="AC176" s="22">
        <f t="shared" si="163"/>
        <v>0.27588365995018216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-1.1527845344971866E-13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272.93635583300755</v>
      </c>
      <c r="AO176" s="59">
        <f t="shared" si="144"/>
        <v>179.56041631665812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0.21998115376257263</v>
      </c>
      <c r="AV176" s="21">
        <f>EXP(-LN(2)/25)*AV175+(1-EXP(-LN(2)/25))/(LN(2)/25)*Calculateur!AQ176*Calculateur!AS176*VLOOKUP('Données projet'!$B$10,Paramètres!$A$1:$I$89,3,0)*0.475*44/12</f>
        <v>8.9198809974700241E-2</v>
      </c>
      <c r="AW176" s="21">
        <f>EXP(-LN(2)/2)*AW175+(1-EXP(-LN(2)/2))/(LN(2)/2)*AQ176*AT176*VLOOKUP('Données projet'!$B$10,Paramètres!$A$1:$I$89,3,0)*0.475*44/12</f>
        <v>2.0481614567640359E-21</v>
      </c>
      <c r="AX176" s="21">
        <f t="shared" si="166"/>
        <v>0.30917996373727286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226.0452828290525</v>
      </c>
      <c r="BJ176" s="59">
        <f t="shared" si="146"/>
        <v>179.89696397462069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0.53453965741541387</v>
      </c>
      <c r="BQ176" s="21">
        <f>EXP(-LN(2)/25)*BQ175+(1-EXP(-LN(2)/25))/(LN(2)/25)*Calculateur!BL176*Calculateur!BN176*VLOOKUP('Données projet'!$B$11,Paramètres!$A$1:$I$89,3,0)*0.475*44/12</f>
        <v>0.2115605618961873</v>
      </c>
      <c r="BR176" s="21">
        <f>EXP(-LN(2)/2)*BR175+(1-EXP(-LN(2)/2))/(LN(2)/2)*BL176*BO176*VLOOKUP('Données projet'!$B$11,Paramètres!$A$1:$I$89,3,0)*0.475*44/12</f>
        <v>3.3071008689095978E-21</v>
      </c>
      <c r="BS176" s="22">
        <f t="shared" si="169"/>
        <v>0.7461002193116012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-1.7053025658242404E-13</v>
      </c>
      <c r="BZ176" s="13">
        <f>BY176*VLOOKUP('Données projet'!$B$12,Paramètres!$A$1:$I$89,3,0)*VLOOKUP('Données projet'!$B$12,Paramètres!$A$1:$I$89,5,0)</f>
        <v>-1.3567387213697657E-13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219.43439115440339</v>
      </c>
      <c r="CE176" s="59">
        <f t="shared" si="148"/>
        <v>217.8880462742099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0.49597014655604249</v>
      </c>
      <c r="CL176" s="21">
        <f>EXP(-LN(2)/25)*CL175+(1-EXP(-LN(2)/25))/(LN(2)/25)*Calculateur!CG176*Calculateur!CI176*VLOOKUP('Données projet'!$B$12,Paramètres!$A$1:$I$89,3,0)*0.475*44/12</f>
        <v>0.20513732320242109</v>
      </c>
      <c r="CM176" s="21">
        <f>EXP(-LN(2)/2)*CM175+(1-EXP(-LN(2)/2))/(LN(2)/2)*CG176*CJ176*VLOOKUP('Données projet'!$B$12,Paramètres!$A$1:$I$89,3,0)*0.475*44/12</f>
        <v>2.687051364035064E-21</v>
      </c>
      <c r="CN176" s="22">
        <f t="shared" si="172"/>
        <v>0.70110746975846361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237.64646718446005</v>
      </c>
      <c r="T177" s="59">
        <f t="shared" si="142"/>
        <v>156.67965022779907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0.1924417313188852</v>
      </c>
      <c r="AA177" s="21">
        <f>EXP(-LN(2)/25)*AA176+(1-EXP(-LN(2)/25))/(LN(2)/25)*Calculateur!V177*Calculateur!X177*VLOOKUP('Données projet'!$B$9,Paramètres!$A$1:$I$89,3,0)*0.475*44/12</f>
        <v>7.741631541323811E-2</v>
      </c>
      <c r="AB177" s="21">
        <f>EXP(-LN(2)/2)*AB176+(1-EXP(-LN(2)/2))/(LN(2)/2)*V177*Y177*VLOOKUP('Données projet'!$B$9,Paramètres!$A$1:$I$89,3,0)*0.475*44/12</f>
        <v>1.2923014398843152E-21</v>
      </c>
      <c r="AC177" s="22">
        <f t="shared" si="163"/>
        <v>0.26985804673212332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-1.1527845344971866E-13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272.93635583300755</v>
      </c>
      <c r="AO177" s="59">
        <f t="shared" si="144"/>
        <v>179.56041631665812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0.21566745751254368</v>
      </c>
      <c r="AV177" s="21">
        <f>EXP(-LN(2)/25)*AV176+(1-EXP(-LN(2)/25))/(LN(2)/25)*Calculateur!AQ177*Calculateur!AS177*VLOOKUP('Données projet'!$B$10,Paramètres!$A$1:$I$89,3,0)*0.475*44/12</f>
        <v>8.6759663825180508E-2</v>
      </c>
      <c r="AW177" s="21">
        <f>EXP(-LN(2)/2)*AW176+(1-EXP(-LN(2)/2))/(LN(2)/2)*AQ177*AT177*VLOOKUP('Données projet'!$B$10,Paramètres!$A$1:$I$89,3,0)*0.475*44/12</f>
        <v>1.4482688550427675E-21</v>
      </c>
      <c r="AX177" s="21">
        <f t="shared" si="166"/>
        <v>0.3024271213377242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226.0452828290525</v>
      </c>
      <c r="BJ177" s="59">
        <f t="shared" si="146"/>
        <v>179.89696397462069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0.5240576607704952</v>
      </c>
      <c r="BQ177" s="21">
        <f>EXP(-LN(2)/25)*BQ176+(1-EXP(-LN(2)/25))/(LN(2)/25)*Calculateur!BL177*Calculateur!BN177*VLOOKUP('Données projet'!$B$11,Paramètres!$A$1:$I$89,3,0)*0.475*44/12</f>
        <v>0.20577542720564965</v>
      </c>
      <c r="BR177" s="21">
        <f>EXP(-LN(2)/2)*BR176+(1-EXP(-LN(2)/2))/(LN(2)/2)*BL177*BO177*VLOOKUP('Données projet'!$B$11,Paramètres!$A$1:$I$89,3,0)*0.475*44/12</f>
        <v>2.3384734504739005E-21</v>
      </c>
      <c r="BS177" s="22">
        <f t="shared" si="169"/>
        <v>0.72983308797614488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-1.7053025658242404E-13</v>
      </c>
      <c r="BZ177" s="13">
        <f>BY177*VLOOKUP('Données projet'!$B$12,Paramètres!$A$1:$I$89,3,0)*VLOOKUP('Données projet'!$B$12,Paramètres!$A$1:$I$89,5,0)</f>
        <v>-1.3567387213697657E-13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219.43439115440339</v>
      </c>
      <c r="CE177" s="59">
        <f t="shared" si="148"/>
        <v>217.8880462742099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0.48624447449399733</v>
      </c>
      <c r="CL177" s="21">
        <f>EXP(-LN(2)/25)*CL176+(1-EXP(-LN(2)/25))/(LN(2)/25)*Calculateur!CG177*Calculateur!CI177*VLOOKUP('Données projet'!$B$12,Paramètres!$A$1:$I$89,3,0)*0.475*44/12</f>
        <v>0.19952783231174789</v>
      </c>
      <c r="CM177" s="21">
        <f>EXP(-LN(2)/2)*CM176+(1-EXP(-LN(2)/2))/(LN(2)/2)*CG177*CJ177*VLOOKUP('Données projet'!$B$12,Paramètres!$A$1:$I$89,3,0)*0.475*44/12</f>
        <v>1.900032240905756E-21</v>
      </c>
      <c r="CN177" s="22">
        <f t="shared" si="172"/>
        <v>0.68577230680574519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237.64646718446005</v>
      </c>
      <c r="T178" s="59">
        <f t="shared" si="142"/>
        <v>156.67965022779907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0.18866806634558786</v>
      </c>
      <c r="AA178" s="21">
        <f>EXP(-LN(2)/25)*AA177+(1-EXP(-LN(2)/25))/(LN(2)/25)*Calculateur!V178*Calculateur!X178*VLOOKUP('Données projet'!$B$9,Paramètres!$A$1:$I$89,3,0)*0.475*44/12</f>
        <v>7.5299362197116027E-2</v>
      </c>
      <c r="AB178" s="21">
        <f>EXP(-LN(2)/2)*AB177+(1-EXP(-LN(2)/2))/(LN(2)/2)*V178*Y178*VLOOKUP('Données projet'!$B$9,Paramètres!$A$1:$I$89,3,0)*0.475*44/12</f>
        <v>9.1379511147933877E-22</v>
      </c>
      <c r="AC178" s="22">
        <f t="shared" si="163"/>
        <v>0.26396742854270389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-1.1527845344971866E-13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272.93635583300755</v>
      </c>
      <c r="AO178" s="59">
        <f t="shared" si="144"/>
        <v>179.56041631665812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0.21143835021488289</v>
      </c>
      <c r="AV178" s="21">
        <f>EXP(-LN(2)/25)*AV177+(1-EXP(-LN(2)/25))/(LN(2)/25)*Calculateur!AQ178*Calculateur!AS178*VLOOKUP('Données projet'!$B$10,Paramètres!$A$1:$I$89,3,0)*0.475*44/12</f>
        <v>8.4387216255388517E-2</v>
      </c>
      <c r="AW178" s="21">
        <f>EXP(-LN(2)/2)*AW177+(1-EXP(-LN(2)/2))/(LN(2)/2)*AQ178*AT178*VLOOKUP('Données projet'!$B$10,Paramètres!$A$1:$I$89,3,0)*0.475*44/12</f>
        <v>1.0240807283820179E-21</v>
      </c>
      <c r="AX178" s="21">
        <f t="shared" si="166"/>
        <v>0.29582556647027142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226.0452828290525</v>
      </c>
      <c r="BJ178" s="59">
        <f t="shared" si="146"/>
        <v>179.89696397462069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0.51378120968639662</v>
      </c>
      <c r="BQ178" s="21">
        <f>EXP(-LN(2)/25)*BQ177+(1-EXP(-LN(2)/25))/(LN(2)/25)*Calculateur!BL178*Calculateur!BN178*VLOOKUP('Données projet'!$B$11,Paramètres!$A$1:$I$89,3,0)*0.475*44/12</f>
        <v>0.20014848732745175</v>
      </c>
      <c r="BR178" s="21">
        <f>EXP(-LN(2)/2)*BR177+(1-EXP(-LN(2)/2))/(LN(2)/2)*BL178*BO178*VLOOKUP('Données projet'!$B$11,Paramètres!$A$1:$I$89,3,0)*0.475*44/12</f>
        <v>1.6535504344547993E-21</v>
      </c>
      <c r="BS178" s="22">
        <f t="shared" si="169"/>
        <v>0.71392969701384834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-1.7053025658242404E-13</v>
      </c>
      <c r="BZ178" s="13">
        <f>BY178*VLOOKUP('Données projet'!$B$12,Paramètres!$A$1:$I$89,3,0)*VLOOKUP('Données projet'!$B$12,Paramètres!$A$1:$I$89,5,0)</f>
        <v>-1.3567387213697657E-13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219.43439115440339</v>
      </c>
      <c r="CE178" s="59">
        <f t="shared" si="148"/>
        <v>217.8880462742099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0.47670951692901464</v>
      </c>
      <c r="CL178" s="21">
        <f>EXP(-LN(2)/25)*CL177+(1-EXP(-LN(2)/25))/(LN(2)/25)*Calculateur!CG178*Calculateur!CI178*VLOOKUP('Données projet'!$B$12,Paramètres!$A$1:$I$89,3,0)*0.475*44/12</f>
        <v>0.19407173324447047</v>
      </c>
      <c r="CM178" s="21">
        <f>EXP(-LN(2)/2)*CM177+(1-EXP(-LN(2)/2))/(LN(2)/2)*CG178*CJ178*VLOOKUP('Données projet'!$B$12,Paramètres!$A$1:$I$89,3,0)*0.475*44/12</f>
        <v>1.343525682017532E-21</v>
      </c>
      <c r="CN178" s="22">
        <f t="shared" si="172"/>
        <v>0.67078125017348511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237.64646718446005</v>
      </c>
      <c r="T179" s="59">
        <f t="shared" si="142"/>
        <v>156.67965022779907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0.18496840064070852</v>
      </c>
      <c r="AA179" s="21">
        <f>EXP(-LN(2)/25)*AA178+(1-EXP(-LN(2)/25))/(LN(2)/25)*Calculateur!V179*Calculateur!X179*VLOOKUP('Données projet'!$B$9,Paramètres!$A$1:$I$89,3,0)*0.475*44/12</f>
        <v>7.324029717801453E-2</v>
      </c>
      <c r="AB179" s="21">
        <f>EXP(-LN(2)/2)*AB178+(1-EXP(-LN(2)/2))/(LN(2)/2)*V179*Y179*VLOOKUP('Données projet'!$B$9,Paramètres!$A$1:$I$89,3,0)*0.475*44/12</f>
        <v>6.461507199421576E-22</v>
      </c>
      <c r="AC179" s="22">
        <f t="shared" si="163"/>
        <v>0.25820869781872302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-1.1527845344971866E-13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272.93635583300755</v>
      </c>
      <c r="AO179" s="59">
        <f t="shared" si="144"/>
        <v>179.56041631665812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0.20729217313182846</v>
      </c>
      <c r="AV179" s="21">
        <f>EXP(-LN(2)/25)*AV178+(1-EXP(-LN(2)/25))/(LN(2)/25)*Calculateur!AQ179*Calculateur!AS179*VLOOKUP('Données projet'!$B$10,Paramètres!$A$1:$I$89,3,0)*0.475*44/12</f>
        <v>8.2079643389154078E-2</v>
      </c>
      <c r="AW179" s="21">
        <f>EXP(-LN(2)/2)*AW178+(1-EXP(-LN(2)/2))/(LN(2)/2)*AQ179*AT179*VLOOKUP('Données projet'!$B$10,Paramètres!$A$1:$I$89,3,0)*0.475*44/12</f>
        <v>7.2413442752138377E-22</v>
      </c>
      <c r="AX179" s="21">
        <f t="shared" si="166"/>
        <v>0.28937181652098254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226.0452828290525</v>
      </c>
      <c r="BJ179" s="59">
        <f t="shared" si="146"/>
        <v>179.89696397462069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0.50370627354004105</v>
      </c>
      <c r="BQ179" s="21">
        <f>EXP(-LN(2)/25)*BQ178+(1-EXP(-LN(2)/25))/(LN(2)/25)*Calculateur!BL179*Calculateur!BN179*VLOOKUP('Données projet'!$B$11,Paramètres!$A$1:$I$89,3,0)*0.475*44/12</f>
        <v>0.19467541641613106</v>
      </c>
      <c r="BR179" s="21">
        <f>EXP(-LN(2)/2)*BR178+(1-EXP(-LN(2)/2))/(LN(2)/2)*BL179*BO179*VLOOKUP('Données projet'!$B$11,Paramètres!$A$1:$I$89,3,0)*0.475*44/12</f>
        <v>1.1692367252369504E-21</v>
      </c>
      <c r="BS179" s="22">
        <f t="shared" si="169"/>
        <v>0.69838168995617211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-1.7053025658242404E-13</v>
      </c>
      <c r="BZ179" s="13">
        <f>BY179*VLOOKUP('Données projet'!$B$12,Paramètres!$A$1:$I$89,3,0)*VLOOKUP('Données projet'!$B$12,Paramètres!$A$1:$I$89,5,0)</f>
        <v>-1.3567387213697657E-13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219.43439115440339</v>
      </c>
      <c r="CE179" s="59">
        <f t="shared" si="148"/>
        <v>217.8880462742099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0.4673615340661314</v>
      </c>
      <c r="CL179" s="21">
        <f>EXP(-LN(2)/25)*CL178+(1-EXP(-LN(2)/25))/(LN(2)/25)*Calculateur!CG179*Calculateur!CI179*VLOOKUP('Données projet'!$B$12,Paramètres!$A$1:$I$89,3,0)*0.475*44/12</f>
        <v>0.18876483149311152</v>
      </c>
      <c r="CM179" s="21">
        <f>EXP(-LN(2)/2)*CM178+(1-EXP(-LN(2)/2))/(LN(2)/2)*CG179*CJ179*VLOOKUP('Données projet'!$B$12,Paramètres!$A$1:$I$89,3,0)*0.475*44/12</f>
        <v>9.50016120452878E-22</v>
      </c>
      <c r="CN179" s="22">
        <f t="shared" si="172"/>
        <v>0.65612636555924286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237.64646718446005</v>
      </c>
      <c r="T180" s="59">
        <f t="shared" si="142"/>
        <v>156.67965022779907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0.1813412831237286</v>
      </c>
      <c r="AA180" s="21">
        <f>EXP(-LN(2)/25)*AA179+(1-EXP(-LN(2)/25))/(LN(2)/25)*Calculateur!V180*Calculateur!X180*VLOOKUP('Données projet'!$B$9,Paramètres!$A$1:$I$89,3,0)*0.475*44/12</f>
        <v>7.1237537400141882E-2</v>
      </c>
      <c r="AB180" s="21">
        <f>EXP(-LN(2)/2)*AB179+(1-EXP(-LN(2)/2))/(LN(2)/2)*V180*Y180*VLOOKUP('Données projet'!$B$9,Paramètres!$A$1:$I$89,3,0)*0.475*44/12</f>
        <v>4.5689755573966939E-22</v>
      </c>
      <c r="AC180" s="22">
        <f t="shared" si="163"/>
        <v>0.25257882052387048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-1.1527845344971866E-13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272.93635583300755</v>
      </c>
      <c r="AO180" s="59">
        <f t="shared" si="144"/>
        <v>179.56041631665812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0.20322730005245443</v>
      </c>
      <c r="AV180" s="21">
        <f>EXP(-LN(2)/25)*AV179+(1-EXP(-LN(2)/25))/(LN(2)/25)*Calculateur!AQ180*Calculateur!AS180*VLOOKUP('Données projet'!$B$10,Paramètres!$A$1:$I$89,3,0)*0.475*44/12</f>
        <v>7.9835171224296814E-2</v>
      </c>
      <c r="AW180" s="21">
        <f>EXP(-LN(2)/2)*AW179+(1-EXP(-LN(2)/2))/(LN(2)/2)*AQ180*AT180*VLOOKUP('Données projet'!$B$10,Paramètres!$A$1:$I$89,3,0)*0.475*44/12</f>
        <v>5.1204036419100896E-22</v>
      </c>
      <c r="AX180" s="21">
        <f t="shared" si="166"/>
        <v>0.28306247127675122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226.0452828290525</v>
      </c>
      <c r="BJ180" s="59">
        <f t="shared" si="146"/>
        <v>179.89696397462069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0.49382890074641123</v>
      </c>
      <c r="BQ180" s="21">
        <f>EXP(-LN(2)/25)*BQ179+(1-EXP(-LN(2)/25))/(LN(2)/25)*Calculateur!BL180*Calculateur!BN180*VLOOKUP('Données projet'!$B$11,Paramètres!$A$1:$I$89,3,0)*0.475*44/12</f>
        <v>0.18935200691669674</v>
      </c>
      <c r="BR180" s="21">
        <f>EXP(-LN(2)/2)*BR179+(1-EXP(-LN(2)/2))/(LN(2)/2)*BL180*BO180*VLOOKUP('Données projet'!$B$11,Paramètres!$A$1:$I$89,3,0)*0.475*44/12</f>
        <v>8.2677521722739973E-22</v>
      </c>
      <c r="BS180" s="22">
        <f t="shared" si="169"/>
        <v>0.68318090766310791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-1.7053025658242404E-13</v>
      </c>
      <c r="BZ180" s="13">
        <f>BY180*VLOOKUP('Données projet'!$B$12,Paramètres!$A$1:$I$89,3,0)*VLOOKUP('Données projet'!$B$12,Paramètres!$A$1:$I$89,5,0)</f>
        <v>-1.3567387213697657E-13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219.43439115440339</v>
      </c>
      <c r="CE180" s="59">
        <f t="shared" si="148"/>
        <v>217.8880462742099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0.45819685944548277</v>
      </c>
      <c r="CL180" s="21">
        <f>EXP(-LN(2)/25)*CL179+(1-EXP(-LN(2)/25))/(LN(2)/25)*Calculateur!CG180*Calculateur!CI180*VLOOKUP('Données projet'!$B$12,Paramètres!$A$1:$I$89,3,0)*0.475*44/12</f>
        <v>0.18360304724922133</v>
      </c>
      <c r="CM180" s="21">
        <f>EXP(-LN(2)/2)*CM179+(1-EXP(-LN(2)/2))/(LN(2)/2)*CG180*CJ180*VLOOKUP('Données projet'!$B$12,Paramètres!$A$1:$I$89,3,0)*0.475*44/12</f>
        <v>6.71762841008766E-22</v>
      </c>
      <c r="CN180" s="22">
        <f t="shared" si="172"/>
        <v>0.6417999066947041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237.64646718446005</v>
      </c>
      <c r="T181" s="59">
        <f t="shared" si="142"/>
        <v>156.67965022779907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0.17778529116893343</v>
      </c>
      <c r="AA181" s="21">
        <f>EXP(-LN(2)/25)*AA180+(1-EXP(-LN(2)/25))/(LN(2)/25)*Calculateur!V181*Calculateur!X181*VLOOKUP('Données projet'!$B$9,Paramètres!$A$1:$I$89,3,0)*0.475*44/12</f>
        <v>6.9289543193715719E-2</v>
      </c>
      <c r="AB181" s="21">
        <f>EXP(-LN(2)/2)*AB180+(1-EXP(-LN(2)/2))/(LN(2)/2)*V181*Y181*VLOOKUP('Données projet'!$B$9,Paramètres!$A$1:$I$89,3,0)*0.475*44/12</f>
        <v>3.230753599710788E-22</v>
      </c>
      <c r="AC181" s="22">
        <f t="shared" si="163"/>
        <v>0.24707483436264915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-1.1527845344971866E-13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272.93635583300755</v>
      </c>
      <c r="AO181" s="59">
        <f t="shared" si="144"/>
        <v>179.56041631665812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0.19924213665483914</v>
      </c>
      <c r="AV181" s="21">
        <f>EXP(-LN(2)/25)*AV180+(1-EXP(-LN(2)/25))/(LN(2)/25)*Calculateur!AQ181*Calculateur!AS181*VLOOKUP('Données projet'!$B$10,Paramètres!$A$1:$I$89,3,0)*0.475*44/12</f>
        <v>7.7652074268819232E-2</v>
      </c>
      <c r="AW181" s="21">
        <f>EXP(-LN(2)/2)*AW180+(1-EXP(-LN(2)/2))/(LN(2)/2)*AQ181*AT181*VLOOKUP('Données projet'!$B$10,Paramètres!$A$1:$I$89,3,0)*0.475*44/12</f>
        <v>3.6206721376069189E-22</v>
      </c>
      <c r="AX181" s="21">
        <f t="shared" si="166"/>
        <v>0.2768942109236584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226.0452828290525</v>
      </c>
      <c r="BJ181" s="59">
        <f t="shared" si="146"/>
        <v>179.89696397462069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0.48414521720866194</v>
      </c>
      <c r="BQ181" s="21">
        <f>EXP(-LN(2)/25)*BQ180+(1-EXP(-LN(2)/25))/(LN(2)/25)*Calculateur!BL181*Calculateur!BN181*VLOOKUP('Données projet'!$B$11,Paramètres!$A$1:$I$89,3,0)*0.475*44/12</f>
        <v>0.18417416632997038</v>
      </c>
      <c r="BR181" s="21">
        <f>EXP(-LN(2)/2)*BR180+(1-EXP(-LN(2)/2))/(LN(2)/2)*BL181*BO181*VLOOKUP('Données projet'!$B$11,Paramètres!$A$1:$I$89,3,0)*0.475*44/12</f>
        <v>5.8461836261847531E-22</v>
      </c>
      <c r="BS181" s="22">
        <f t="shared" si="169"/>
        <v>0.66831938353863229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-1.7053025658242404E-13</v>
      </c>
      <c r="BZ181" s="13">
        <f>BY181*VLOOKUP('Données projet'!$B$12,Paramètres!$A$1:$I$89,3,0)*VLOOKUP('Données projet'!$B$12,Paramètres!$A$1:$I$89,5,0)</f>
        <v>-1.3567387213697657E-13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219.43439115440339</v>
      </c>
      <c r="CE181" s="59">
        <f t="shared" si="148"/>
        <v>217.8880462742099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0.44921189850424548</v>
      </c>
      <c r="CL181" s="21">
        <f>EXP(-LN(2)/25)*CL180+(1-EXP(-LN(2)/25))/(LN(2)/25)*Calculateur!CG181*Calculateur!CI181*VLOOKUP('Données projet'!$B$12,Paramètres!$A$1:$I$89,3,0)*0.475*44/12</f>
        <v>0.17858241226692675</v>
      </c>
      <c r="CM181" s="21">
        <f>EXP(-LN(2)/2)*CM180+(1-EXP(-LN(2)/2))/(LN(2)/2)*CG181*CJ181*VLOOKUP('Données projet'!$B$12,Paramètres!$A$1:$I$89,3,0)*0.475*44/12</f>
        <v>4.75008060226439E-22</v>
      </c>
      <c r="CN181" s="22">
        <f t="shared" si="172"/>
        <v>0.6277943107711722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237.64646718446005</v>
      </c>
      <c r="T182" s="59">
        <f t="shared" si="142"/>
        <v>156.67965022779907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0.17429903004743086</v>
      </c>
      <c r="AA182" s="21">
        <f>EXP(-LN(2)/25)*AA181+(1-EXP(-LN(2)/25))/(LN(2)/25)*Calculateur!V182*Calculateur!X182*VLOOKUP('Données projet'!$B$9,Paramètres!$A$1:$I$89,3,0)*0.475*44/12</f>
        <v>6.7394816991304854E-2</v>
      </c>
      <c r="AB182" s="21">
        <f>EXP(-LN(2)/2)*AB181+(1-EXP(-LN(2)/2))/(LN(2)/2)*V182*Y182*VLOOKUP('Données projet'!$B$9,Paramètres!$A$1:$I$89,3,0)*0.475*44/12</f>
        <v>2.2844877786983469E-22</v>
      </c>
      <c r="AC182" s="22">
        <f t="shared" si="163"/>
        <v>0.2416938470387357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-1.1527845344971866E-13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272.93635583300755</v>
      </c>
      <c r="AO182" s="59">
        <f t="shared" si="144"/>
        <v>179.56041631665812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0.19533511988074143</v>
      </c>
      <c r="AV182" s="21">
        <f>EXP(-LN(2)/25)*AV181+(1-EXP(-LN(2)/25))/(LN(2)/25)*Calculateur!AQ182*Calculateur!AS182*VLOOKUP('Données projet'!$B$10,Paramètres!$A$1:$I$89,3,0)*0.475*44/12</f>
        <v>7.5528674214393257E-2</v>
      </c>
      <c r="AW182" s="21">
        <f>EXP(-LN(2)/2)*AW181+(1-EXP(-LN(2)/2))/(LN(2)/2)*AQ182*AT182*VLOOKUP('Données projet'!$B$10,Paramètres!$A$1:$I$89,3,0)*0.475*44/12</f>
        <v>2.5602018209550448E-22</v>
      </c>
      <c r="AX182" s="21">
        <f t="shared" si="166"/>
        <v>0.27086379409513467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226.0452828290525</v>
      </c>
      <c r="BJ182" s="59">
        <f t="shared" si="146"/>
        <v>179.89696397462069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0.47465142479862416</v>
      </c>
      <c r="BQ182" s="21">
        <f>EXP(-LN(2)/25)*BQ181+(1-EXP(-LN(2)/25))/(LN(2)/25)*Calculateur!BL182*Calculateur!BN182*VLOOKUP('Données projet'!$B$11,Paramètres!$A$1:$I$89,3,0)*0.475*44/12</f>
        <v>0.17913791406637888</v>
      </c>
      <c r="BR182" s="21">
        <f>EXP(-LN(2)/2)*BR181+(1-EXP(-LN(2)/2))/(LN(2)/2)*BL182*BO182*VLOOKUP('Données projet'!$B$11,Paramètres!$A$1:$I$89,3,0)*0.475*44/12</f>
        <v>4.1338760861369996E-22</v>
      </c>
      <c r="BS182" s="22">
        <f t="shared" si="169"/>
        <v>0.65378933886500301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-1.7053025658242404E-13</v>
      </c>
      <c r="BZ182" s="13">
        <f>BY182*VLOOKUP('Données projet'!$B$12,Paramètres!$A$1:$I$89,3,0)*VLOOKUP('Données projet'!$B$12,Paramètres!$A$1:$I$89,5,0)</f>
        <v>-1.3567387213697657E-13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219.43439115440339</v>
      </c>
      <c r="CE182" s="59">
        <f t="shared" si="148"/>
        <v>217.8880462742099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0.44040312716678082</v>
      </c>
      <c r="CL182" s="21">
        <f>EXP(-LN(2)/25)*CL181+(1-EXP(-LN(2)/25))/(LN(2)/25)*Calculateur!CG182*Calculateur!CI182*VLOOKUP('Données projet'!$B$12,Paramètres!$A$1:$I$89,3,0)*0.475*44/12</f>
        <v>0.17369906681224673</v>
      </c>
      <c r="CM182" s="21">
        <f>EXP(-LN(2)/2)*CM181+(1-EXP(-LN(2)/2))/(LN(2)/2)*CG182*CJ182*VLOOKUP('Données projet'!$B$12,Paramètres!$A$1:$I$89,3,0)*0.475*44/12</f>
        <v>3.35881420504383E-22</v>
      </c>
      <c r="CN182" s="22">
        <f t="shared" si="172"/>
        <v>0.61410219397902754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237.64646718446005</v>
      </c>
      <c r="T183" s="59">
        <f t="shared" si="142"/>
        <v>156.67965022779907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0.17088113238011163</v>
      </c>
      <c r="AA183" s="21">
        <f>EXP(-LN(2)/25)*AA182+(1-EXP(-LN(2)/25))/(LN(2)/25)*Calculateur!V183*Calculateur!X183*VLOOKUP('Données projet'!$B$9,Paramètres!$A$1:$I$89,3,0)*0.475*44/12</f>
        <v>6.5551902176538224E-2</v>
      </c>
      <c r="AB183" s="21">
        <f>EXP(-LN(2)/2)*AB182+(1-EXP(-LN(2)/2))/(LN(2)/2)*V183*Y183*VLOOKUP('Données projet'!$B$9,Paramètres!$A$1:$I$89,3,0)*0.475*44/12</f>
        <v>1.615376799855394E-22</v>
      </c>
      <c r="AC183" s="22">
        <f t="shared" si="163"/>
        <v>0.23643303455664985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-1.1527845344971866E-13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272.93635583300755</v>
      </c>
      <c r="AO183" s="59">
        <f t="shared" si="144"/>
        <v>179.56041631665812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0.19150471732253885</v>
      </c>
      <c r="AV183" s="21">
        <f>EXP(-LN(2)/25)*AV182+(1-EXP(-LN(2)/25))/(LN(2)/25)*Calculateur!AQ183*Calculateur!AS183*VLOOKUP('Données projet'!$B$10,Paramètres!$A$1:$I$89,3,0)*0.475*44/12</f>
        <v>7.3463338646120313E-2</v>
      </c>
      <c r="AW183" s="21">
        <f>EXP(-LN(2)/2)*AW182+(1-EXP(-LN(2)/2))/(LN(2)/2)*AQ183*AT183*VLOOKUP('Données projet'!$B$10,Paramètres!$A$1:$I$89,3,0)*0.475*44/12</f>
        <v>1.8103360688034594E-22</v>
      </c>
      <c r="AX183" s="21">
        <f t="shared" si="166"/>
        <v>0.26496805596865913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226.0452828290525</v>
      </c>
      <c r="BJ183" s="59">
        <f t="shared" si="146"/>
        <v>179.89696397462069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0.46534379986710567</v>
      </c>
      <c r="BQ183" s="21">
        <f>EXP(-LN(2)/25)*BQ182+(1-EXP(-LN(2)/25))/(LN(2)/25)*Calculateur!BL183*Calculateur!BN183*VLOOKUP('Données projet'!$B$11,Paramètres!$A$1:$I$89,3,0)*0.475*44/12</f>
        <v>0.17423937838578027</v>
      </c>
      <c r="BR183" s="21">
        <f>EXP(-LN(2)/2)*BR182+(1-EXP(-LN(2)/2))/(LN(2)/2)*BL183*BO183*VLOOKUP('Données projet'!$B$11,Paramètres!$A$1:$I$89,3,0)*0.475*44/12</f>
        <v>2.923091813092377E-22</v>
      </c>
      <c r="BS183" s="22">
        <f t="shared" si="169"/>
        <v>0.63958317825288591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-1.7053025658242404E-13</v>
      </c>
      <c r="BZ183" s="13">
        <f>BY183*VLOOKUP('Données projet'!$B$12,Paramètres!$A$1:$I$89,3,0)*VLOOKUP('Données projet'!$B$12,Paramètres!$A$1:$I$89,5,0)</f>
        <v>-1.3567387213697657E-13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219.43439115440339</v>
      </c>
      <c r="CE183" s="59">
        <f t="shared" si="148"/>
        <v>217.8880462742099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0.43176709046242384</v>
      </c>
      <c r="CL183" s="21">
        <f>EXP(-LN(2)/25)*CL182+(1-EXP(-LN(2)/25))/(LN(2)/25)*Calculateur!CG183*Calculateur!CI183*VLOOKUP('Données projet'!$B$12,Paramètres!$A$1:$I$89,3,0)*0.475*44/12</f>
        <v>0.16894925669582891</v>
      </c>
      <c r="CM183" s="21">
        <f>EXP(-LN(2)/2)*CM182+(1-EXP(-LN(2)/2))/(LN(2)/2)*CG183*CJ183*VLOOKUP('Données projet'!$B$12,Paramètres!$A$1:$I$89,3,0)*0.475*44/12</f>
        <v>2.375040301132195E-22</v>
      </c>
      <c r="CN183" s="22">
        <f t="shared" si="172"/>
        <v>0.60071634715825273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237.64646718446005</v>
      </c>
      <c r="T184" s="59">
        <f t="shared" si="142"/>
        <v>156.67965022779907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0.1675302576013368</v>
      </c>
      <c r="AA184" s="21">
        <f>EXP(-LN(2)/25)*AA183+(1-EXP(-LN(2)/25))/(LN(2)/25)*Calculateur!V184*Calculateur!X184*VLOOKUP('Données projet'!$B$9,Paramètres!$A$1:$I$89,3,0)*0.475*44/12</f>
        <v>6.3759381964296077E-2</v>
      </c>
      <c r="AB184" s="21">
        <f>EXP(-LN(2)/2)*AB183+(1-EXP(-LN(2)/2))/(LN(2)/2)*V184*Y184*VLOOKUP('Données projet'!$B$9,Paramètres!$A$1:$I$89,3,0)*0.475*44/12</f>
        <v>1.1422438893491735E-22</v>
      </c>
      <c r="AC184" s="22">
        <f t="shared" si="163"/>
        <v>0.23128963956563287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-1.1527845344971866E-13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272.93635583300755</v>
      </c>
      <c r="AO184" s="59">
        <f t="shared" si="144"/>
        <v>179.56041631665812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0.18774942662218777</v>
      </c>
      <c r="AV184" s="21">
        <f>EXP(-LN(2)/25)*AV183+(1-EXP(-LN(2)/25))/(LN(2)/25)*Calculateur!AQ184*Calculateur!AS184*VLOOKUP('Données projet'!$B$10,Paramètres!$A$1:$I$89,3,0)*0.475*44/12</f>
        <v>7.1454479787573077E-2</v>
      </c>
      <c r="AW184" s="21">
        <f>EXP(-LN(2)/2)*AW183+(1-EXP(-LN(2)/2))/(LN(2)/2)*AQ184*AT184*VLOOKUP('Données projet'!$B$10,Paramètres!$A$1:$I$89,3,0)*0.475*44/12</f>
        <v>1.2801009104775224E-22</v>
      </c>
      <c r="AX184" s="21">
        <f t="shared" si="166"/>
        <v>0.25920390640976088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226.0452828290525</v>
      </c>
      <c r="BJ184" s="59">
        <f t="shared" si="146"/>
        <v>179.89696397462069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0.45621869178340357</v>
      </c>
      <c r="BQ184" s="21">
        <f>EXP(-LN(2)/25)*BQ183+(1-EXP(-LN(2)/25))/(LN(2)/25)*Calculateur!BL184*Calculateur!BN184*VLOOKUP('Données projet'!$B$11,Paramètres!$A$1:$I$89,3,0)*0.475*44/12</f>
        <v>0.16947479342097044</v>
      </c>
      <c r="BR184" s="21">
        <f>EXP(-LN(2)/2)*BR183+(1-EXP(-LN(2)/2))/(LN(2)/2)*BL184*BO184*VLOOKUP('Données projet'!$B$11,Paramètres!$A$1:$I$89,3,0)*0.475*44/12</f>
        <v>2.0669380430685E-22</v>
      </c>
      <c r="BS184" s="22">
        <f t="shared" si="169"/>
        <v>0.62569348520437407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-1.7053025658242404E-13</v>
      </c>
      <c r="BZ184" s="13">
        <f>BY184*VLOOKUP('Données projet'!$B$12,Paramètres!$A$1:$I$89,3,0)*VLOOKUP('Données projet'!$B$12,Paramètres!$A$1:$I$89,5,0)</f>
        <v>-1.3567387213697657E-13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219.43439115440339</v>
      </c>
      <c r="CE184" s="59">
        <f t="shared" si="148"/>
        <v>217.8880462742099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0.42330040117037704</v>
      </c>
      <c r="CL184" s="21">
        <f>EXP(-LN(2)/25)*CL183+(1-EXP(-LN(2)/25))/(LN(2)/25)*Calculateur!CG184*Calculateur!CI184*VLOOKUP('Données projet'!$B$12,Paramètres!$A$1:$I$89,3,0)*0.475*44/12</f>
        <v>0.16432933038682621</v>
      </c>
      <c r="CM184" s="21">
        <f>EXP(-LN(2)/2)*CM183+(1-EXP(-LN(2)/2))/(LN(2)/2)*CG184*CJ184*VLOOKUP('Données projet'!$B$12,Paramètres!$A$1:$I$89,3,0)*0.475*44/12</f>
        <v>1.679407102521915E-22</v>
      </c>
      <c r="CN184" s="22">
        <f t="shared" si="172"/>
        <v>0.58762973155720322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237.64646718446005</v>
      </c>
      <c r="T185" s="59">
        <f t="shared" si="142"/>
        <v>156.67965022779907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0.16424509143314195</v>
      </c>
      <c r="AA185" s="21">
        <f>EXP(-LN(2)/25)*AA184+(1-EXP(-LN(2)/25))/(LN(2)/25)*Calculateur!V185*Calculateur!X185*VLOOKUP('Données projet'!$B$9,Paramètres!$A$1:$I$89,3,0)*0.475*44/12</f>
        <v>6.2015878311522228E-2</v>
      </c>
      <c r="AB185" s="21">
        <f>EXP(-LN(2)/2)*AB184+(1-EXP(-LN(2)/2))/(LN(2)/2)*V185*Y185*VLOOKUP('Données projet'!$B$9,Paramètres!$A$1:$I$89,3,0)*0.475*44/12</f>
        <v>8.0768839992769701E-23</v>
      </c>
      <c r="AC185" s="22">
        <f t="shared" si="163"/>
        <v>0.22626096974466417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-1.1527845344971866E-13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272.93635583300755</v>
      </c>
      <c r="AO185" s="59">
        <f t="shared" si="144"/>
        <v>179.56041631665812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0.1840677748819694</v>
      </c>
      <c r="AV185" s="21">
        <f>EXP(-LN(2)/25)*AV184+(1-EXP(-LN(2)/25))/(LN(2)/25)*Calculateur!AQ185*Calculateur!AS185*VLOOKUP('Données projet'!$B$10,Paramètres!$A$1:$I$89,3,0)*0.475*44/12</f>
        <v>6.9500553280154115E-2</v>
      </c>
      <c r="AW185" s="21">
        <f>EXP(-LN(2)/2)*AW184+(1-EXP(-LN(2)/2))/(LN(2)/2)*AQ185*AT185*VLOOKUP('Données projet'!$B$10,Paramètres!$A$1:$I$89,3,0)*0.475*44/12</f>
        <v>9.0516803440172971E-23</v>
      </c>
      <c r="AX185" s="21">
        <f t="shared" si="166"/>
        <v>0.25356832816212349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226.0452828290525</v>
      </c>
      <c r="BJ185" s="59">
        <f t="shared" si="146"/>
        <v>179.89696397462069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0.44727252150345653</v>
      </c>
      <c r="BQ185" s="21">
        <f>EXP(-LN(2)/25)*BQ184+(1-EXP(-LN(2)/25))/(LN(2)/25)*Calculateur!BL185*Calculateur!BN185*VLOOKUP('Données projet'!$B$11,Paramètres!$A$1:$I$89,3,0)*0.475*44/12</f>
        <v>0.16484049628258196</v>
      </c>
      <c r="BR185" s="21">
        <f>EXP(-LN(2)/2)*BR184+(1-EXP(-LN(2)/2))/(LN(2)/2)*BL185*BO185*VLOOKUP('Données projet'!$B$11,Paramètres!$A$1:$I$89,3,0)*0.475*44/12</f>
        <v>1.4615459065461888E-22</v>
      </c>
      <c r="BS185" s="22">
        <f t="shared" si="169"/>
        <v>0.61211301778603855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-1.7053025658242404E-13</v>
      </c>
      <c r="BZ185" s="13">
        <f>BY185*VLOOKUP('Données projet'!$B$12,Paramètres!$A$1:$I$89,3,0)*VLOOKUP('Données projet'!$B$12,Paramètres!$A$1:$I$89,5,0)</f>
        <v>-1.3567387213697657E-13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219.43439115440339</v>
      </c>
      <c r="CE185" s="59">
        <f t="shared" si="148"/>
        <v>217.8880462742099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0.41499973849117672</v>
      </c>
      <c r="CL185" s="21">
        <f>EXP(-LN(2)/25)*CL184+(1-EXP(-LN(2)/25))/(LN(2)/25)*Calculateur!CG185*Calculateur!CI185*VLOOKUP('Données projet'!$B$12,Paramètres!$A$1:$I$89,3,0)*0.475*44/12</f>
        <v>0.15983573620569455</v>
      </c>
      <c r="CM185" s="21">
        <f>EXP(-LN(2)/2)*CM184+(1-EXP(-LN(2)/2))/(LN(2)/2)*CG185*CJ185*VLOOKUP('Données projet'!$B$12,Paramètres!$A$1:$I$89,3,0)*0.475*44/12</f>
        <v>1.1875201505660975E-22</v>
      </c>
      <c r="CN185" s="22">
        <f t="shared" si="172"/>
        <v>0.57483547469687124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237.64646718446005</v>
      </c>
      <c r="T186" s="59">
        <f t="shared" si="142"/>
        <v>156.67965022779907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0.16102434536975188</v>
      </c>
      <c r="AA186" s="21">
        <f>EXP(-LN(2)/25)*AA185+(1-EXP(-LN(2)/25))/(LN(2)/25)*Calculateur!V186*Calculateur!X186*VLOOKUP('Données projet'!$B$9,Paramètres!$A$1:$I$89,3,0)*0.475*44/12</f>
        <v>6.032005085782035E-2</v>
      </c>
      <c r="AB186" s="21">
        <f>EXP(-LN(2)/2)*AB185+(1-EXP(-LN(2)/2))/(LN(2)/2)*V186*Y186*VLOOKUP('Données projet'!$B$9,Paramètres!$A$1:$I$89,3,0)*0.475*44/12</f>
        <v>5.7112194467458673E-23</v>
      </c>
      <c r="AC186" s="22">
        <f t="shared" si="163"/>
        <v>0.22134439622757224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-1.1527845344971866E-13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272.93635583300755</v>
      </c>
      <c r="AO186" s="59">
        <f t="shared" si="144"/>
        <v>179.56041631665812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0.18045831808679089</v>
      </c>
      <c r="AV186" s="21">
        <f>EXP(-LN(2)/25)*AV185+(1-EXP(-LN(2)/25))/(LN(2)/25)*Calculateur!AQ186*Calculateur!AS186*VLOOKUP('Données projet'!$B$10,Paramètres!$A$1:$I$89,3,0)*0.475*44/12</f>
        <v>6.7600056995833047E-2</v>
      </c>
      <c r="AW186" s="21">
        <f>EXP(-LN(2)/2)*AW185+(1-EXP(-LN(2)/2))/(LN(2)/2)*AQ186*AT186*VLOOKUP('Données projet'!$B$10,Paramètres!$A$1:$I$89,3,0)*0.475*44/12</f>
        <v>6.400504552387612E-23</v>
      </c>
      <c r="AX186" s="21">
        <f t="shared" si="166"/>
        <v>0.24805837508262393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226.0452828290525</v>
      </c>
      <c r="BJ186" s="59">
        <f t="shared" si="146"/>
        <v>179.89696397462069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0.43850178016607416</v>
      </c>
      <c r="BQ186" s="21">
        <f>EXP(-LN(2)/25)*BQ185+(1-EXP(-LN(2)/25))/(LN(2)/25)*Calculateur!BL186*Calculateur!BN186*VLOOKUP('Données projet'!$B$11,Paramètres!$A$1:$I$89,3,0)*0.475*44/12</f>
        <v>0.16033292424314979</v>
      </c>
      <c r="BR186" s="21">
        <f>EXP(-LN(2)/2)*BR185+(1-EXP(-LN(2)/2))/(LN(2)/2)*BL186*BO186*VLOOKUP('Données projet'!$B$11,Paramètres!$A$1:$I$89,3,0)*0.475*44/12</f>
        <v>1.0334690215342503E-22</v>
      </c>
      <c r="BS186" s="22">
        <f t="shared" si="169"/>
        <v>0.59883470440922393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-1.7053025658242404E-13</v>
      </c>
      <c r="BZ186" s="13">
        <f>BY186*VLOOKUP('Données projet'!$B$12,Paramètres!$A$1:$I$89,3,0)*VLOOKUP('Données projet'!$B$12,Paramètres!$A$1:$I$89,5,0)</f>
        <v>-1.3567387213697657E-13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219.43439115440339</v>
      </c>
      <c r="CE186" s="59">
        <f t="shared" si="148"/>
        <v>217.8880462742099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0.40686184674421122</v>
      </c>
      <c r="CL186" s="21">
        <f>EXP(-LN(2)/25)*CL185+(1-EXP(-LN(2)/25))/(LN(2)/25)*Calculateur!CG186*Calculateur!CI186*VLOOKUP('Données projet'!$B$12,Paramètres!$A$1:$I$89,3,0)*0.475*44/12</f>
        <v>0.15546501959375378</v>
      </c>
      <c r="CM186" s="21">
        <f>EXP(-LN(2)/2)*CM185+(1-EXP(-LN(2)/2))/(LN(2)/2)*CG186*CJ186*VLOOKUP('Données projet'!$B$12,Paramètres!$A$1:$I$89,3,0)*0.475*44/12</f>
        <v>8.397035512609575E-23</v>
      </c>
      <c r="CN186" s="22">
        <f t="shared" si="172"/>
        <v>0.56232686633796503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237.64646718446005</v>
      </c>
      <c r="T187" s="59">
        <f t="shared" si="142"/>
        <v>156.67965022779907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0.15786675617220378</v>
      </c>
      <c r="AA187" s="21">
        <f>EXP(-LN(2)/25)*AA186+(1-EXP(-LN(2)/25))/(LN(2)/25)*Calculateur!V187*Calculateur!X187*VLOOKUP('Données projet'!$B$9,Paramètres!$A$1:$I$89,3,0)*0.475*44/12</f>
        <v>5.8670595895019641E-2</v>
      </c>
      <c r="AB187" s="21">
        <f>EXP(-LN(2)/2)*AB186+(1-EXP(-LN(2)/2))/(LN(2)/2)*V187*Y187*VLOOKUP('Données projet'!$B$9,Paramètres!$A$1:$I$89,3,0)*0.475*44/12</f>
        <v>4.038441999638485E-23</v>
      </c>
      <c r="AC187" s="22">
        <f t="shared" si="163"/>
        <v>0.21653735206722341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-1.1527845344971866E-13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272.93635583300755</v>
      </c>
      <c r="AO187" s="59">
        <f t="shared" si="144"/>
        <v>179.56041631665812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0.17691964053781456</v>
      </c>
      <c r="AV187" s="21">
        <f>EXP(-LN(2)/25)*AV186+(1-EXP(-LN(2)/25))/(LN(2)/25)*Calculateur!AQ187*Calculateur!AS187*VLOOKUP('Données projet'!$B$10,Paramètres!$A$1:$I$89,3,0)*0.475*44/12</f>
        <v>6.5751529882349502E-2</v>
      </c>
      <c r="AW187" s="21">
        <f>EXP(-LN(2)/2)*AW186+(1-EXP(-LN(2)/2))/(LN(2)/2)*AQ187*AT187*VLOOKUP('Données projet'!$B$10,Paramètres!$A$1:$I$89,3,0)*0.475*44/12</f>
        <v>4.5258401720086486E-23</v>
      </c>
      <c r="AX187" s="21">
        <f t="shared" si="166"/>
        <v>0.24267117042016406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226.0452828290525</v>
      </c>
      <c r="BJ187" s="59">
        <f t="shared" si="146"/>
        <v>179.89696397462069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0.42990302771669392</v>
      </c>
      <c r="BQ187" s="21">
        <f>EXP(-LN(2)/25)*BQ186+(1-EXP(-LN(2)/25))/(LN(2)/25)*Calculateur!BL187*Calculateur!BN187*VLOOKUP('Données projet'!$B$11,Paramètres!$A$1:$I$89,3,0)*0.475*44/12</f>
        <v>0.15594861199817883</v>
      </c>
      <c r="BR187" s="21">
        <f>EXP(-LN(2)/2)*BR186+(1-EXP(-LN(2)/2))/(LN(2)/2)*BL187*BO187*VLOOKUP('Données projet'!$B$11,Paramètres!$A$1:$I$89,3,0)*0.475*44/12</f>
        <v>7.307729532730945E-23</v>
      </c>
      <c r="BS187" s="22">
        <f t="shared" si="169"/>
        <v>0.58585163971487275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-1.7053025658242404E-13</v>
      </c>
      <c r="BZ187" s="13">
        <f>BY187*VLOOKUP('Données projet'!$B$12,Paramètres!$A$1:$I$89,3,0)*VLOOKUP('Données projet'!$B$12,Paramètres!$A$1:$I$89,5,0)</f>
        <v>-1.3567387213697657E-13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219.43439115440339</v>
      </c>
      <c r="CE187" s="59">
        <f t="shared" si="148"/>
        <v>217.8880462742099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0.39888353409077987</v>
      </c>
      <c r="CL187" s="21">
        <f>EXP(-LN(2)/25)*CL186+(1-EXP(-LN(2)/25))/(LN(2)/25)*Calculateur!CG187*Calculateur!CI187*VLOOKUP('Données projet'!$B$12,Paramètres!$A$1:$I$89,3,0)*0.475*44/12</f>
        <v>0.15121382045741252</v>
      </c>
      <c r="CM187" s="21">
        <f>EXP(-LN(2)/2)*CM186+(1-EXP(-LN(2)/2))/(LN(2)/2)*CG187*CJ187*VLOOKUP('Données projet'!$B$12,Paramètres!$A$1:$I$89,3,0)*0.475*44/12</f>
        <v>5.9376007528304875E-23</v>
      </c>
      <c r="CN187" s="22">
        <f t="shared" si="172"/>
        <v>0.55009735454819242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237.64646718446005</v>
      </c>
      <c r="T188" s="59">
        <f t="shared" si="142"/>
        <v>156.67965022779907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0.15477108537288037</v>
      </c>
      <c r="AA188" s="21">
        <f>EXP(-LN(2)/25)*AA187+(1-EXP(-LN(2)/25))/(LN(2)/25)*Calculateur!V188*Calculateur!X188*VLOOKUP('Données projet'!$B$9,Paramètres!$A$1:$I$89,3,0)*0.475*44/12</f>
        <v>5.7066245364917785E-2</v>
      </c>
      <c r="AB188" s="21">
        <f>EXP(-LN(2)/2)*AB187+(1-EXP(-LN(2)/2))/(LN(2)/2)*V188*Y188*VLOOKUP('Données projet'!$B$9,Paramètres!$A$1:$I$89,3,0)*0.475*44/12</f>
        <v>2.8556097233729337E-23</v>
      </c>
      <c r="AC188" s="22">
        <f t="shared" si="163"/>
        <v>0.21183733073779815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-1.1527845344971866E-13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272.93635583300755</v>
      </c>
      <c r="AO188" s="59">
        <f t="shared" si="144"/>
        <v>179.56041631665812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0.17345035429719349</v>
      </c>
      <c r="AV188" s="21">
        <f>EXP(-LN(2)/25)*AV187+(1-EXP(-LN(2)/25))/(LN(2)/25)*Calculateur!AQ188*Calculateur!AS188*VLOOKUP('Données projet'!$B$10,Paramètres!$A$1:$I$89,3,0)*0.475*44/12</f>
        <v>6.3953550839993975E-2</v>
      </c>
      <c r="AW188" s="21">
        <f>EXP(-LN(2)/2)*AW187+(1-EXP(-LN(2)/2))/(LN(2)/2)*AQ188*AT188*VLOOKUP('Données projet'!$B$10,Paramètres!$A$1:$I$89,3,0)*0.475*44/12</f>
        <v>3.200252276193806E-23</v>
      </c>
      <c r="AX188" s="21">
        <f t="shared" si="166"/>
        <v>0.23740390513718745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226.0452828290525</v>
      </c>
      <c r="BJ188" s="59">
        <f t="shared" si="146"/>
        <v>179.89696397462069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0.4214728915581249</v>
      </c>
      <c r="BQ188" s="21">
        <f>EXP(-LN(2)/25)*BQ187+(1-EXP(-LN(2)/25))/(LN(2)/25)*Calculateur!BL188*Calculateur!BN188*VLOOKUP('Données projet'!$B$11,Paramètres!$A$1:$I$89,3,0)*0.475*44/12</f>
        <v>0.15168418900210756</v>
      </c>
      <c r="BR188" s="21">
        <f>EXP(-LN(2)/2)*BR187+(1-EXP(-LN(2)/2))/(LN(2)/2)*BL188*BO188*VLOOKUP('Données projet'!$B$11,Paramètres!$A$1:$I$89,3,0)*0.475*44/12</f>
        <v>5.1673451076712519E-23</v>
      </c>
      <c r="BS188" s="22">
        <f t="shared" si="169"/>
        <v>0.5731570805602324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-1.7053025658242404E-13</v>
      </c>
      <c r="BZ188" s="13">
        <f>BY188*VLOOKUP('Données projet'!$B$12,Paramètres!$A$1:$I$89,3,0)*VLOOKUP('Données projet'!$B$12,Paramètres!$A$1:$I$89,5,0)</f>
        <v>-1.3567387213697657E-13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219.43439115440339</v>
      </c>
      <c r="CE188" s="59">
        <f t="shared" si="148"/>
        <v>217.8880462742099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0.3910616712821921</v>
      </c>
      <c r="CL188" s="21">
        <f>EXP(-LN(2)/25)*CL187+(1-EXP(-LN(2)/25))/(LN(2)/25)*Calculateur!CG188*Calculateur!CI188*VLOOKUP('Données projet'!$B$12,Paramètres!$A$1:$I$89,3,0)*0.475*44/12</f>
        <v>0.14707887058501537</v>
      </c>
      <c r="CM188" s="21">
        <f>EXP(-LN(2)/2)*CM187+(1-EXP(-LN(2)/2))/(LN(2)/2)*CG188*CJ188*VLOOKUP('Données projet'!$B$12,Paramètres!$A$1:$I$89,3,0)*0.475*44/12</f>
        <v>4.1985177563047875E-23</v>
      </c>
      <c r="CN188" s="22">
        <f t="shared" si="172"/>
        <v>0.5381405418672075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237.64646718446005</v>
      </c>
      <c r="T189" s="59">
        <f t="shared" si="142"/>
        <v>156.67965022779907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0.15173611878975893</v>
      </c>
      <c r="AA189" s="21">
        <f>EXP(-LN(2)/25)*AA188+(1-EXP(-LN(2)/25))/(LN(2)/25)*Calculateur!V189*Calculateur!X189*VLOOKUP('Données projet'!$B$9,Paramètres!$A$1:$I$89,3,0)*0.475*44/12</f>
        <v>5.5505765884430694E-2</v>
      </c>
      <c r="AB189" s="21">
        <f>EXP(-LN(2)/2)*AB188+(1-EXP(-LN(2)/2))/(LN(2)/2)*V189*Y189*VLOOKUP('Données projet'!$B$9,Paramètres!$A$1:$I$89,3,0)*0.475*44/12</f>
        <v>2.0192209998192425E-23</v>
      </c>
      <c r="AC189" s="22">
        <f t="shared" si="163"/>
        <v>0.20724188467418964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-1.1527845344971866E-13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272.93635583300755</v>
      </c>
      <c r="AO189" s="59">
        <f t="shared" si="144"/>
        <v>179.56041631665812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0.17004909864369533</v>
      </c>
      <c r="AV189" s="21">
        <f>EXP(-LN(2)/25)*AV188+(1-EXP(-LN(2)/25))/(LN(2)/25)*Calculateur!AQ189*Calculateur!AS189*VLOOKUP('Données projet'!$B$10,Paramètres!$A$1:$I$89,3,0)*0.475*44/12</f>
        <v>6.2204737629103266E-2</v>
      </c>
      <c r="AW189" s="21">
        <f>EXP(-LN(2)/2)*AW188+(1-EXP(-LN(2)/2))/(LN(2)/2)*AQ189*AT189*VLOOKUP('Données projet'!$B$10,Paramètres!$A$1:$I$89,3,0)*0.475*44/12</f>
        <v>2.2629200860043243E-23</v>
      </c>
      <c r="AX189" s="21">
        <f t="shared" si="166"/>
        <v>0.23225383627279861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226.0452828290525</v>
      </c>
      <c r="BJ189" s="59">
        <f t="shared" si="146"/>
        <v>179.89696397462069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0.41320806522775005</v>
      </c>
      <c r="BQ189" s="21">
        <f>EXP(-LN(2)/25)*BQ188+(1-EXP(-LN(2)/25))/(LN(2)/25)*Calculateur!BL189*Calculateur!BN189*VLOOKUP('Données projet'!$B$11,Paramètres!$A$1:$I$89,3,0)*0.475*44/12</f>
        <v>0.1475363768771201</v>
      </c>
      <c r="BR189" s="21">
        <f>EXP(-LN(2)/2)*BR188+(1-EXP(-LN(2)/2))/(LN(2)/2)*BL189*BO189*VLOOKUP('Données projet'!$B$11,Paramètres!$A$1:$I$89,3,0)*0.475*44/12</f>
        <v>3.6538647663654731E-23</v>
      </c>
      <c r="BS189" s="22">
        <f t="shared" si="169"/>
        <v>0.56074444210487018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-1.7053025658242404E-13</v>
      </c>
      <c r="BZ189" s="13">
        <f>BY189*VLOOKUP('Données projet'!$B$12,Paramètres!$A$1:$I$89,3,0)*VLOOKUP('Données projet'!$B$12,Paramètres!$A$1:$I$89,5,0)</f>
        <v>-1.3567387213697657E-13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219.43439115440339</v>
      </c>
      <c r="CE189" s="59">
        <f t="shared" si="148"/>
        <v>217.8880462742099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0.38339319043241549</v>
      </c>
      <c r="CL189" s="21">
        <f>EXP(-LN(2)/25)*CL188+(1-EXP(-LN(2)/25))/(LN(2)/25)*Calculateur!CG189*Calculateur!CI189*VLOOKUP('Données projet'!$B$12,Paramètres!$A$1:$I$89,3,0)*0.475*44/12</f>
        <v>0.14305699113432646</v>
      </c>
      <c r="CM189" s="21">
        <f>EXP(-LN(2)/2)*CM188+(1-EXP(-LN(2)/2))/(LN(2)/2)*CG189*CJ189*VLOOKUP('Données projet'!$B$12,Paramètres!$A$1:$I$89,3,0)*0.475*44/12</f>
        <v>2.9688003764152438E-23</v>
      </c>
      <c r="CN189" s="22">
        <f t="shared" si="172"/>
        <v>0.52645018156674195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237.64646718446005</v>
      </c>
      <c r="T190" s="59">
        <f t="shared" si="142"/>
        <v>156.67965022779907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0.14876066605018567</v>
      </c>
      <c r="AA190" s="21">
        <f>EXP(-LN(2)/25)*AA189+(1-EXP(-LN(2)/25))/(LN(2)/25)*Calculateur!V190*Calculateur!X190*VLOOKUP('Données projet'!$B$9,Paramètres!$A$1:$I$89,3,0)*0.475*44/12</f>
        <v>5.3987957797399566E-2</v>
      </c>
      <c r="AB190" s="21">
        <f>EXP(-LN(2)/2)*AB189+(1-EXP(-LN(2)/2))/(LN(2)/2)*V190*Y190*VLOOKUP('Données projet'!$B$9,Paramètres!$A$1:$I$89,3,0)*0.475*44/12</f>
        <v>1.4278048616864668E-23</v>
      </c>
      <c r="AC190" s="22">
        <f t="shared" si="163"/>
        <v>0.20274862384758524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-1.1527845344971866E-13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272.93635583300755</v>
      </c>
      <c r="AO190" s="59">
        <f t="shared" si="144"/>
        <v>179.56041631665812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0.16671453953900117</v>
      </c>
      <c r="AV190" s="21">
        <f>EXP(-LN(2)/25)*AV189+(1-EXP(-LN(2)/25))/(LN(2)/25)*Calculateur!AQ190*Calculateur!AS190*VLOOKUP('Données projet'!$B$10,Paramètres!$A$1:$I$89,3,0)*0.475*44/12</f>
        <v>6.0503745807430453E-2</v>
      </c>
      <c r="AW190" s="21">
        <f>EXP(-LN(2)/2)*AW189+(1-EXP(-LN(2)/2))/(LN(2)/2)*AQ190*AT190*VLOOKUP('Données projet'!$B$10,Paramètres!$A$1:$I$89,3,0)*0.475*44/12</f>
        <v>1.600126138096903E-23</v>
      </c>
      <c r="AX190" s="21">
        <f t="shared" si="166"/>
        <v>0.22721828534643163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226.0452828290525</v>
      </c>
      <c r="BJ190" s="59">
        <f t="shared" si="146"/>
        <v>179.89696397462069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0.40510530710066756</v>
      </c>
      <c r="BQ190" s="21">
        <f>EXP(-LN(2)/25)*BQ189+(1-EXP(-LN(2)/25))/(LN(2)/25)*Calculateur!BL190*Calculateur!BN190*VLOOKUP('Données projet'!$B$11,Paramètres!$A$1:$I$89,3,0)*0.475*44/12</f>
        <v>0.14350198689281438</v>
      </c>
      <c r="BR190" s="21">
        <f>EXP(-LN(2)/2)*BR189+(1-EXP(-LN(2)/2))/(LN(2)/2)*BL190*BO190*VLOOKUP('Données projet'!$B$11,Paramètres!$A$1:$I$89,3,0)*0.475*44/12</f>
        <v>2.5836725538356262E-23</v>
      </c>
      <c r="BS190" s="22">
        <f t="shared" si="169"/>
        <v>0.54860729399348196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-1.7053025658242404E-13</v>
      </c>
      <c r="BZ190" s="13">
        <f>BY190*VLOOKUP('Données projet'!$B$12,Paramètres!$A$1:$I$89,3,0)*VLOOKUP('Données projet'!$B$12,Paramètres!$A$1:$I$89,5,0)</f>
        <v>-1.3567387213697657E-13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219.43439115440339</v>
      </c>
      <c r="CE190" s="59">
        <f t="shared" si="148"/>
        <v>217.8880462742099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0.37587508381479151</v>
      </c>
      <c r="CL190" s="21">
        <f>EXP(-LN(2)/25)*CL189+(1-EXP(-LN(2)/25))/(LN(2)/25)*Calculateur!CG190*Calculateur!CI190*VLOOKUP('Données projet'!$B$12,Paramètres!$A$1:$I$89,3,0)*0.475*44/12</f>
        <v>0.1391450901887181</v>
      </c>
      <c r="CM190" s="21">
        <f>EXP(-LN(2)/2)*CM189+(1-EXP(-LN(2)/2))/(LN(2)/2)*CG190*CJ190*VLOOKUP('Données projet'!$B$12,Paramètres!$A$1:$I$89,3,0)*0.475*44/12</f>
        <v>2.0992588781523938E-23</v>
      </c>
      <c r="CN190" s="22">
        <f t="shared" si="172"/>
        <v>0.51502017400350963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237.64646718446005</v>
      </c>
      <c r="T191" s="59">
        <f t="shared" si="142"/>
        <v>156.67965022779907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0.14584356012398847</v>
      </c>
      <c r="AA191" s="21">
        <f>EXP(-LN(2)/25)*AA190+(1-EXP(-LN(2)/25))/(LN(2)/25)*Calculateur!V191*Calculateur!X191*VLOOKUP('Données projet'!$B$9,Paramètres!$A$1:$I$89,3,0)*0.475*44/12</f>
        <v>5.2511654252326366E-2</v>
      </c>
      <c r="AB191" s="21">
        <f>EXP(-LN(2)/2)*AB190+(1-EXP(-LN(2)/2))/(LN(2)/2)*V191*Y191*VLOOKUP('Données projet'!$B$9,Paramètres!$A$1:$I$89,3,0)*0.475*44/12</f>
        <v>1.0096104999096213E-23</v>
      </c>
      <c r="AC191" s="22">
        <f t="shared" si="163"/>
        <v>0.19835521437631484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-1.1527845344971866E-13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272.93635583300755</v>
      </c>
      <c r="AO191" s="59">
        <f t="shared" si="144"/>
        <v>179.56041631665812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0.16344536910446983</v>
      </c>
      <c r="AV191" s="21">
        <f>EXP(-LN(2)/25)*AV190+(1-EXP(-LN(2)/25))/(LN(2)/25)*Calculateur!AQ191*Calculateur!AS191*VLOOKUP('Données projet'!$B$10,Paramètres!$A$1:$I$89,3,0)*0.475*44/12</f>
        <v>5.884926769657256E-2</v>
      </c>
      <c r="AW191" s="21">
        <f>EXP(-LN(2)/2)*AW190+(1-EXP(-LN(2)/2))/(LN(2)/2)*AQ191*AT191*VLOOKUP('Données projet'!$B$10,Paramètres!$A$1:$I$89,3,0)*0.475*44/12</f>
        <v>1.1314600430021621E-23</v>
      </c>
      <c r="AX191" s="21">
        <f t="shared" si="166"/>
        <v>0.22229463680104239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226.0452828290525</v>
      </c>
      <c r="BJ191" s="59">
        <f t="shared" si="146"/>
        <v>179.89696397462069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0.39716143911826268</v>
      </c>
      <c r="BQ191" s="21">
        <f>EXP(-LN(2)/25)*BQ190+(1-EXP(-LN(2)/25))/(LN(2)/25)*Calculateur!BL191*Calculateur!BN191*VLOOKUP('Données projet'!$B$11,Paramètres!$A$1:$I$89,3,0)*0.475*44/12</f>
        <v>0.13957791751478885</v>
      </c>
      <c r="BR191" s="21">
        <f>EXP(-LN(2)/2)*BR190+(1-EXP(-LN(2)/2))/(LN(2)/2)*BL191*BO191*VLOOKUP('Données projet'!$B$11,Paramètres!$A$1:$I$89,3,0)*0.475*44/12</f>
        <v>1.8269323831827368E-23</v>
      </c>
      <c r="BS191" s="22">
        <f t="shared" si="169"/>
        <v>0.5367393566330515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-1.7053025658242404E-13</v>
      </c>
      <c r="BZ191" s="13">
        <f>BY191*VLOOKUP('Données projet'!$B$12,Paramètres!$A$1:$I$89,3,0)*VLOOKUP('Données projet'!$B$12,Paramètres!$A$1:$I$89,5,0)</f>
        <v>-1.3567387213697657E-13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219.43439115440339</v>
      </c>
      <c r="CE191" s="59">
        <f t="shared" si="148"/>
        <v>217.8880462742099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0.36850440268234691</v>
      </c>
      <c r="CL191" s="21">
        <f>EXP(-LN(2)/25)*CL190+(1-EXP(-LN(2)/25))/(LN(2)/25)*Calculateur!CG191*Calculateur!CI191*VLOOKUP('Données projet'!$B$12,Paramètres!$A$1:$I$89,3,0)*0.475*44/12</f>
        <v>0.13534016038018531</v>
      </c>
      <c r="CM191" s="21">
        <f>EXP(-LN(2)/2)*CM190+(1-EXP(-LN(2)/2))/(LN(2)/2)*CG191*CJ191*VLOOKUP('Données projet'!$B$12,Paramètres!$A$1:$I$89,3,0)*0.475*44/12</f>
        <v>1.4844001882076219E-23</v>
      </c>
      <c r="CN191" s="22">
        <f t="shared" si="172"/>
        <v>0.50384456306253222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237.64646718446005</v>
      </c>
      <c r="T192" s="59">
        <f t="shared" si="142"/>
        <v>156.67965022779907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0.14298365686574507</v>
      </c>
      <c r="AA192" s="21">
        <f>EXP(-LN(2)/25)*AA191+(1-EXP(-LN(2)/25))/(LN(2)/25)*Calculateur!V192*Calculateur!X192*VLOOKUP('Données projet'!$B$9,Paramètres!$A$1:$I$89,3,0)*0.475*44/12</f>
        <v>5.1075720305328622E-2</v>
      </c>
      <c r="AB192" s="21">
        <f>EXP(-LN(2)/2)*AB191+(1-EXP(-LN(2)/2))/(LN(2)/2)*V192*Y192*VLOOKUP('Données projet'!$B$9,Paramètres!$A$1:$I$89,3,0)*0.475*44/12</f>
        <v>7.1390243084323342E-24</v>
      </c>
      <c r="AC192" s="22">
        <f t="shared" si="163"/>
        <v>0.19405937717107369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-1.1527845344971866E-13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272.93635583300755</v>
      </c>
      <c r="AO192" s="59">
        <f t="shared" si="144"/>
        <v>179.56041631665812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0.16024030510816259</v>
      </c>
      <c r="AV192" s="21">
        <f>EXP(-LN(2)/25)*AV191+(1-EXP(-LN(2)/25))/(LN(2)/25)*Calculateur!AQ192*Calculateur!AS192*VLOOKUP('Données projet'!$B$10,Paramètres!$A$1:$I$89,3,0)*0.475*44/12</f>
        <v>5.7240031376661296E-2</v>
      </c>
      <c r="AW192" s="21">
        <f>EXP(-LN(2)/2)*AW191+(1-EXP(-LN(2)/2))/(LN(2)/2)*AQ192*AT192*VLOOKUP('Données projet'!$B$10,Paramètres!$A$1:$I$89,3,0)*0.475*44/12</f>
        <v>8.000630690484515E-24</v>
      </c>
      <c r="AX192" s="21">
        <f t="shared" si="166"/>
        <v>0.2174803364848239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226.0452828290525</v>
      </c>
      <c r="BJ192" s="59">
        <f t="shared" si="146"/>
        <v>179.89696397462069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0.38937334554171177</v>
      </c>
      <c r="BQ192" s="21">
        <f>EXP(-LN(2)/25)*BQ191+(1-EXP(-LN(2)/25))/(LN(2)/25)*Calculateur!BL192*Calculateur!BN192*VLOOKUP('Données projet'!$B$11,Paramètres!$A$1:$I$89,3,0)*0.475*44/12</f>
        <v>0.13576115202026326</v>
      </c>
      <c r="BR192" s="21">
        <f>EXP(-LN(2)/2)*BR191+(1-EXP(-LN(2)/2))/(LN(2)/2)*BL192*BO192*VLOOKUP('Données projet'!$B$11,Paramètres!$A$1:$I$89,3,0)*0.475*44/12</f>
        <v>1.2918362769178134E-23</v>
      </c>
      <c r="BS192" s="22">
        <f t="shared" si="169"/>
        <v>0.52513449756197506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-1.7053025658242404E-13</v>
      </c>
      <c r="BZ192" s="13">
        <f>BY192*VLOOKUP('Données projet'!$B$12,Paramètres!$A$1:$I$89,3,0)*VLOOKUP('Données projet'!$B$12,Paramètres!$A$1:$I$89,5,0)</f>
        <v>-1.3567387213697657E-13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219.43439115440339</v>
      </c>
      <c r="CE192" s="59">
        <f t="shared" si="148"/>
        <v>217.8880462742099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0.36127825611123798</v>
      </c>
      <c r="CL192" s="21">
        <f>EXP(-LN(2)/25)*CL191+(1-EXP(-LN(2)/25))/(LN(2)/25)*Calculateur!CG192*Calculateur!CI192*VLOOKUP('Données projet'!$B$12,Paramètres!$A$1:$I$89,3,0)*0.475*44/12</f>
        <v>0.13163927657735944</v>
      </c>
      <c r="CM192" s="21">
        <f>EXP(-LN(2)/2)*CM191+(1-EXP(-LN(2)/2))/(LN(2)/2)*CG192*CJ192*VLOOKUP('Données projet'!$B$12,Paramètres!$A$1:$I$89,3,0)*0.475*44/12</f>
        <v>1.0496294390761969E-23</v>
      </c>
      <c r="CN192" s="22">
        <f t="shared" si="172"/>
        <v>0.49291753268859739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237.64646718446005</v>
      </c>
      <c r="T193" s="59">
        <f t="shared" si="142"/>
        <v>156.67965022779907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0.14017983456602709</v>
      </c>
      <c r="AA193" s="21">
        <f>EXP(-LN(2)/25)*AA192+(1-EXP(-LN(2)/25))/(LN(2)/25)*Calculateur!V193*Calculateur!X193*VLOOKUP('Données projet'!$B$9,Paramètres!$A$1:$I$89,3,0)*0.475*44/12</f>
        <v>4.9679052047624017E-2</v>
      </c>
      <c r="AB193" s="21">
        <f>EXP(-LN(2)/2)*AB192+(1-EXP(-LN(2)/2))/(LN(2)/2)*V193*Y193*VLOOKUP('Données projet'!$B$9,Paramètres!$A$1:$I$89,3,0)*0.475*44/12</f>
        <v>5.0480524995481063E-24</v>
      </c>
      <c r="AC193" s="22">
        <f t="shared" si="163"/>
        <v>0.18985888661365111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-1.1527845344971866E-13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272.93635583300755</v>
      </c>
      <c r="AO193" s="59">
        <f t="shared" si="144"/>
        <v>179.56041631665812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0.15709809046192691</v>
      </c>
      <c r="AV193" s="21">
        <f>EXP(-LN(2)/25)*AV192+(1-EXP(-LN(2)/25))/(LN(2)/25)*Calculateur!AQ193*Calculateur!AS193*VLOOKUP('Données projet'!$B$10,Paramètres!$A$1:$I$89,3,0)*0.475*44/12</f>
        <v>5.5674799708544068E-2</v>
      </c>
      <c r="AW193" s="21">
        <f>EXP(-LN(2)/2)*AW192+(1-EXP(-LN(2)/2))/(LN(2)/2)*AQ193*AT193*VLOOKUP('Données projet'!$B$10,Paramètres!$A$1:$I$89,3,0)*0.475*44/12</f>
        <v>5.6573002150108107E-24</v>
      </c>
      <c r="AX193" s="21">
        <f t="shared" si="166"/>
        <v>0.21277289017047096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226.0452828290525</v>
      </c>
      <c r="BJ193" s="59">
        <f t="shared" si="146"/>
        <v>179.89696397462069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0.38173797172992896</v>
      </c>
      <c r="BQ193" s="21">
        <f>EXP(-LN(2)/25)*BQ192+(1-EXP(-LN(2)/25))/(LN(2)/25)*Calculateur!BL193*Calculateur!BN193*VLOOKUP('Données projet'!$B$11,Paramètres!$A$1:$I$89,3,0)*0.475*44/12</f>
        <v>0.13204875617890047</v>
      </c>
      <c r="BR193" s="21">
        <f>EXP(-LN(2)/2)*BR192+(1-EXP(-LN(2)/2))/(LN(2)/2)*BL193*BO193*VLOOKUP('Données projet'!$B$11,Paramètres!$A$1:$I$89,3,0)*0.475*44/12</f>
        <v>9.1346619159136856E-24</v>
      </c>
      <c r="BS193" s="22">
        <f t="shared" si="169"/>
        <v>0.5137867279088294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-1.7053025658242404E-13</v>
      </c>
      <c r="BZ193" s="13">
        <f>BY193*VLOOKUP('Données projet'!$B$12,Paramètres!$A$1:$I$89,3,0)*VLOOKUP('Données projet'!$B$12,Paramètres!$A$1:$I$89,5,0)</f>
        <v>-1.3567387213697657E-13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219.43439115440339</v>
      </c>
      <c r="CE193" s="59">
        <f t="shared" si="148"/>
        <v>217.8880462742099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0.35419380986687427</v>
      </c>
      <c r="CL193" s="21">
        <f>EXP(-LN(2)/25)*CL192+(1-EXP(-LN(2)/25))/(LN(2)/25)*Calculateur!CG193*Calculateur!CI193*VLOOKUP('Données projet'!$B$12,Paramètres!$A$1:$I$89,3,0)*0.475*44/12</f>
        <v>0.12803959363674286</v>
      </c>
      <c r="CM193" s="21">
        <f>EXP(-LN(2)/2)*CM192+(1-EXP(-LN(2)/2))/(LN(2)/2)*CG193*CJ193*VLOOKUP('Données projet'!$B$12,Paramètres!$A$1:$I$89,3,0)*0.475*44/12</f>
        <v>7.4220009410381094E-24</v>
      </c>
      <c r="CN193" s="22">
        <f t="shared" si="172"/>
        <v>0.4822334035036171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237.64646718446005</v>
      </c>
      <c r="T194" s="59">
        <f t="shared" si="142"/>
        <v>156.67965022779907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0.13743099351144383</v>
      </c>
      <c r="AA194" s="21">
        <f>EXP(-LN(2)/25)*AA193+(1-EXP(-LN(2)/25))/(LN(2)/25)*Calculateur!V194*Calculateur!X194*VLOOKUP('Données projet'!$B$9,Paramètres!$A$1:$I$89,3,0)*0.475*44/12</f>
        <v>4.8320575756873936E-2</v>
      </c>
      <c r="AB194" s="21">
        <f>EXP(-LN(2)/2)*AB193+(1-EXP(-LN(2)/2))/(LN(2)/2)*V194*Y194*VLOOKUP('Données projet'!$B$9,Paramètres!$A$1:$I$89,3,0)*0.475*44/12</f>
        <v>3.5695121542161671E-24</v>
      </c>
      <c r="AC194" s="22">
        <f t="shared" si="163"/>
        <v>0.18575156926831776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-1.1527845344971866E-13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272.93635583300755</v>
      </c>
      <c r="AO194" s="59">
        <f t="shared" si="144"/>
        <v>179.56041631665812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0.15401749272834223</v>
      </c>
      <c r="AV194" s="21">
        <f>EXP(-LN(2)/25)*AV193+(1-EXP(-LN(2)/25))/(LN(2)/25)*Calculateur!AQ194*Calculateur!AS194*VLOOKUP('Données projet'!$B$10,Paramètres!$A$1:$I$89,3,0)*0.475*44/12</f>
        <v>5.4152369382703458E-2</v>
      </c>
      <c r="AW194" s="21">
        <f>EXP(-LN(2)/2)*AW193+(1-EXP(-LN(2)/2))/(LN(2)/2)*AQ194*AT194*VLOOKUP('Données projet'!$B$10,Paramètres!$A$1:$I$89,3,0)*0.475*44/12</f>
        <v>4.0003153452422575E-24</v>
      </c>
      <c r="AX194" s="21">
        <f t="shared" si="166"/>
        <v>0.20816986211104568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226.0452828290525</v>
      </c>
      <c r="BJ194" s="59">
        <f t="shared" si="146"/>
        <v>179.89696397462069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0.37425232294147703</v>
      </c>
      <c r="BQ194" s="21">
        <f>EXP(-LN(2)/25)*BQ193+(1-EXP(-LN(2)/25))/(LN(2)/25)*Calculateur!BL194*Calculateur!BN194*VLOOKUP('Données projet'!$B$11,Paramètres!$A$1:$I$89,3,0)*0.475*44/12</f>
        <v>0.12843787599704615</v>
      </c>
      <c r="BR194" s="21">
        <f>EXP(-LN(2)/2)*BR193+(1-EXP(-LN(2)/2))/(LN(2)/2)*BL194*BO194*VLOOKUP('Données projet'!$B$11,Paramètres!$A$1:$I$89,3,0)*0.475*44/12</f>
        <v>6.4591813845890678E-24</v>
      </c>
      <c r="BS194" s="22">
        <f t="shared" si="169"/>
        <v>0.50269019893852318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-1.7053025658242404E-13</v>
      </c>
      <c r="BZ194" s="13">
        <f>BY194*VLOOKUP('Données projet'!$B$12,Paramètres!$A$1:$I$89,3,0)*VLOOKUP('Données projet'!$B$12,Paramètres!$A$1:$I$89,5,0)</f>
        <v>-1.3567387213697657E-13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219.43439115440339</v>
      </c>
      <c r="CE194" s="59">
        <f t="shared" si="148"/>
        <v>217.8880462742099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0.34724828529227703</v>
      </c>
      <c r="CL194" s="21">
        <f>EXP(-LN(2)/25)*CL193+(1-EXP(-LN(2)/25))/(LN(2)/25)*Calculateur!CG194*Calculateur!CI194*VLOOKUP('Données projet'!$B$12,Paramètres!$A$1:$I$89,3,0)*0.475*44/12</f>
        <v>0.12453834421543654</v>
      </c>
      <c r="CM194" s="21">
        <f>EXP(-LN(2)/2)*CM193+(1-EXP(-LN(2)/2))/(LN(2)/2)*CG194*CJ194*VLOOKUP('Données projet'!$B$12,Paramètres!$A$1:$I$89,3,0)*0.475*44/12</f>
        <v>5.2481471953809844E-24</v>
      </c>
      <c r="CN194" s="22">
        <f t="shared" si="172"/>
        <v>0.47178662950771355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237.64646718446005</v>
      </c>
      <c r="T195" s="59">
        <f t="shared" si="142"/>
        <v>156.67965022779907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0.13473605555331347</v>
      </c>
      <c r="AA195" s="21">
        <f>EXP(-LN(2)/25)*AA194+(1-EXP(-LN(2)/25))/(LN(2)/25)*Calculateur!V195*Calculateur!X195*VLOOKUP('Données projet'!$B$9,Paramètres!$A$1:$I$89,3,0)*0.475*44/12</f>
        <v>4.6999247071733578E-2</v>
      </c>
      <c r="AB195" s="21">
        <f>EXP(-LN(2)/2)*AB194+(1-EXP(-LN(2)/2))/(LN(2)/2)*V195*Y195*VLOOKUP('Données projet'!$B$9,Paramètres!$A$1:$I$89,3,0)*0.475*44/12</f>
        <v>2.5240262497740531E-24</v>
      </c>
      <c r="AC195" s="22">
        <f t="shared" si="163"/>
        <v>0.18173530262504706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-1.1527845344971866E-13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272.93635583300755</v>
      </c>
      <c r="AO195" s="59">
        <f t="shared" si="144"/>
        <v>179.56041631665812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0.15099730363733405</v>
      </c>
      <c r="AV195" s="21">
        <f>EXP(-LN(2)/25)*AV194+(1-EXP(-LN(2)/25))/(LN(2)/25)*Calculateur!AQ195*Calculateur!AS195*VLOOKUP('Données projet'!$B$10,Paramètres!$A$1:$I$89,3,0)*0.475*44/12</f>
        <v>5.2671569994184091E-2</v>
      </c>
      <c r="AW195" s="21">
        <f>EXP(-LN(2)/2)*AW194+(1-EXP(-LN(2)/2))/(LN(2)/2)*AQ195*AT195*VLOOKUP('Données projet'!$B$10,Paramètres!$A$1:$I$89,3,0)*0.475*44/12</f>
        <v>2.8286501075054054E-24</v>
      </c>
      <c r="AX195" s="21">
        <f t="shared" si="166"/>
        <v>0.20366887363151814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226.0452828290525</v>
      </c>
      <c r="BJ195" s="59">
        <f t="shared" si="146"/>
        <v>179.89696397462069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0.36691346315997175</v>
      </c>
      <c r="BQ195" s="21">
        <f>EXP(-LN(2)/25)*BQ194+(1-EXP(-LN(2)/25))/(LN(2)/25)*Calculateur!BL195*Calculateur!BN195*VLOOKUP('Données projet'!$B$11,Paramètres!$A$1:$I$89,3,0)*0.475*44/12</f>
        <v>0.12492573552365258</v>
      </c>
      <c r="BR195" s="21">
        <f>EXP(-LN(2)/2)*BR194+(1-EXP(-LN(2)/2))/(LN(2)/2)*BL195*BO195*VLOOKUP('Données projet'!$B$11,Paramètres!$A$1:$I$89,3,0)*0.475*44/12</f>
        <v>4.5673309579568435E-24</v>
      </c>
      <c r="BS195" s="22">
        <f t="shared" si="169"/>
        <v>0.49183919868362436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-1.7053025658242404E-13</v>
      </c>
      <c r="BZ195" s="13">
        <f>BY195*VLOOKUP('Données projet'!$B$12,Paramètres!$A$1:$I$89,3,0)*VLOOKUP('Données projet'!$B$12,Paramètres!$A$1:$I$89,5,0)</f>
        <v>-1.3567387213697657E-13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219.43439115440339</v>
      </c>
      <c r="CE195" s="59">
        <f t="shared" si="148"/>
        <v>217.8880462742099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0.34043895821823594</v>
      </c>
      <c r="CL195" s="21">
        <f>EXP(-LN(2)/25)*CL194+(1-EXP(-LN(2)/25))/(LN(2)/25)*Calculateur!CG195*Calculateur!CI195*VLOOKUP('Données projet'!$B$12,Paramètres!$A$1:$I$89,3,0)*0.475*44/12</f>
        <v>0.12113283664367853</v>
      </c>
      <c r="CM195" s="21">
        <f>EXP(-LN(2)/2)*CM194+(1-EXP(-LN(2)/2))/(LN(2)/2)*CG195*CJ195*VLOOKUP('Données projet'!$B$12,Paramètres!$A$1:$I$89,3,0)*0.475*44/12</f>
        <v>3.7110004705190547E-24</v>
      </c>
      <c r="CN195" s="22">
        <f t="shared" si="172"/>
        <v>0.46157179486191446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237.64646718446005</v>
      </c>
      <c r="T196" s="59">
        <f t="shared" si="142"/>
        <v>156.67965022779907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0.1320939636847922</v>
      </c>
      <c r="AA196" s="21">
        <f>EXP(-LN(2)/25)*AA195+(1-EXP(-LN(2)/25))/(LN(2)/25)*Calculateur!V196*Calculateur!X196*VLOOKUP('Données projet'!$B$9,Paramètres!$A$1:$I$89,3,0)*0.475*44/12</f>
        <v>4.5714050188974037E-2</v>
      </c>
      <c r="AB196" s="21">
        <f>EXP(-LN(2)/2)*AB195+(1-EXP(-LN(2)/2))/(LN(2)/2)*V196*Y196*VLOOKUP('Données projet'!$B$9,Paramètres!$A$1:$I$89,3,0)*0.475*44/12</f>
        <v>1.7847560771080835E-24</v>
      </c>
      <c r="AC196" s="22">
        <f t="shared" si="163"/>
        <v>0.17780801387376624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-1.1527845344971866E-13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272.93635583300755</v>
      </c>
      <c r="AO196" s="59">
        <f t="shared" si="144"/>
        <v>179.56041631665812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0.14803633861226709</v>
      </c>
      <c r="AV196" s="21">
        <f>EXP(-LN(2)/25)*AV195+(1-EXP(-LN(2)/25))/(LN(2)/25)*Calculateur!AQ196*Calculateur!AS196*VLOOKUP('Données projet'!$B$10,Paramètres!$A$1:$I$89,3,0)*0.475*44/12</f>
        <v>5.123126314281564E-2</v>
      </c>
      <c r="AW196" s="21">
        <f>EXP(-LN(2)/2)*AW195+(1-EXP(-LN(2)/2))/(LN(2)/2)*AQ196*AT196*VLOOKUP('Données projet'!$B$10,Paramètres!$A$1:$I$89,3,0)*0.475*44/12</f>
        <v>2.0001576726211288E-24</v>
      </c>
      <c r="AX196" s="21">
        <f t="shared" si="166"/>
        <v>0.19926760175508273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226.0452828290525</v>
      </c>
      <c r="BJ196" s="59">
        <f t="shared" si="146"/>
        <v>179.89696397462069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0.3597185139425193</v>
      </c>
      <c r="BQ196" s="21">
        <f>EXP(-LN(2)/25)*BQ195+(1-EXP(-LN(2)/25))/(LN(2)/25)*Calculateur!BL196*Calculateur!BN196*VLOOKUP('Données projet'!$B$11,Paramètres!$A$1:$I$89,3,0)*0.475*44/12</f>
        <v>0.12150963471619938</v>
      </c>
      <c r="BR196" s="21">
        <f>EXP(-LN(2)/2)*BR195+(1-EXP(-LN(2)/2))/(LN(2)/2)*BL196*BO196*VLOOKUP('Données projet'!$B$11,Paramètres!$A$1:$I$89,3,0)*0.475*44/12</f>
        <v>3.2295906922945346E-24</v>
      </c>
      <c r="BS196" s="22">
        <f t="shared" si="169"/>
        <v>0.48122814865871866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-1.7053025658242404E-13</v>
      </c>
      <c r="BZ196" s="13">
        <f>BY196*VLOOKUP('Données projet'!$B$12,Paramètres!$A$1:$I$89,3,0)*VLOOKUP('Données projet'!$B$12,Paramètres!$A$1:$I$89,5,0)</f>
        <v>-1.3567387213697657E-13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219.43439115440339</v>
      </c>
      <c r="CE196" s="59">
        <f t="shared" si="148"/>
        <v>217.8880462742099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0.3337631578948374</v>
      </c>
      <c r="CL196" s="21">
        <f>EXP(-LN(2)/25)*CL195+(1-EXP(-LN(2)/25))/(LN(2)/25)*Calculateur!CG196*Calculateur!CI196*VLOOKUP('Données projet'!$B$12,Paramètres!$A$1:$I$89,3,0)*0.475*44/12</f>
        <v>0.11782045285555812</v>
      </c>
      <c r="CM196" s="21">
        <f>EXP(-LN(2)/2)*CM195+(1-EXP(-LN(2)/2))/(LN(2)/2)*CG196*CJ196*VLOOKUP('Données projet'!$B$12,Paramètres!$A$1:$I$89,3,0)*0.475*44/12</f>
        <v>2.6240735976904922E-24</v>
      </c>
      <c r="CN196" s="22">
        <f t="shared" si="172"/>
        <v>0.45158361075039555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237.64646718446005</v>
      </c>
      <c r="T197" s="59">
        <f t="shared" ref="T197:T203" si="204">$T$3</f>
        <v>156.67965022779907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0.12950368162629572</v>
      </c>
      <c r="AA197" s="21">
        <f>EXP(-LN(2)/25)*AA196+(1-EXP(-LN(2)/25))/(LN(2)/25)*Calculateur!V197*Calculateur!X197*VLOOKUP('Données projet'!$B$9,Paramètres!$A$1:$I$89,3,0)*0.475*44/12</f>
        <v>4.4463997082559124E-2</v>
      </c>
      <c r="AB197" s="21">
        <f>EXP(-LN(2)/2)*AB196+(1-EXP(-LN(2)/2))/(LN(2)/2)*V197*Y197*VLOOKUP('Données projet'!$B$9,Paramètres!$A$1:$I$89,3,0)*0.475*44/12</f>
        <v>1.2620131248870266E-24</v>
      </c>
      <c r="AC197" s="22">
        <f t="shared" si="163"/>
        <v>0.17396767870885485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-1.1527845344971866E-13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272.93635583300755</v>
      </c>
      <c r="AO197" s="59">
        <f t="shared" ref="AO197:AO203" si="205">$AO$3</f>
        <v>179.56041631665812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0.14513343630533138</v>
      </c>
      <c r="AV197" s="21">
        <f>EXP(-LN(2)/25)*AV196+(1-EXP(-LN(2)/25))/(LN(2)/25)*Calculateur!AQ197*Calculateur!AS197*VLOOKUP('Données projet'!$B$10,Paramètres!$A$1:$I$89,3,0)*0.475*44/12</f>
        <v>4.9830341558040309E-2</v>
      </c>
      <c r="AW197" s="21">
        <f>EXP(-LN(2)/2)*AW196+(1-EXP(-LN(2)/2))/(LN(2)/2)*AQ197*AT197*VLOOKUP('Données projet'!$B$10,Paramètres!$A$1:$I$89,3,0)*0.475*44/12</f>
        <v>1.4143250537527027E-24</v>
      </c>
      <c r="AX197" s="21">
        <f t="shared" si="166"/>
        <v>0.19496377786337168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226.0452828290525</v>
      </c>
      <c r="BJ197" s="59">
        <f t="shared" ref="BJ197:BJ203" si="206">$BJ$3</f>
        <v>179.89696397462069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0.35266465329073537</v>
      </c>
      <c r="BQ197" s="21">
        <f>EXP(-LN(2)/25)*BQ196+(1-EXP(-LN(2)/25))/(LN(2)/25)*Calculateur!BL197*Calculateur!BN197*VLOOKUP('Données projet'!$B$11,Paramètres!$A$1:$I$89,3,0)*0.475*44/12</f>
        <v>0.11818694736497093</v>
      </c>
      <c r="BR197" s="21">
        <f>EXP(-LN(2)/2)*BR196+(1-EXP(-LN(2)/2))/(LN(2)/2)*BL197*BO197*VLOOKUP('Données projet'!$B$11,Paramètres!$A$1:$I$89,3,0)*0.475*44/12</f>
        <v>2.2836654789784221E-24</v>
      </c>
      <c r="BS197" s="22">
        <f t="shared" si="169"/>
        <v>0.4708516006557063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-1.7053025658242404E-13</v>
      </c>
      <c r="BZ197" s="13">
        <f>BY197*VLOOKUP('Données projet'!$B$12,Paramètres!$A$1:$I$89,3,0)*VLOOKUP('Données projet'!$B$12,Paramètres!$A$1:$I$89,5,0)</f>
        <v>-1.3567387213697657E-13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219.43439115440339</v>
      </c>
      <c r="CE197" s="59">
        <f t="shared" ref="CE197:CE203" si="207">$CE$3</f>
        <v>217.8880462742099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0.32721826594394454</v>
      </c>
      <c r="CL197" s="21">
        <f>EXP(-LN(2)/25)*CL196+(1-EXP(-LN(2)/25))/(LN(2)/25)*Calculateur!CG197*Calculateur!CI197*VLOOKUP('Données projet'!$B$12,Paramètres!$A$1:$I$89,3,0)*0.475*44/12</f>
        <v>0.11459864637631455</v>
      </c>
      <c r="CM197" s="21">
        <f>EXP(-LN(2)/2)*CM196+(1-EXP(-LN(2)/2))/(LN(2)/2)*CG197*CJ197*VLOOKUP('Données projet'!$B$12,Paramètres!$A$1:$I$89,3,0)*0.475*44/12</f>
        <v>1.8555002352595273E-24</v>
      </c>
      <c r="CN197" s="22">
        <f t="shared" si="172"/>
        <v>0.4418169123202591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237.64646718446005</v>
      </c>
      <c r="T198" s="59">
        <f t="shared" si="204"/>
        <v>156.67965022779907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0.1269641934190503</v>
      </c>
      <c r="AA198" s="21">
        <f>EXP(-LN(2)/25)*AA197+(1-EXP(-LN(2)/25))/(LN(2)/25)*Calculateur!V198*Calculateur!X198*VLOOKUP('Données projet'!$B$9,Paramètres!$A$1:$I$89,3,0)*0.475*44/12</f>
        <v>4.3248126744076562E-2</v>
      </c>
      <c r="AB198" s="21">
        <f>EXP(-LN(2)/2)*AB197+(1-EXP(-LN(2)/2))/(LN(2)/2)*V198*Y198*VLOOKUP('Données projet'!$B$9,Paramètres!$A$1:$I$89,3,0)*0.475*44/12</f>
        <v>8.9237803855404177E-25</v>
      </c>
      <c r="AC198" s="22">
        <f t="shared" si="163"/>
        <v>0.17021232016312687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-1.1527845344971866E-13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272.93635583300755</v>
      </c>
      <c r="AO198" s="59">
        <f t="shared" si="205"/>
        <v>179.56041631665812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0.14228745814203908</v>
      </c>
      <c r="AV198" s="21">
        <f>EXP(-LN(2)/25)*AV197+(1-EXP(-LN(2)/25))/(LN(2)/25)*Calculateur!AQ198*Calculateur!AS198*VLOOKUP('Données projet'!$B$10,Paramètres!$A$1:$I$89,3,0)*0.475*44/12</f>
        <v>4.8467728247671919E-2</v>
      </c>
      <c r="AW198" s="21">
        <f>EXP(-LN(2)/2)*AW197+(1-EXP(-LN(2)/2))/(LN(2)/2)*AQ198*AT198*VLOOKUP('Données projet'!$B$10,Paramètres!$A$1:$I$89,3,0)*0.475*44/12</f>
        <v>1.0000788363105644E-24</v>
      </c>
      <c r="AX198" s="21">
        <f t="shared" si="166"/>
        <v>0.19075518638971101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226.0452828290525</v>
      </c>
      <c r="BJ198" s="59">
        <f t="shared" si="206"/>
        <v>179.89696397462069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0.34574911454390278</v>
      </c>
      <c r="BQ198" s="21">
        <f>EXP(-LN(2)/25)*BQ197+(1-EXP(-LN(2)/25))/(LN(2)/25)*Calculateur!BL198*Calculateur!BN198*VLOOKUP('Données projet'!$B$11,Paramètres!$A$1:$I$89,3,0)*0.475*44/12</f>
        <v>0.11495511907409435</v>
      </c>
      <c r="BR198" s="21">
        <f>EXP(-LN(2)/2)*BR197+(1-EXP(-LN(2)/2))/(LN(2)/2)*BL198*BO198*VLOOKUP('Données projet'!$B$11,Paramètres!$A$1:$I$89,3,0)*0.475*44/12</f>
        <v>1.6147953461472675E-24</v>
      </c>
      <c r="BS198" s="22">
        <f t="shared" si="169"/>
        <v>0.46070423361799712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-1.7053025658242404E-13</v>
      </c>
      <c r="BZ198" s="13">
        <f>BY198*VLOOKUP('Données projet'!$B$12,Paramètres!$A$1:$I$89,3,0)*VLOOKUP('Données projet'!$B$12,Paramètres!$A$1:$I$89,5,0)</f>
        <v>-1.3567387213697657E-13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219.43439115440339</v>
      </c>
      <c r="CE198" s="59">
        <f t="shared" si="207"/>
        <v>217.8880462742099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0.3208017153322188</v>
      </c>
      <c r="CL198" s="21">
        <f>EXP(-LN(2)/25)*CL197+(1-EXP(-LN(2)/25))/(LN(2)/25)*Calculateur!CG198*Calculateur!CI198*VLOOKUP('Données projet'!$B$12,Paramètres!$A$1:$I$89,3,0)*0.475*44/12</f>
        <v>0.11146494036467333</v>
      </c>
      <c r="CM198" s="21">
        <f>EXP(-LN(2)/2)*CM197+(1-EXP(-LN(2)/2))/(LN(2)/2)*CG198*CJ198*VLOOKUP('Données projet'!$B$12,Paramètres!$A$1:$I$89,3,0)*0.475*44/12</f>
        <v>1.3120367988452461E-24</v>
      </c>
      <c r="CN198" s="22">
        <f t="shared" si="172"/>
        <v>0.43226665569689215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237.64646718446005</v>
      </c>
      <c r="T199" s="59">
        <f t="shared" si="204"/>
        <v>156.67965022779907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0.12447450302661409</v>
      </c>
      <c r="AA199" s="21">
        <f>EXP(-LN(2)/25)*AA198+(1-EXP(-LN(2)/25))/(LN(2)/25)*Calculateur!V199*Calculateur!X199*VLOOKUP('Données projet'!$B$9,Paramètres!$A$1:$I$89,3,0)*0.475*44/12</f>
        <v>4.2065504443939646E-2</v>
      </c>
      <c r="AB199" s="21">
        <f>EXP(-LN(2)/2)*AB198+(1-EXP(-LN(2)/2))/(LN(2)/2)*V199*Y199*VLOOKUP('Données projet'!$B$9,Paramètres!$A$1:$I$89,3,0)*0.475*44/12</f>
        <v>6.3100656244351329E-25</v>
      </c>
      <c r="AC199" s="22">
        <f t="shared" si="163"/>
        <v>0.16654000747055372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-1.1527845344971866E-13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272.93635583300755</v>
      </c>
      <c r="AO199" s="59">
        <f t="shared" si="205"/>
        <v>179.56041631665812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0.13949728787465368</v>
      </c>
      <c r="AV199" s="21">
        <f>EXP(-LN(2)/25)*AV198+(1-EXP(-LN(2)/25))/(LN(2)/25)*Calculateur!AQ199*Calculateur!AS199*VLOOKUP('Données projet'!$B$10,Paramètres!$A$1:$I$89,3,0)*0.475*44/12</f>
        <v>4.7142375669932277E-2</v>
      </c>
      <c r="AW199" s="21">
        <f>EXP(-LN(2)/2)*AW198+(1-EXP(-LN(2)/2))/(LN(2)/2)*AQ199*AT199*VLOOKUP('Données projet'!$B$10,Paramètres!$A$1:$I$89,3,0)*0.475*44/12</f>
        <v>7.0716252687635134E-25</v>
      </c>
      <c r="AX199" s="21">
        <f t="shared" si="166"/>
        <v>0.18663966354458594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226.0452828290525</v>
      </c>
      <c r="BJ199" s="59">
        <f t="shared" si="206"/>
        <v>179.89696397462069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0.33896918529383346</v>
      </c>
      <c r="BQ199" s="21">
        <f>EXP(-LN(2)/25)*BQ198+(1-EXP(-LN(2)/25))/(LN(2)/25)*Calculateur!BL199*Calculateur!BN199*VLOOKUP('Données projet'!$B$11,Paramètres!$A$1:$I$89,3,0)*0.475*44/12</f>
        <v>0.11181166529778626</v>
      </c>
      <c r="BR199" s="21">
        <f>EXP(-LN(2)/2)*BR198+(1-EXP(-LN(2)/2))/(LN(2)/2)*BL199*BO199*VLOOKUP('Données projet'!$B$11,Paramètres!$A$1:$I$89,3,0)*0.475*44/12</f>
        <v>1.1418327394892113E-24</v>
      </c>
      <c r="BS199" s="22">
        <f t="shared" si="169"/>
        <v>0.45078085059161971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-1.7053025658242404E-13</v>
      </c>
      <c r="BZ199" s="13">
        <f>BY199*VLOOKUP('Données projet'!$B$12,Paramètres!$A$1:$I$89,3,0)*VLOOKUP('Données projet'!$B$12,Paramètres!$A$1:$I$89,5,0)</f>
        <v>-1.3567387213697657E-13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219.43439115440339</v>
      </c>
      <c r="CE199" s="59">
        <f t="shared" si="207"/>
        <v>217.8880462742099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0.31451098936427957</v>
      </c>
      <c r="CL199" s="21">
        <f>EXP(-LN(2)/25)*CL198+(1-EXP(-LN(2)/25))/(LN(2)/25)*Calculateur!CG199*Calculateur!CI199*VLOOKUP('Données projet'!$B$12,Paramètres!$A$1:$I$89,3,0)*0.475*44/12</f>
        <v>0.10841692570871488</v>
      </c>
      <c r="CM199" s="21">
        <f>EXP(-LN(2)/2)*CM198+(1-EXP(-LN(2)/2))/(LN(2)/2)*CG199*CJ199*VLOOKUP('Données projet'!$B$12,Paramètres!$A$1:$I$89,3,0)*0.475*44/12</f>
        <v>9.2775011762976367E-25</v>
      </c>
      <c r="CN199" s="22">
        <f t="shared" si="172"/>
        <v>0.42292791507299443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237.64646718446005</v>
      </c>
      <c r="T200" s="59">
        <f t="shared" si="204"/>
        <v>156.67965022779907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0.12203363394421236</v>
      </c>
      <c r="AA200" s="21">
        <f>EXP(-LN(2)/25)*AA199+(1-EXP(-LN(2)/25))/(LN(2)/25)*Calculateur!V200*Calculateur!X200*VLOOKUP('Données projet'!$B$9,Paramètres!$A$1:$I$89,3,0)*0.475*44/12</f>
        <v>4.0915221012791381E-2</v>
      </c>
      <c r="AB200" s="21">
        <f>EXP(-LN(2)/2)*AB199+(1-EXP(-LN(2)/2))/(LN(2)/2)*V200*Y200*VLOOKUP('Données projet'!$B$9,Paramètres!$A$1:$I$89,3,0)*0.475*44/12</f>
        <v>4.4618901927702089E-25</v>
      </c>
      <c r="AC200" s="22">
        <f t="shared" si="163"/>
        <v>0.16294885495700373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-1.1527845344971866E-13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272.93635583300755</v>
      </c>
      <c r="AO200" s="59">
        <f t="shared" si="205"/>
        <v>179.56041631665812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0.13676183114437587</v>
      </c>
      <c r="AV200" s="21">
        <f>EXP(-LN(2)/25)*AV199+(1-EXP(-LN(2)/25))/(LN(2)/25)*Calculateur!AQ200*Calculateur!AS200*VLOOKUP('Données projet'!$B$10,Paramètres!$A$1:$I$89,3,0)*0.475*44/12</f>
        <v>4.585326492812819E-2</v>
      </c>
      <c r="AW200" s="21">
        <f>EXP(-LN(2)/2)*AW199+(1-EXP(-LN(2)/2))/(LN(2)/2)*AQ200*AT200*VLOOKUP('Données projet'!$B$10,Paramètres!$A$1:$I$89,3,0)*0.475*44/12</f>
        <v>5.0003941815528219E-25</v>
      </c>
      <c r="AX200" s="21">
        <f t="shared" si="166"/>
        <v>0.18261509607250406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226.0452828290525</v>
      </c>
      <c r="BJ200" s="59">
        <f t="shared" si="206"/>
        <v>179.89696397462069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0.33232220632100945</v>
      </c>
      <c r="BQ200" s="21">
        <f>EXP(-LN(2)/25)*BQ199+(1-EXP(-LN(2)/25))/(LN(2)/25)*Calculateur!BL200*Calculateur!BN200*VLOOKUP('Données projet'!$B$11,Paramètres!$A$1:$I$89,3,0)*0.475*44/12</f>
        <v>0.10875416943029836</v>
      </c>
      <c r="BR200" s="21">
        <f>EXP(-LN(2)/2)*BR199+(1-EXP(-LN(2)/2))/(LN(2)/2)*BL200*BO200*VLOOKUP('Données projet'!$B$11,Paramètres!$A$1:$I$89,3,0)*0.475*44/12</f>
        <v>8.0739767307363384E-25</v>
      </c>
      <c r="BS200" s="22">
        <f t="shared" si="169"/>
        <v>0.44107637575130781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-1.7053025658242404E-13</v>
      </c>
      <c r="BZ200" s="13">
        <f>BY200*VLOOKUP('Données projet'!$B$12,Paramètres!$A$1:$I$89,3,0)*VLOOKUP('Données projet'!$B$12,Paramètres!$A$1:$I$89,5,0)</f>
        <v>-1.3567387213697657E-13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219.43439115440339</v>
      </c>
      <c r="CE200" s="59">
        <f t="shared" si="207"/>
        <v>217.8880462742099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0.30834362069560767</v>
      </c>
      <c r="CL200" s="21">
        <f>EXP(-LN(2)/25)*CL199+(1-EXP(-LN(2)/25))/(LN(2)/25)*Calculateur!CG200*Calculateur!CI200*VLOOKUP('Données projet'!$B$12,Paramètres!$A$1:$I$89,3,0)*0.475*44/12</f>
        <v>0.10545225917381174</v>
      </c>
      <c r="CM200" s="21">
        <f>EXP(-LN(2)/2)*CM199+(1-EXP(-LN(2)/2))/(LN(2)/2)*CG200*CJ200*VLOOKUP('Données projet'!$B$12,Paramètres!$A$1:$I$89,3,0)*0.475*44/12</f>
        <v>6.5601839942262305E-25</v>
      </c>
      <c r="CN200" s="22">
        <f t="shared" si="172"/>
        <v>0.4137958798694194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237.64646718446005</v>
      </c>
      <c r="T201" s="59">
        <f t="shared" si="204"/>
        <v>156.67965022779907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0.1196406288157334</v>
      </c>
      <c r="AA201" s="21">
        <f>EXP(-LN(2)/25)*AA200+(1-EXP(-LN(2)/25))/(LN(2)/25)*Calculateur!V201*Calculateur!X201*VLOOKUP('Données projet'!$B$9,Paramètres!$A$1:$I$89,3,0)*0.475*44/12</f>
        <v>3.9796392142558638E-2</v>
      </c>
      <c r="AB201" s="21">
        <f>EXP(-LN(2)/2)*AB200+(1-EXP(-LN(2)/2))/(LN(2)/2)*V201*Y201*VLOOKUP('Données projet'!$B$9,Paramètres!$A$1:$I$89,3,0)*0.475*44/12</f>
        <v>3.1550328122175664E-25</v>
      </c>
      <c r="AC201" s="22">
        <f t="shared" si="163"/>
        <v>0.15943702095829204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-1.1527845344971866E-13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272.93635583300755</v>
      </c>
      <c r="AO201" s="59">
        <f t="shared" si="205"/>
        <v>179.56041631665812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0.13408001505211498</v>
      </c>
      <c r="AV201" s="21">
        <f>EXP(-LN(2)/25)*AV200+(1-EXP(-LN(2)/25))/(LN(2)/25)*Calculateur!AQ201*Calculateur!AS201*VLOOKUP('Données projet'!$B$10,Paramètres!$A$1:$I$89,3,0)*0.475*44/12</f>
        <v>4.4599404987350121E-2</v>
      </c>
      <c r="AW201" s="21">
        <f>EXP(-LN(2)/2)*AW200+(1-EXP(-LN(2)/2))/(LN(2)/2)*AQ201*AT201*VLOOKUP('Données projet'!$B$10,Paramètres!$A$1:$I$89,3,0)*0.475*44/12</f>
        <v>3.5358126343817567E-25</v>
      </c>
      <c r="AX201" s="21">
        <f t="shared" si="166"/>
        <v>0.1786794200394651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226.0452828290525</v>
      </c>
      <c r="BJ201" s="59">
        <f t="shared" si="206"/>
        <v>179.89696397462069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0.32580557055158571</v>
      </c>
      <c r="BQ201" s="21">
        <f>EXP(-LN(2)/25)*BQ200+(1-EXP(-LN(2)/25))/(LN(2)/25)*Calculateur!BL201*Calculateur!BN201*VLOOKUP('Données projet'!$B$11,Paramètres!$A$1:$I$89,3,0)*0.475*44/12</f>
        <v>0.10578028094809365</v>
      </c>
      <c r="BR201" s="21">
        <f>EXP(-LN(2)/2)*BR200+(1-EXP(-LN(2)/2))/(LN(2)/2)*BL201*BO201*VLOOKUP('Données projet'!$B$11,Paramètres!$A$1:$I$89,3,0)*0.475*44/12</f>
        <v>5.7091636974460572E-25</v>
      </c>
      <c r="BS201" s="22">
        <f t="shared" si="169"/>
        <v>0.43158585149967937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-1.7053025658242404E-13</v>
      </c>
      <c r="BZ201" s="13">
        <f>BY201*VLOOKUP('Données projet'!$B$12,Paramètres!$A$1:$I$89,3,0)*VLOOKUP('Données projet'!$B$12,Paramètres!$A$1:$I$89,5,0)</f>
        <v>-1.3567387213697657E-13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219.43439115440339</v>
      </c>
      <c r="CE201" s="59">
        <f t="shared" si="207"/>
        <v>217.8880462742099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0.30229719036480496</v>
      </c>
      <c r="CL201" s="21">
        <f>EXP(-LN(2)/25)*CL200+(1-EXP(-LN(2)/25))/(LN(2)/25)*Calculateur!CG201*Calculateur!CI201*VLOOKUP('Données projet'!$B$12,Paramètres!$A$1:$I$89,3,0)*0.475*44/12</f>
        <v>0.10256866160121056</v>
      </c>
      <c r="CM201" s="21">
        <f>EXP(-LN(2)/2)*CM200+(1-EXP(-LN(2)/2))/(LN(2)/2)*CG201*CJ201*VLOOKUP('Données projet'!$B$12,Paramètres!$A$1:$I$89,3,0)*0.475*44/12</f>
        <v>4.6387505881488184E-25</v>
      </c>
      <c r="CN201" s="22">
        <f t="shared" si="172"/>
        <v>0.40486585196601554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237.64646718446005</v>
      </c>
      <c r="T202" s="59">
        <f t="shared" si="204"/>
        <v>156.67965022779907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0.1172945490582349</v>
      </c>
      <c r="AA202" s="21">
        <f>EXP(-LN(2)/25)*AA201+(1-EXP(-LN(2)/25))/(LN(2)/25)*Calculateur!V202*Calculateur!X202*VLOOKUP('Données projet'!$B$9,Paramètres!$A$1:$I$89,3,0)*0.475*44/12</f>
        <v>3.8708157706619069E-2</v>
      </c>
      <c r="AB202" s="21">
        <f>EXP(-LN(2)/2)*AB201+(1-EXP(-LN(2)/2))/(LN(2)/2)*V202*Y202*VLOOKUP('Données projet'!$B$9,Paramètres!$A$1:$I$89,3,0)*0.475*44/12</f>
        <v>2.2309450963851044E-25</v>
      </c>
      <c r="AC202" s="22">
        <f t="shared" si="163"/>
        <v>0.15600270676485398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-1.1527845344971866E-13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272.93635583300755</v>
      </c>
      <c r="AO202" s="59">
        <f t="shared" si="205"/>
        <v>179.56041631665812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0.13145078773767702</v>
      </c>
      <c r="AV202" s="21">
        <f>EXP(-LN(2)/25)*AV201+(1-EXP(-LN(2)/25))/(LN(2)/25)*Calculateur!AQ202*Calculateur!AS202*VLOOKUP('Données projet'!$B$10,Paramètres!$A$1:$I$89,3,0)*0.475*44/12</f>
        <v>4.3379831912590254E-2</v>
      </c>
      <c r="AW202" s="21">
        <f>EXP(-LN(2)/2)*AW201+(1-EXP(-LN(2)/2))/(LN(2)/2)*AQ202*AT202*VLOOKUP('Données projet'!$B$10,Paramètres!$A$1:$I$89,3,0)*0.475*44/12</f>
        <v>2.500197090776411E-25</v>
      </c>
      <c r="AX202" s="21">
        <f t="shared" si="166"/>
        <v>0.17483061965026728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226.0452828290525</v>
      </c>
      <c r="BJ202" s="59">
        <f t="shared" si="206"/>
        <v>179.89696397462069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0.319416722034845</v>
      </c>
      <c r="BQ202" s="21">
        <f>EXP(-LN(2)/25)*BQ201+(1-EXP(-LN(2)/25))/(LN(2)/25)*Calculateur!BL202*Calculateur!BN202*VLOOKUP('Données projet'!$B$11,Paramètres!$A$1:$I$89,3,0)*0.475*44/12</f>
        <v>0.10288771360282482</v>
      </c>
      <c r="BR202" s="21">
        <f>EXP(-LN(2)/2)*BR201+(1-EXP(-LN(2)/2))/(LN(2)/2)*BL202*BO202*VLOOKUP('Données projet'!$B$11,Paramètres!$A$1:$I$89,3,0)*0.475*44/12</f>
        <v>4.0369883653681701E-25</v>
      </c>
      <c r="BS202" s="22">
        <f t="shared" si="169"/>
        <v>0.42230443563766984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-1.7053025658242404E-13</v>
      </c>
      <c r="BZ202" s="13">
        <f>BY202*VLOOKUP('Données projet'!$B$12,Paramètres!$A$1:$I$89,3,0)*VLOOKUP('Données projet'!$B$12,Paramètres!$A$1:$I$89,5,0)</f>
        <v>-1.3567387213697657E-13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219.43439115440339</v>
      </c>
      <c r="CE202" s="59">
        <f t="shared" si="207"/>
        <v>217.8880462742099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0.29636932684483092</v>
      </c>
      <c r="CL202" s="21">
        <f>EXP(-LN(2)/25)*CL201+(1-EXP(-LN(2)/25))/(LN(2)/25)*Calculateur!CG202*Calculateur!CI202*VLOOKUP('Données projet'!$B$12,Paramètres!$A$1:$I$89,3,0)*0.475*44/12</f>
        <v>9.9763916155873961E-2</v>
      </c>
      <c r="CM202" s="21">
        <f>EXP(-LN(2)/2)*CM201+(1-EXP(-LN(2)/2))/(LN(2)/2)*CG202*CJ202*VLOOKUP('Données projet'!$B$12,Paramètres!$A$1:$I$89,3,0)*0.475*44/12</f>
        <v>3.2800919971131152E-25</v>
      </c>
      <c r="CN202" s="22">
        <f t="shared" si="172"/>
        <v>0.39613324300070485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237.64646718446005</v>
      </c>
      <c r="T203" s="59">
        <f t="shared" si="204"/>
        <v>156.67965022779907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0.1149944744938136</v>
      </c>
      <c r="AA203" s="21">
        <f>EXP(-LN(2)/25)*AA202+(1-EXP(-LN(2)/25))/(LN(2)/25)*Calculateur!V203*Calculateur!X203*VLOOKUP('Données projet'!$B$9,Paramètres!$A$1:$I$89,3,0)*0.475*44/12</f>
        <v>3.7649681098558027E-2</v>
      </c>
      <c r="AB203" s="21">
        <f>EXP(-LN(2)/2)*AB202+(1-EXP(-LN(2)/2))/(LN(2)/2)*V203*Y203*VLOOKUP('Données projet'!$B$9,Paramètres!$A$1:$I$89,3,0)*0.475*44/12</f>
        <v>1.5775164061087832E-25</v>
      </c>
      <c r="AC203" s="22">
        <f t="shared" si="163"/>
        <v>0.15264415559237163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-1.1527845344971866E-13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272.93635583300755</v>
      </c>
      <c r="AO203" s="59">
        <f t="shared" si="205"/>
        <v>179.56041631665812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0.12887311796720485</v>
      </c>
      <c r="AV203" s="21">
        <f>EXP(-LN(2)/25)*AV202+(1-EXP(-LN(2)/25))/(LN(2)/25)*Calculateur!AQ203*Calculateur!AS203*VLOOKUP('Données projet'!$B$10,Paramètres!$A$1:$I$89,3,0)*0.475*44/12</f>
        <v>4.2193608127694258E-2</v>
      </c>
      <c r="AW203" s="21">
        <f>EXP(-LN(2)/2)*AW202+(1-EXP(-LN(2)/2))/(LN(2)/2)*AQ203*AT203*VLOOKUP('Données projet'!$B$10,Paramètres!$A$1:$I$89,3,0)*0.475*44/12</f>
        <v>1.7679063171908783E-25</v>
      </c>
      <c r="AX203" s="21">
        <f t="shared" si="166"/>
        <v>0.17106672609489912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226.0452828290525</v>
      </c>
      <c r="BJ203" s="59">
        <f t="shared" si="206"/>
        <v>179.89696397462069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0.31315315494070478</v>
      </c>
      <c r="BQ203" s="21">
        <f>EXP(-LN(2)/25)*BQ202+(1-EXP(-LN(2)/25))/(LN(2)/25)*Calculateur!BL203*Calculateur!BN203*VLOOKUP('Données projet'!$B$11,Paramètres!$A$1:$I$89,3,0)*0.475*44/12</f>
        <v>0.10007424366372587</v>
      </c>
      <c r="BR203" s="21">
        <f>EXP(-LN(2)/2)*BR202+(1-EXP(-LN(2)/2))/(LN(2)/2)*BL203*BO203*VLOOKUP('Données projet'!$B$11,Paramètres!$A$1:$I$89,3,0)*0.475*44/12</f>
        <v>2.854581848723029E-25</v>
      </c>
      <c r="BS203" s="22">
        <f t="shared" si="169"/>
        <v>0.41322739860443064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-1.7053025658242404E-13</v>
      </c>
      <c r="BZ203" s="13">
        <f>BY203*VLOOKUP('Données projet'!$B$12,Paramètres!$A$1:$I$89,3,0)*VLOOKUP('Données projet'!$B$12,Paramètres!$A$1:$I$89,5,0)</f>
        <v>-1.3567387213697657E-13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219.43439115440339</v>
      </c>
      <c r="CE203" s="59">
        <f t="shared" si="207"/>
        <v>217.8880462742099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0.29055770511284384</v>
      </c>
      <c r="CL203" s="21">
        <f>EXP(-LN(2)/25)*CL202+(1-EXP(-LN(2)/25))/(LN(2)/25)*Calculateur!CG203*Calculateur!CI203*VLOOKUP('Données projet'!$B$12,Paramètres!$A$1:$I$89,3,0)*0.475*44/12</f>
        <v>9.7035866622235248E-2</v>
      </c>
      <c r="CM203" s="21">
        <f>EXP(-LN(2)/2)*CM202+(1-EXP(-LN(2)/2))/(LN(2)/2)*CG203*CJ203*VLOOKUP('Données projet'!$B$12,Paramètres!$A$1:$I$89,3,0)*0.475*44/12</f>
        <v>2.3193752940744092E-25</v>
      </c>
      <c r="CN203" s="22">
        <f t="shared" si="172"/>
        <v>0.38759357173507908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1.2880503926580862</v>
      </c>
      <c r="BV205" s="82">
        <f>EXP(LN('Données projet'!B114)/'Données projet'!A114)</f>
        <v>1.2721747796233518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0.69299999999999995</v>
      </c>
      <c r="C6" s="147">
        <f ca="1">IF(OR('Données projet'!B9="",'Données projet'!C9="",'Données projet'!C9=0%),0,Calculateur!S3)</f>
        <v>237.64646718446005</v>
      </c>
      <c r="D6" s="147">
        <f>IF(OR('Données projet'!B9="",'Données projet'!C9="",'Données projet'!C9=0%),0,Calculateur!T3)</f>
        <v>156.67965022779907</v>
      </c>
      <c r="E6" s="147">
        <f ca="1">MIN(C6,D6)</f>
        <v>156.67965022779907</v>
      </c>
      <c r="F6" s="147">
        <f ca="1">E6*B6</f>
        <v>108.57899760786475</v>
      </c>
      <c r="G6" s="147">
        <f ca="1">F6*(100%-'Données projet'!$C$24)*(100%-'Données projet'!$C$25)*(100%-'Données projet'!$C$26)*(100%-'Données projet'!$C$27)</f>
        <v>97.721097847078283</v>
      </c>
      <c r="H6" s="148">
        <f>IF(OR('Données projet'!B9="",'Données projet'!C9="",'Données projet'!C9=0%),0,AVERAGE(Calculateur!$AC$3:$AC$33)*B6)</f>
        <v>0.7086869993985131</v>
      </c>
      <c r="I6" s="149">
        <f>H6*(100%-'Données projet'!$C$24)*(100%-'Données projet'!$C$25)*(100%-'Données projet'!$C$26)*(100%-'Données projet'!$C$27)</f>
        <v>0.63781829945866175</v>
      </c>
      <c r="J6" s="150">
        <f>IF(OR('Données projet'!B9="",'Données projet'!C9="",'Données projet'!C9=0%),0,SUM(Calculateur!$V$3:$V$33)*VLOOKUP('Données projet'!$B$9,Paramètres!$A$1:$I$89,9,0)*B6)</f>
        <v>5.0242499999999994</v>
      </c>
      <c r="K6" s="151">
        <f>J6*(100%-'Données projet'!$C$24)*(100%-'Données projet'!$C$25)*(100%-'Données projet'!$C$26)*(100%-'Données projet'!$C$27)</f>
        <v>4.5218249999999998</v>
      </c>
      <c r="L6" s="152">
        <f ca="1">G6+I6+K6</f>
        <v>102.88074114653693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0.46200000000000002</v>
      </c>
      <c r="C7" s="147">
        <f ca="1">IF(OR('Données projet'!B10="",'Données projet'!C10="",'Données projet'!C10=0%),0,Calculateur!AN3)</f>
        <v>272.93635583300755</v>
      </c>
      <c r="D7" s="147">
        <f>IF(OR('Données projet'!B10="",'Données projet'!C10="",'Données projet'!C10=0%),0,Calculateur!AO3)</f>
        <v>179.56041631665812</v>
      </c>
      <c r="E7" s="147">
        <f t="shared" ref="E7:E15" ca="1" si="0">MIN(C7,D7)</f>
        <v>179.56041631665812</v>
      </c>
      <c r="F7" s="147">
        <f t="shared" ref="F7:F15" ca="1" si="1">E7*B7</f>
        <v>82.95691233829605</v>
      </c>
      <c r="G7" s="147">
        <f ca="1">F7*(100%-'Données projet'!$C$24)*(100%-'Données projet'!$C$25)*(100%-'Données projet'!$C$26)*(100%-'Données projet'!$C$27)</f>
        <v>74.661221104466449</v>
      </c>
      <c r="H7" s="155">
        <f>IF(OR('Données projet'!B10="",'Données projet'!C10="",'Données projet'!C10=0%),0,AVERAGE(Calculateur!$AX$3:$AX$33)*B7)</f>
        <v>0.52947879265406173</v>
      </c>
      <c r="I7" s="149">
        <f>H7*(100%-'Données projet'!$C$24)*(100%-'Données projet'!$C$25)*(100%-'Données projet'!$C$26)*(100%-'Données projet'!$C$27)</f>
        <v>0.47653091338865555</v>
      </c>
      <c r="J7" s="150">
        <f>IF(OR('Données projet'!B10="",'Données projet'!C10="",'Données projet'!C10=0%),0,SUM(Calculateur!$AQ$3:$AQ$33)*VLOOKUP('Données projet'!$B$10,Paramètres!$A$1:$I$89,9,0)*B7)</f>
        <v>3.3495000000000004</v>
      </c>
      <c r="K7" s="151">
        <f>J7*(100%-'Données projet'!$C$24)*(100%-'Données projet'!$C$25)*(100%-'Données projet'!$C$26)*(100%-'Données projet'!$C$27)</f>
        <v>3.0145500000000003</v>
      </c>
      <c r="L7" s="152">
        <f t="shared" ref="L7:L15" ca="1" si="2">G7+I7+K7</f>
        <v>78.152302017855106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0.69299999999999995</v>
      </c>
      <c r="C8" s="147">
        <f ca="1">IF(OR('Données projet'!B11="",'Données projet'!C11="",'Données projet'!C11=0%),0,Calculateur!BI3)</f>
        <v>226.0452828290525</v>
      </c>
      <c r="D8" s="147">
        <f>IF(OR('Données projet'!B11="",'Données projet'!C11="",'Données projet'!C11=0%),0,Calculateur!BJ3)</f>
        <v>179.89696397462069</v>
      </c>
      <c r="E8" s="147">
        <f t="shared" ca="1" si="0"/>
        <v>179.89696397462069</v>
      </c>
      <c r="F8" s="147">
        <f t="shared" ca="1" si="1"/>
        <v>124.66859603441213</v>
      </c>
      <c r="G8" s="147">
        <f ca="1">F8*(100%-'Données projet'!$C$24)*(100%-'Données projet'!$C$25)*(100%-'Données projet'!$C$26)*(100%-'Données projet'!$C$27)</f>
        <v>112.20173643097093</v>
      </c>
      <c r="H8" s="155">
        <f>IF(OR('Données projet'!B11="",'Données projet'!C11="",'Données projet'!C11=0%),0,AVERAGE(Calculateur!$BS$3:$BS$33)*B8)</f>
        <v>2.7119776157030131</v>
      </c>
      <c r="I8" s="149">
        <f>H8*(100%-'Données projet'!$C$24)*(100%-'Données projet'!$C$25)*(100%-'Données projet'!$C$26)*(100%-'Données projet'!$C$27)</f>
        <v>2.4407798541327117</v>
      </c>
      <c r="J8" s="150">
        <f>IF(OR('Données projet'!B11="",'Données projet'!C11="",'Données projet'!C11=0%),0,SUM(Calculateur!$BL$3:$BL$33)*VLOOKUP('Données projet'!$B$11,Paramètres!$A$1:$I$89,9,0)*B8)</f>
        <v>31.735934999999998</v>
      </c>
      <c r="K8" s="151">
        <f>J8*(100%-'Données projet'!$C$24)*(100%-'Données projet'!$C$25)*(100%-'Données projet'!$C$26)*(100%-'Données projet'!$C$27)</f>
        <v>28.562341499999999</v>
      </c>
      <c r="L8" s="152">
        <f t="shared" ca="1" si="2"/>
        <v>143.20485778510363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Erable sycomore</v>
      </c>
      <c r="B9" s="154">
        <f>'Données projet'!D12</f>
        <v>0.46200000000000002</v>
      </c>
      <c r="C9" s="147">
        <f ca="1">IF(OR('Données projet'!B12="",'Données projet'!C12="",'Données projet'!C12=0%),0,Calculateur!CD3)</f>
        <v>219.43439115440339</v>
      </c>
      <c r="D9" s="147">
        <f>IF(OR('Données projet'!B12="",'Données projet'!C12="",'Données projet'!C12=0%),0,Calculateur!CE3)</f>
        <v>217.8880462742099</v>
      </c>
      <c r="E9" s="147">
        <f t="shared" ca="1" si="0"/>
        <v>217.8880462742099</v>
      </c>
      <c r="F9" s="147">
        <f t="shared" ca="1" si="1"/>
        <v>100.66427737868497</v>
      </c>
      <c r="G9" s="147">
        <f ca="1">F9*(100%-'Données projet'!$C$24)*(100%-'Données projet'!$C$25)*(100%-'Données projet'!$C$26)*(100%-'Données projet'!$C$27)</f>
        <v>90.597849640816477</v>
      </c>
      <c r="H9" s="155">
        <f>IF(OR('Données projet'!B12="",'Données projet'!C12="",'Données projet'!C12=0%),0,AVERAGE(Calculateur!$CN$3:$CN$33)*B9)</f>
        <v>3.4266114389770279</v>
      </c>
      <c r="I9" s="149">
        <f>H9*(100%-'Données projet'!$C$24)*(100%-'Données projet'!$C$25)*(100%-'Données projet'!$C$26)*(100%-'Données projet'!$C$27)</f>
        <v>3.0839502950793252</v>
      </c>
      <c r="J9" s="150">
        <f>IF(OR('Données projet'!B12="",'Données projet'!C12="",'Données projet'!C12=0%),0,SUM(Calculateur!$CG$3:$CG$33)*VLOOKUP('Données projet'!$B$12,Paramètres!$A$1:$I$89,9,0)*B9)</f>
        <v>11.4345</v>
      </c>
      <c r="K9" s="151">
        <f>J9*(100%-'Données projet'!$C$24)*(100%-'Données projet'!$C$25)*(100%-'Données projet'!$C$26)*(100%-'Données projet'!$C$27)</f>
        <v>10.29105</v>
      </c>
      <c r="L9" s="152">
        <f t="shared" ca="1" si="2"/>
        <v>103.97284993589579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416.86878335925792</v>
      </c>
      <c r="G16" s="166">
        <f t="shared" ca="1" si="3"/>
        <v>375.18190502333215</v>
      </c>
      <c r="H16" s="167">
        <f t="shared" si="3"/>
        <v>7.3767548467326165</v>
      </c>
      <c r="I16" s="167">
        <f t="shared" si="3"/>
        <v>6.6390793620593538</v>
      </c>
      <c r="J16" s="168">
        <f t="shared" si="3"/>
        <v>51.544184999999999</v>
      </c>
      <c r="K16" s="168">
        <f t="shared" si="3"/>
        <v>46.389766499999993</v>
      </c>
      <c r="L16" s="169">
        <f t="shared" ca="1" si="3"/>
        <v>428.21075088539146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7" zoomScale="80" zoomScaleNormal="80" workbookViewId="0">
      <selection activeCell="C133" sqref="C1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-2583.7520510696022</v>
      </c>
      <c r="U10" s="178">
        <f>'Données projet'!D9</f>
        <v>0.69299999999999995</v>
      </c>
      <c r="V10" s="177">
        <f>U10*T10</f>
        <v>-1790.5401713912343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-2656.0411514929428</v>
      </c>
      <c r="U11" s="178">
        <f>'Données projet'!D10</f>
        <v>0.46200000000000002</v>
      </c>
      <c r="V11" s="177">
        <f t="shared" ref="V11" si="0">U11*T11</f>
        <v>-1227.0910119897396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-1004.3565988394657</v>
      </c>
      <c r="U12" s="178">
        <f>'Données projet'!D11</f>
        <v>0.69299999999999995</v>
      </c>
      <c r="V12" s="177">
        <f t="shared" ref="V12:V19" si="1">U12*T12</f>
        <v>-696.01912299574974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-1307.7623883074962</v>
      </c>
      <c r="U13" s="178">
        <f>'Données projet'!D12</f>
        <v>0.46200000000000002</v>
      </c>
      <c r="V13" s="177">
        <f t="shared" si="1"/>
        <v>-604.18622339806325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1300*(1.45+0.8)</f>
        <v>2925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1199.9999999999989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(2900+3708+450+6402)/2.31</f>
        <v>5826.8398268398269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v>1.3</v>
      </c>
      <c r="D23" s="182">
        <f>B23*C23</f>
        <v>10.4</v>
      </c>
      <c r="E23" s="193"/>
      <c r="F23" s="230"/>
      <c r="H23" s="190">
        <v>3</v>
      </c>
      <c r="I23" s="191">
        <v>650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-21251.767625915589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v>1.3</v>
      </c>
      <c r="D24" s="182">
        <f t="shared" ref="D24:D42" si="2">B24*C24</f>
        <v>27.3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81.938873730078228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21</v>
      </c>
      <c r="C25" s="193">
        <v>2.2799999999999998</v>
      </c>
      <c r="D25" s="182">
        <f t="shared" si="2"/>
        <v>47.879999999999995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-21333.706499645668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21</v>
      </c>
      <c r="C26" s="193">
        <v>2.2799999999999998</v>
      </c>
      <c r="D26" s="182">
        <f t="shared" si="2"/>
        <v>47.879999999999995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45</v>
      </c>
      <c r="B27" s="181">
        <f>'Données projet'!D40</f>
        <v>21</v>
      </c>
      <c r="C27" s="193">
        <v>2.2799999999999998</v>
      </c>
      <c r="D27" s="182">
        <f t="shared" si="2"/>
        <v>47.879999999999995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50</v>
      </c>
      <c r="B28" s="181">
        <f>'Données projet'!D41</f>
        <v>21</v>
      </c>
      <c r="C28" s="193">
        <v>2.2799999999999998</v>
      </c>
      <c r="D28" s="182">
        <f t="shared" si="2"/>
        <v>47.879999999999995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55</v>
      </c>
      <c r="B29" s="181">
        <f>'Données projet'!D42</f>
        <v>21</v>
      </c>
      <c r="C29" s="193">
        <v>2.83</v>
      </c>
      <c r="D29" s="182">
        <f t="shared" si="2"/>
        <v>59.43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60</v>
      </c>
      <c r="B30" s="181">
        <f>'Données projet'!D43</f>
        <v>21</v>
      </c>
      <c r="C30" s="193">
        <v>2.83</v>
      </c>
      <c r="D30" s="182">
        <f t="shared" si="2"/>
        <v>59.43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65</v>
      </c>
      <c r="B31" s="181">
        <f>'Données projet'!D44</f>
        <v>21</v>
      </c>
      <c r="C31" s="193">
        <v>2.83</v>
      </c>
      <c r="D31" s="182">
        <f t="shared" si="2"/>
        <v>59.43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70</v>
      </c>
      <c r="B32" s="181">
        <f>'Données projet'!D45</f>
        <v>21</v>
      </c>
      <c r="C32" s="193">
        <v>40.5</v>
      </c>
      <c r="D32" s="182">
        <f t="shared" si="2"/>
        <v>850.5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75</v>
      </c>
      <c r="B33" s="181">
        <f>'Données projet'!D46</f>
        <v>21</v>
      </c>
      <c r="C33" s="193">
        <v>40.5</v>
      </c>
      <c r="D33" s="182">
        <f t="shared" si="2"/>
        <v>850.5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80</v>
      </c>
      <c r="B34" s="181">
        <f>'Données projet'!D47</f>
        <v>21</v>
      </c>
      <c r="C34" s="193">
        <v>40.5</v>
      </c>
      <c r="D34" s="182">
        <f t="shared" si="2"/>
        <v>850.5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85</v>
      </c>
      <c r="B35" s="181">
        <f>'Données projet'!D48</f>
        <v>21</v>
      </c>
      <c r="C35" s="193">
        <v>41</v>
      </c>
      <c r="D35" s="182">
        <f t="shared" si="2"/>
        <v>861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90</v>
      </c>
      <c r="B36" s="181">
        <f>'Données projet'!D49</f>
        <v>21</v>
      </c>
      <c r="C36" s="193">
        <v>41</v>
      </c>
      <c r="D36" s="182">
        <f t="shared" si="2"/>
        <v>861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95</v>
      </c>
      <c r="B37" s="181">
        <f>'Données projet'!D50</f>
        <v>21</v>
      </c>
      <c r="C37" s="193">
        <v>41</v>
      </c>
      <c r="D37" s="182">
        <f t="shared" si="2"/>
        <v>861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100</v>
      </c>
      <c r="B38" s="181">
        <f>'Données projet'!D51</f>
        <v>282</v>
      </c>
      <c r="C38" s="193">
        <v>41</v>
      </c>
      <c r="D38" s="182">
        <f t="shared" si="2"/>
        <v>11562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1300*(1.5+0.8)</f>
        <v>2989.9999999999995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8</v>
      </c>
      <c r="C54" s="193">
        <v>1.3</v>
      </c>
      <c r="D54" s="179">
        <f>B54*C54</f>
        <v>10.4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21</v>
      </c>
      <c r="C55" s="193">
        <v>1.3</v>
      </c>
      <c r="D55" s="179">
        <f t="shared" ref="D55:D73" si="4">B55*C55</f>
        <v>27.3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35</v>
      </c>
      <c r="B56" s="181">
        <f>'Données projet'!D64</f>
        <v>21</v>
      </c>
      <c r="C56" s="193">
        <v>2.2799999999999998</v>
      </c>
      <c r="D56" s="179">
        <f t="shared" si="4"/>
        <v>47.879999999999995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21</v>
      </c>
      <c r="C57" s="193">
        <v>2.2799999999999998</v>
      </c>
      <c r="D57" s="179">
        <f t="shared" si="4"/>
        <v>47.879999999999995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45</v>
      </c>
      <c r="B58" s="181">
        <f>'Données projet'!D66</f>
        <v>21</v>
      </c>
      <c r="C58" s="193">
        <v>2.2799999999999998</v>
      </c>
      <c r="D58" s="179">
        <f t="shared" si="4"/>
        <v>47.879999999999995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50</v>
      </c>
      <c r="B59" s="181">
        <f>'Données projet'!D67</f>
        <v>21</v>
      </c>
      <c r="C59" s="193">
        <v>2.2799999999999998</v>
      </c>
      <c r="D59" s="179">
        <f t="shared" si="4"/>
        <v>47.879999999999995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55</v>
      </c>
      <c r="B60" s="181">
        <f>'Données projet'!D68</f>
        <v>21</v>
      </c>
      <c r="C60" s="193">
        <v>2.83</v>
      </c>
      <c r="D60" s="179">
        <f t="shared" si="4"/>
        <v>59.43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21</v>
      </c>
      <c r="C61" s="193">
        <v>2.83</v>
      </c>
      <c r="D61" s="179">
        <f t="shared" si="4"/>
        <v>59.43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65</v>
      </c>
      <c r="B62" s="181">
        <f>'Données projet'!D70</f>
        <v>21</v>
      </c>
      <c r="C62" s="193">
        <v>2.83</v>
      </c>
      <c r="D62" s="179">
        <f t="shared" si="4"/>
        <v>59.43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70</v>
      </c>
      <c r="B63" s="181">
        <f>'Données projet'!D71</f>
        <v>21</v>
      </c>
      <c r="C63" s="193">
        <v>40.5</v>
      </c>
      <c r="D63" s="179">
        <f t="shared" si="4"/>
        <v>850.5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75</v>
      </c>
      <c r="B64" s="181">
        <f>'Données projet'!D72</f>
        <v>21</v>
      </c>
      <c r="C64" s="193">
        <v>40.5</v>
      </c>
      <c r="D64" s="179">
        <f t="shared" si="4"/>
        <v>850.5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80</v>
      </c>
      <c r="B65" s="181">
        <f>'Données projet'!D73</f>
        <v>21</v>
      </c>
      <c r="C65" s="193">
        <v>40.5</v>
      </c>
      <c r="D65" s="179">
        <f t="shared" si="4"/>
        <v>850.5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85</v>
      </c>
      <c r="B66" s="181">
        <f>'Données projet'!D74</f>
        <v>21</v>
      </c>
      <c r="C66" s="193">
        <v>41</v>
      </c>
      <c r="D66" s="179">
        <f t="shared" si="4"/>
        <v>861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90</v>
      </c>
      <c r="B67" s="181">
        <f>'Données projet'!D75</f>
        <v>21</v>
      </c>
      <c r="C67" s="193">
        <v>41</v>
      </c>
      <c r="D67" s="179">
        <f t="shared" si="4"/>
        <v>861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95</v>
      </c>
      <c r="B68" s="181">
        <f>'Données projet'!D76</f>
        <v>21</v>
      </c>
      <c r="C68" s="191">
        <v>41</v>
      </c>
      <c r="D68" s="179">
        <f t="shared" si="4"/>
        <v>861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100</v>
      </c>
      <c r="B69" s="181">
        <f>'Données projet'!D77</f>
        <v>282</v>
      </c>
      <c r="C69" s="191">
        <v>41</v>
      </c>
      <c r="D69" s="179">
        <f t="shared" si="4"/>
        <v>11562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1300*(1.2+0.8)</f>
        <v>2600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39.5</v>
      </c>
      <c r="C85" s="191">
        <v>2</v>
      </c>
      <c r="D85" s="179">
        <f>B85*C85</f>
        <v>79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67</v>
      </c>
      <c r="C86" s="191">
        <v>4</v>
      </c>
      <c r="D86" s="179">
        <f t="shared" ref="D86:D104" si="6">B86*C86</f>
        <v>268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70</v>
      </c>
      <c r="C87" s="191">
        <v>27</v>
      </c>
      <c r="D87" s="179">
        <f t="shared" si="6"/>
        <v>1890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75</v>
      </c>
      <c r="C88" s="191">
        <v>27</v>
      </c>
      <c r="D88" s="179">
        <f t="shared" si="6"/>
        <v>2025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80</v>
      </c>
      <c r="C89" s="191">
        <v>36</v>
      </c>
      <c r="D89" s="179">
        <f t="shared" si="6"/>
        <v>2880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87</v>
      </c>
      <c r="C90" s="191">
        <v>36</v>
      </c>
      <c r="D90" s="179">
        <f t="shared" si="6"/>
        <v>3132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93</v>
      </c>
      <c r="C91" s="191">
        <v>46</v>
      </c>
      <c r="D91" s="179">
        <f t="shared" si="6"/>
        <v>4278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98</v>
      </c>
      <c r="C92" s="191">
        <v>46</v>
      </c>
      <c r="D92" s="179">
        <f t="shared" si="6"/>
        <v>4508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675.5</v>
      </c>
      <c r="C93" s="191">
        <v>46</v>
      </c>
      <c r="D93" s="179">
        <f t="shared" si="6"/>
        <v>31073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1300*(0.75+0.8)</f>
        <v>2015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15</v>
      </c>
      <c r="C116" s="191">
        <v>0</v>
      </c>
      <c r="D116" s="179">
        <f>B116*C116</f>
        <v>0</v>
      </c>
      <c r="E116" s="191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28</v>
      </c>
      <c r="C117" s="191">
        <v>3</v>
      </c>
      <c r="D117" s="179">
        <f t="shared" ref="D117:D135" si="8">B117*C117</f>
        <v>84</v>
      </c>
      <c r="E117" s="191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28</v>
      </c>
      <c r="C118" s="191">
        <v>3</v>
      </c>
      <c r="D118" s="179">
        <f t="shared" si="8"/>
        <v>84</v>
      </c>
      <c r="E118" s="191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28</v>
      </c>
      <c r="C119" s="191">
        <v>3</v>
      </c>
      <c r="D119" s="179">
        <f t="shared" si="8"/>
        <v>84</v>
      </c>
      <c r="E119" s="191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28</v>
      </c>
      <c r="C120" s="191">
        <v>3</v>
      </c>
      <c r="D120" s="179">
        <f t="shared" si="8"/>
        <v>84</v>
      </c>
      <c r="E120" s="191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28</v>
      </c>
      <c r="C121" s="191">
        <v>24</v>
      </c>
      <c r="D121" s="179">
        <f t="shared" si="8"/>
        <v>672</v>
      </c>
      <c r="E121" s="191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22</v>
      </c>
      <c r="C122" s="191">
        <v>24</v>
      </c>
      <c r="D122" s="179">
        <f t="shared" si="8"/>
        <v>528</v>
      </c>
      <c r="E122" s="191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17</v>
      </c>
      <c r="C123" s="191">
        <v>24</v>
      </c>
      <c r="D123" s="179">
        <f t="shared" si="8"/>
        <v>408</v>
      </c>
      <c r="E123" s="191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13</v>
      </c>
      <c r="C124" s="191">
        <v>24</v>
      </c>
      <c r="D124" s="179">
        <f t="shared" si="8"/>
        <v>312</v>
      </c>
      <c r="E124" s="191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12</v>
      </c>
      <c r="C125" s="191">
        <v>24</v>
      </c>
      <c r="D125" s="179">
        <f t="shared" si="8"/>
        <v>288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11</v>
      </c>
      <c r="C126" s="191">
        <v>24</v>
      </c>
      <c r="D126" s="179">
        <f t="shared" si="8"/>
        <v>264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10</v>
      </c>
      <c r="C127" s="191">
        <v>24</v>
      </c>
      <c r="D127" s="179">
        <f t="shared" si="8"/>
        <v>240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75</v>
      </c>
      <c r="B128" s="181">
        <f>'Données projet'!D126</f>
        <v>9</v>
      </c>
      <c r="C128" s="191">
        <v>35</v>
      </c>
      <c r="D128" s="179">
        <f t="shared" si="8"/>
        <v>315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80</v>
      </c>
      <c r="B129" s="181">
        <f>'Données projet'!D127</f>
        <v>275</v>
      </c>
      <c r="C129" s="191">
        <v>35</v>
      </c>
      <c r="D129" s="179">
        <f t="shared" si="8"/>
        <v>9625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2024-03-08T08:04:26Z</dcterms:modified>
</cp:coreProperties>
</file>