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s Naudet\Reboisement Naudet_Aubaine (21)\Dossier d_instruction\"/>
    </mc:Choice>
  </mc:AlternateContent>
  <xr:revisionPtr revIDLastSave="0" documentId="13_ncr:1_{62B77C9A-932C-417F-B5D3-3B36FDC4D3FC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<sst xmlns="http://schemas.openxmlformats.org/spreadsheetml/2006/main" count="1172" uniqueCount="324">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</sst>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1.5965320682498849</c:v>
                </c:pt>
                <c:pt idx="2">
                  <c:v>2.0804656684191585</c:v>
                </c:pt>
                <c:pt idx="3">
                  <c:v>2.7116929244465795</c:v>
                </c:pt>
                <c:pt idx="4">
                  <c:v>3.5352194693690122</c:v>
                </c:pt>
                <c:pt idx="5">
                  <c:v>4.6098523220329826</c:v>
                </c:pt>
                <c:pt idx="6">
                  <c:v>6.0124464417853689</c:v>
                </c:pt>
                <c:pt idx="7">
                  <c:v>7.8434619535748142</c:v>
                </c:pt>
                <c:pt idx="8">
                  <c:v>10.234237719242712</c:v>
                </c:pt>
                <c:pt idx="9">
                  <c:v>13.356512818353137</c:v>
                </c:pt>
                <c:pt idx="10">
                  <c:v>17.434892545536155</c:v>
                </c:pt>
                <c:pt idx="11">
                  <c:v>22.763171935699592</c:v>
                </c:pt>
                <c:pt idx="12">
                  <c:v>29.725713609608871</c:v>
                </c:pt>
                <c:pt idx="13">
                  <c:v>38.825448909765242</c:v>
                </c:pt>
                <c:pt idx="14">
                  <c:v>50.720559458970314</c:v>
                </c:pt>
                <c:pt idx="15">
                  <c:v>66.272536635761469</c:v>
                </c:pt>
                <c:pt idx="16">
                  <c:v>87.39720941194355</c:v>
                </c:pt>
                <c:pt idx="17">
                  <c:v>108.39275296262326</c:v>
                </c:pt>
                <c:pt idx="18">
                  <c:v>129.28787235572034</c:v>
                </c:pt>
                <c:pt idx="19">
                  <c:v>150.10114082611082</c:v>
                </c:pt>
                <c:pt idx="20">
                  <c:v>170.84552734277023</c:v>
                </c:pt>
                <c:pt idx="21">
                  <c:v>171.25165998446093</c:v>
                </c:pt>
                <c:pt idx="22">
                  <c:v>198.00899198585157</c:v>
                </c:pt>
                <c:pt idx="23">
                  <c:v>224.68234460131828</c:v>
                </c:pt>
                <c:pt idx="24">
                  <c:v>251.28309296155351</c:v>
                </c:pt>
                <c:pt idx="25">
                  <c:v>277.82000253977031</c:v>
                </c:pt>
                <c:pt idx="26">
                  <c:v>236.17737575758818</c:v>
                </c:pt>
                <c:pt idx="27">
                  <c:v>264.96112067399923</c:v>
                </c:pt>
                <c:pt idx="28">
                  <c:v>293.67434397510982</c:v>
                </c:pt>
                <c:pt idx="29">
                  <c:v>322.32490612511452</c:v>
                </c:pt>
                <c:pt idx="30">
                  <c:v>350.91915547472769</c:v>
                </c:pt>
                <c:pt idx="31">
                  <c:v>309.91024204064519</c:v>
                </c:pt>
                <c:pt idx="32">
                  <c:v>338.92806802551468</c:v>
                </c:pt>
                <c:pt idx="33">
                  <c:v>367.89123357271296</c:v>
                </c:pt>
                <c:pt idx="34">
                  <c:v>396.8046424854017</c:v>
                </c:pt>
                <c:pt idx="35">
                  <c:v>425.67242592235584</c:v>
                </c:pt>
                <c:pt idx="36">
                  <c:v>383.64994645368193</c:v>
                </c:pt>
                <c:pt idx="37">
                  <c:v>411.34354777767368</c:v>
                </c:pt>
                <c:pt idx="38">
                  <c:v>438.99691752196122</c:v>
                </c:pt>
                <c:pt idx="39">
                  <c:v>466.61294333655428</c:v>
                </c:pt>
                <c:pt idx="40">
                  <c:v>494.19414347908759</c:v>
                </c:pt>
                <c:pt idx="41">
                  <c:v>450.72323552042934</c:v>
                </c:pt>
                <c:pt idx="42">
                  <c:v>476.73658583815109</c:v>
                </c:pt>
                <c:pt idx="43">
                  <c:v>502.71975654847256</c:v>
                </c:pt>
                <c:pt idx="44">
                  <c:v>528.67452504254368</c:v>
                </c:pt>
                <c:pt idx="45">
                  <c:v>554.60248014049159</c:v>
                </c:pt>
                <c:pt idx="46">
                  <c:v>509.6569483285125</c:v>
                </c:pt>
                <c:pt idx="47">
                  <c:v>534.02059922958108</c:v>
                </c:pt>
                <c:pt idx="48">
                  <c:v>558.36088338556658</c:v>
                </c:pt>
                <c:pt idx="49">
                  <c:v>582.67896154742527</c:v>
                </c:pt>
                <c:pt idx="50">
                  <c:v>606.97588978345209</c:v>
                </c:pt>
                <c:pt idx="51">
                  <c:v>560.53655870248713</c:v>
                </c:pt>
                <c:pt idx="52">
                  <c:v>583.2718170955078</c:v>
                </c:pt>
                <c:pt idx="53">
                  <c:v>605.98860961044454</c:v>
                </c:pt>
                <c:pt idx="54">
                  <c:v>628.687725133664</c:v>
                </c:pt>
                <c:pt idx="55">
                  <c:v>651.3698910026161</c:v>
                </c:pt>
                <c:pt idx="56">
                  <c:v>610.33239332688595</c:v>
                </c:pt>
                <c:pt idx="57">
                  <c:v>631.44992446698484</c:v>
                </c:pt>
                <c:pt idx="58">
                  <c:v>652.55285597369698</c:v>
                </c:pt>
                <c:pt idx="59">
                  <c:v>673.64172594616355</c:v>
                </c:pt>
                <c:pt idx="60">
                  <c:v>694.71703608163716</c:v>
                </c:pt>
                <c:pt idx="61">
                  <c:v>659.25549182776842</c:v>
                </c:pt>
                <c:pt idx="62">
                  <c:v>678.96105497560336</c:v>
                </c:pt>
                <c:pt idx="63">
                  <c:v>698.65488065528427</c:v>
                </c:pt>
                <c:pt idx="64">
                  <c:v>718.33734596845068</c:v>
                </c:pt>
                <c:pt idx="65">
                  <c:v>738.00880568863431</c:v>
                </c:pt>
                <c:pt idx="66">
                  <c:v>704.7576429027182</c:v>
                </c:pt>
                <c:pt idx="67">
                  <c:v>722.66599941596871</c:v>
                </c:pt>
                <c:pt idx="68">
                  <c:v>740.56530474645945</c:v>
                </c:pt>
                <c:pt idx="69">
                  <c:v>758.45580825595152</c:v>
                </c:pt>
                <c:pt idx="70">
                  <c:v>776.33774659506389</c:v>
                </c:pt>
                <c:pt idx="71">
                  <c:v>744.89127897250319</c:v>
                </c:pt>
                <c:pt idx="72">
                  <c:v>761.60049938263728</c:v>
                </c:pt>
                <c:pt idx="73">
                  <c:v>778.3022821864339</c:v>
                </c:pt>
                <c:pt idx="74">
                  <c:v>794.99680931890123</c:v>
                </c:pt>
                <c:pt idx="75">
                  <c:v>811.6842544585561</c:v>
                </c:pt>
                <c:pt idx="76">
                  <c:v>780.85602837776469</c:v>
                </c:pt>
                <c:pt idx="77">
                  <c:v>796.17497694671363</c:v>
                </c:pt>
                <c:pt idx="78">
                  <c:v>811.48797209662314</c:v>
                </c:pt>
                <c:pt idx="79">
                  <c:v>826.79514189431723</c:v>
                </c:pt>
                <c:pt idx="80">
                  <c:v>842.09660928248729</c:v>
                </c:pt>
                <c:pt idx="81">
                  <c:v>797.94216236075533</c:v>
                </c:pt>
                <c:pt idx="82">
                  <c:v>797.94216236075533</c:v>
                </c:pt>
                <c:pt idx="83">
                  <c:v>797.94216236075533</c:v>
                </c:pt>
                <c:pt idx="84">
                  <c:v>797.94216236075533</c:v>
                </c:pt>
                <c:pt idx="85">
                  <c:v>797.94216236075533</c:v>
                </c:pt>
                <c:pt idx="86">
                  <c:v>797.94216236075533</c:v>
                </c:pt>
                <c:pt idx="87">
                  <c:v>797.94216236075533</c:v>
                </c:pt>
                <c:pt idx="88">
                  <c:v>797.94216236075533</c:v>
                </c:pt>
                <c:pt idx="89">
                  <c:v>797.94216236075533</c:v>
                </c:pt>
                <c:pt idx="90">
                  <c:v>797.94216236075533</c:v>
                </c:pt>
                <c:pt idx="91">
                  <c:v>797.94216236075533</c:v>
                </c:pt>
                <c:pt idx="92">
                  <c:v>797.94216236075533</c:v>
                </c:pt>
                <c:pt idx="93">
                  <c:v>797.94216236075533</c:v>
                </c:pt>
                <c:pt idx="94">
                  <c:v>797.94216236075533</c:v>
                </c:pt>
                <c:pt idx="95">
                  <c:v>797.94216236075533</c:v>
                </c:pt>
                <c:pt idx="96">
                  <c:v>797.94216236075533</c:v>
                </c:pt>
                <c:pt idx="97">
                  <c:v>797.94216236075533</c:v>
                </c:pt>
                <c:pt idx="98">
                  <c:v>797.94216236075533</c:v>
                </c:pt>
                <c:pt idx="99">
                  <c:v>797.94216236075533</c:v>
                </c:pt>
                <c:pt idx="100">
                  <c:v>797.94216236075533</c:v>
                </c:pt>
                <c:pt idx="101">
                  <c:v>797.94216236075533</c:v>
                </c:pt>
                <c:pt idx="102">
                  <c:v>797.94216236075533</c:v>
                </c:pt>
                <c:pt idx="103">
                  <c:v>797.94216236075533</c:v>
                </c:pt>
                <c:pt idx="104">
                  <c:v>797.94216236075533</c:v>
                </c:pt>
                <c:pt idx="105">
                  <c:v>797.94216236075533</c:v>
                </c:pt>
                <c:pt idx="106">
                  <c:v>797.94216236075533</c:v>
                </c:pt>
                <c:pt idx="107">
                  <c:v>797.94216236075533</c:v>
                </c:pt>
                <c:pt idx="108">
                  <c:v>797.94216236075533</c:v>
                </c:pt>
                <c:pt idx="109">
                  <c:v>797.94216236075533</c:v>
                </c:pt>
                <c:pt idx="110">
                  <c:v>797.94216236075533</c:v>
                </c:pt>
                <c:pt idx="111">
                  <c:v>797.94216236075533</c:v>
                </c:pt>
                <c:pt idx="112">
                  <c:v>797.94216236075533</c:v>
                </c:pt>
                <c:pt idx="113">
                  <c:v>797.94216236075533</c:v>
                </c:pt>
                <c:pt idx="114">
                  <c:v>797.94216236075533</c:v>
                </c:pt>
                <c:pt idx="115">
                  <c:v>797.94216236075533</c:v>
                </c:pt>
                <c:pt idx="116">
                  <c:v>797.94216236075533</c:v>
                </c:pt>
                <c:pt idx="117">
                  <c:v>797.94216236075533</c:v>
                </c:pt>
                <c:pt idx="118">
                  <c:v>797.94216236075533</c:v>
                </c:pt>
                <c:pt idx="119">
                  <c:v>797.94216236075533</c:v>
                </c:pt>
                <c:pt idx="120">
                  <c:v>797.94216236075533</c:v>
                </c:pt>
                <c:pt idx="121">
                  <c:v>797.94216236075533</c:v>
                </c:pt>
                <c:pt idx="122">
                  <c:v>797.94216236075533</c:v>
                </c:pt>
                <c:pt idx="123">
                  <c:v>797.94216236075533</c:v>
                </c:pt>
                <c:pt idx="124">
                  <c:v>797.94216236075533</c:v>
                </c:pt>
                <c:pt idx="125">
                  <c:v>797.94216236075533</c:v>
                </c:pt>
                <c:pt idx="126">
                  <c:v>797.94216236075533</c:v>
                </c:pt>
                <c:pt idx="127">
                  <c:v>797.94216236075533</c:v>
                </c:pt>
                <c:pt idx="128">
                  <c:v>797.94216236075533</c:v>
                </c:pt>
                <c:pt idx="129">
                  <c:v>797.94216236075533</c:v>
                </c:pt>
                <c:pt idx="130">
                  <c:v>797.94216236075533</c:v>
                </c:pt>
                <c:pt idx="131">
                  <c:v>797.94216236075533</c:v>
                </c:pt>
                <c:pt idx="132">
                  <c:v>797.94216236075533</c:v>
                </c:pt>
                <c:pt idx="133">
                  <c:v>797.94216236075533</c:v>
                </c:pt>
                <c:pt idx="134">
                  <c:v>797.94216236075533</c:v>
                </c:pt>
                <c:pt idx="135">
                  <c:v>797.94216236075533</c:v>
                </c:pt>
                <c:pt idx="136">
                  <c:v>797.94216236075533</c:v>
                </c:pt>
                <c:pt idx="137">
                  <c:v>797.94216236075533</c:v>
                </c:pt>
                <c:pt idx="138">
                  <c:v>797.94216236075533</c:v>
                </c:pt>
                <c:pt idx="139">
                  <c:v>797.94216236075533</c:v>
                </c:pt>
                <c:pt idx="140">
                  <c:v>797.94216236075533</c:v>
                </c:pt>
                <c:pt idx="141">
                  <c:v>797.94216236075533</c:v>
                </c:pt>
                <c:pt idx="142">
                  <c:v>797.94216236075533</c:v>
                </c:pt>
                <c:pt idx="143">
                  <c:v>797.94216236075533</c:v>
                </c:pt>
                <c:pt idx="144">
                  <c:v>797.94216236075533</c:v>
                </c:pt>
                <c:pt idx="145">
                  <c:v>797.94216236075533</c:v>
                </c:pt>
                <c:pt idx="146">
                  <c:v>797.94216236075533</c:v>
                </c:pt>
                <c:pt idx="147">
                  <c:v>797.94216236075533</c:v>
                </c:pt>
                <c:pt idx="148">
                  <c:v>797.94216236075533</c:v>
                </c:pt>
                <c:pt idx="149">
                  <c:v>797.94216236075533</c:v>
                </c:pt>
                <c:pt idx="150">
                  <c:v>797.94216236075533</c:v>
                </c:pt>
                <c:pt idx="151">
                  <c:v>797.94216236075533</c:v>
                </c:pt>
                <c:pt idx="152">
                  <c:v>797.94216236075533</c:v>
                </c:pt>
                <c:pt idx="153">
                  <c:v>797.94216236075533</c:v>
                </c:pt>
                <c:pt idx="154">
                  <c:v>797.94216236075533</c:v>
                </c:pt>
                <c:pt idx="155">
                  <c:v>797.94216236075533</c:v>
                </c:pt>
                <c:pt idx="156">
                  <c:v>797.94216236075533</c:v>
                </c:pt>
                <c:pt idx="157">
                  <c:v>797.94216236075533</c:v>
                </c:pt>
                <c:pt idx="158">
                  <c:v>797.94216236075533</c:v>
                </c:pt>
                <c:pt idx="159">
                  <c:v>797.94216236075533</c:v>
                </c:pt>
                <c:pt idx="160">
                  <c:v>797.94216236075533</c:v>
                </c:pt>
                <c:pt idx="161">
                  <c:v>797.94216236075533</c:v>
                </c:pt>
                <c:pt idx="162">
                  <c:v>797.94216236075533</c:v>
                </c:pt>
                <c:pt idx="163">
                  <c:v>797.94216236075533</c:v>
                </c:pt>
                <c:pt idx="164">
                  <c:v>797.94216236075533</c:v>
                </c:pt>
                <c:pt idx="165">
                  <c:v>797.94216236075533</c:v>
                </c:pt>
                <c:pt idx="166">
                  <c:v>797.94216236075533</c:v>
                </c:pt>
                <c:pt idx="167">
                  <c:v>797.94216236075533</c:v>
                </c:pt>
                <c:pt idx="168">
                  <c:v>797.94216236075533</c:v>
                </c:pt>
                <c:pt idx="169">
                  <c:v>797.94216236075533</c:v>
                </c:pt>
                <c:pt idx="170">
                  <c:v>797.94216236075533</c:v>
                </c:pt>
                <c:pt idx="171">
                  <c:v>797.94216236075533</c:v>
                </c:pt>
                <c:pt idx="172">
                  <c:v>797.94216236075533</c:v>
                </c:pt>
                <c:pt idx="173">
                  <c:v>797.94216236075533</c:v>
                </c:pt>
                <c:pt idx="174">
                  <c:v>797.94216236075533</c:v>
                </c:pt>
                <c:pt idx="175">
                  <c:v>797.94216236075533</c:v>
                </c:pt>
                <c:pt idx="176">
                  <c:v>797.94216236075533</c:v>
                </c:pt>
                <c:pt idx="177">
                  <c:v>797.94216236075533</c:v>
                </c:pt>
                <c:pt idx="178">
                  <c:v>797.94216236075533</c:v>
                </c:pt>
                <c:pt idx="179">
                  <c:v>797.94216236075533</c:v>
                </c:pt>
                <c:pt idx="180">
                  <c:v>797.94216236075533</c:v>
                </c:pt>
                <c:pt idx="181">
                  <c:v>797.94216236075533</c:v>
                </c:pt>
                <c:pt idx="182">
                  <c:v>797.94216236075533</c:v>
                </c:pt>
                <c:pt idx="183">
                  <c:v>797.94216236075533</c:v>
                </c:pt>
                <c:pt idx="184">
                  <c:v>797.94216236075533</c:v>
                </c:pt>
                <c:pt idx="185">
                  <c:v>797.94216236075533</c:v>
                </c:pt>
                <c:pt idx="186">
                  <c:v>797.94216236075533</c:v>
                </c:pt>
                <c:pt idx="187">
                  <c:v>797.94216236075533</c:v>
                </c:pt>
                <c:pt idx="188">
                  <c:v>797.94216236075533</c:v>
                </c:pt>
                <c:pt idx="189">
                  <c:v>797.94216236075533</c:v>
                </c:pt>
                <c:pt idx="190">
                  <c:v>797.94216236075533</c:v>
                </c:pt>
                <c:pt idx="191">
                  <c:v>797.94216236075533</c:v>
                </c:pt>
                <c:pt idx="192">
                  <c:v>797.94216236075533</c:v>
                </c:pt>
                <c:pt idx="193">
                  <c:v>797.94216236075533</c:v>
                </c:pt>
                <c:pt idx="194">
                  <c:v>797.94216236075533</c:v>
                </c:pt>
                <c:pt idx="195">
                  <c:v>797.94216236075533</c:v>
                </c:pt>
                <c:pt idx="196">
                  <c:v>797.94216236075533</c:v>
                </c:pt>
                <c:pt idx="197">
                  <c:v>797.94216236075533</c:v>
                </c:pt>
                <c:pt idx="198">
                  <c:v>797.94216236075533</c:v>
                </c:pt>
                <c:pt idx="199">
                  <c:v>797.94216236075533</c:v>
                </c:pt>
                <c:pt idx="200">
                  <c:v>797.94216236075533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764.41193582037283</c:v>
                </c:pt>
                <c:pt idx="62">
                  <c:v>764.41193582037283</c:v>
                </c:pt>
                <c:pt idx="63">
                  <c:v>764.41193582037283</c:v>
                </c:pt>
                <c:pt idx="64">
                  <c:v>764.41193582037283</c:v>
                </c:pt>
                <c:pt idx="65">
                  <c:v>764.41193582037283</c:v>
                </c:pt>
                <c:pt idx="66">
                  <c:v>764.41193582037283</c:v>
                </c:pt>
                <c:pt idx="67">
                  <c:v>764.41193582037283</c:v>
                </c:pt>
                <c:pt idx="68">
                  <c:v>764.41193582037283</c:v>
                </c:pt>
                <c:pt idx="69">
                  <c:v>764.41193582037283</c:v>
                </c:pt>
                <c:pt idx="70">
                  <c:v>764.41193582037283</c:v>
                </c:pt>
                <c:pt idx="71">
                  <c:v>764.41193582037283</c:v>
                </c:pt>
                <c:pt idx="72">
                  <c:v>764.41193582037283</c:v>
                </c:pt>
                <c:pt idx="73">
                  <c:v>764.41193582037283</c:v>
                </c:pt>
                <c:pt idx="74">
                  <c:v>764.41193582037283</c:v>
                </c:pt>
                <c:pt idx="75">
                  <c:v>764.41193582037283</c:v>
                </c:pt>
                <c:pt idx="76">
                  <c:v>764.41193582037283</c:v>
                </c:pt>
                <c:pt idx="77">
                  <c:v>764.41193582037283</c:v>
                </c:pt>
                <c:pt idx="78">
                  <c:v>764.41193582037283</c:v>
                </c:pt>
                <c:pt idx="79">
                  <c:v>764.41193582037283</c:v>
                </c:pt>
                <c:pt idx="80">
                  <c:v>764.41193582037283</c:v>
                </c:pt>
                <c:pt idx="81">
                  <c:v>764.41193582037283</c:v>
                </c:pt>
                <c:pt idx="82">
                  <c:v>764.41193582037283</c:v>
                </c:pt>
                <c:pt idx="83">
                  <c:v>764.41193582037283</c:v>
                </c:pt>
                <c:pt idx="84">
                  <c:v>764.41193582037283</c:v>
                </c:pt>
                <c:pt idx="85">
                  <c:v>764.41193582037283</c:v>
                </c:pt>
                <c:pt idx="86">
                  <c:v>764.41193582037283</c:v>
                </c:pt>
                <c:pt idx="87">
                  <c:v>764.41193582037283</c:v>
                </c:pt>
                <c:pt idx="88">
                  <c:v>764.41193582037283</c:v>
                </c:pt>
                <c:pt idx="89">
                  <c:v>764.41193582037283</c:v>
                </c:pt>
                <c:pt idx="90">
                  <c:v>764.41193582037283</c:v>
                </c:pt>
                <c:pt idx="91">
                  <c:v>764.41193582037283</c:v>
                </c:pt>
                <c:pt idx="92">
                  <c:v>764.41193582037283</c:v>
                </c:pt>
                <c:pt idx="93">
                  <c:v>764.41193582037283</c:v>
                </c:pt>
                <c:pt idx="94">
                  <c:v>764.41193582037283</c:v>
                </c:pt>
                <c:pt idx="95">
                  <c:v>764.41193582037283</c:v>
                </c:pt>
                <c:pt idx="96">
                  <c:v>764.41193582037283</c:v>
                </c:pt>
                <c:pt idx="97">
                  <c:v>764.41193582037283</c:v>
                </c:pt>
                <c:pt idx="98">
                  <c:v>764.41193582037283</c:v>
                </c:pt>
                <c:pt idx="99">
                  <c:v>764.41193582037283</c:v>
                </c:pt>
                <c:pt idx="100">
                  <c:v>764.41193582037283</c:v>
                </c:pt>
                <c:pt idx="101">
                  <c:v>764.41193582037283</c:v>
                </c:pt>
                <c:pt idx="102">
                  <c:v>764.41193582037283</c:v>
                </c:pt>
                <c:pt idx="103">
                  <c:v>764.41193582037283</c:v>
                </c:pt>
                <c:pt idx="104">
                  <c:v>764.41193582037283</c:v>
                </c:pt>
                <c:pt idx="105">
                  <c:v>764.41193582037283</c:v>
                </c:pt>
                <c:pt idx="106">
                  <c:v>764.41193582037283</c:v>
                </c:pt>
                <c:pt idx="107">
                  <c:v>764.41193582037283</c:v>
                </c:pt>
                <c:pt idx="108">
                  <c:v>764.41193582037283</c:v>
                </c:pt>
                <c:pt idx="109">
                  <c:v>764.41193582037283</c:v>
                </c:pt>
                <c:pt idx="110">
                  <c:v>764.41193582037283</c:v>
                </c:pt>
                <c:pt idx="111">
                  <c:v>764.41193582037283</c:v>
                </c:pt>
                <c:pt idx="112">
                  <c:v>764.41193582037283</c:v>
                </c:pt>
                <c:pt idx="113">
                  <c:v>764.41193582037283</c:v>
                </c:pt>
                <c:pt idx="114">
                  <c:v>764.41193582037283</c:v>
                </c:pt>
                <c:pt idx="115">
                  <c:v>764.41193582037283</c:v>
                </c:pt>
                <c:pt idx="116">
                  <c:v>764.41193582037283</c:v>
                </c:pt>
                <c:pt idx="117">
                  <c:v>764.41193582037283</c:v>
                </c:pt>
                <c:pt idx="118">
                  <c:v>764.41193582037283</c:v>
                </c:pt>
                <c:pt idx="119">
                  <c:v>764.41193582037283</c:v>
                </c:pt>
                <c:pt idx="120">
                  <c:v>764.41193582037283</c:v>
                </c:pt>
                <c:pt idx="121">
                  <c:v>764.41193582037283</c:v>
                </c:pt>
                <c:pt idx="122">
                  <c:v>764.41193582037283</c:v>
                </c:pt>
                <c:pt idx="123">
                  <c:v>764.41193582037283</c:v>
                </c:pt>
                <c:pt idx="124">
                  <c:v>764.41193582037283</c:v>
                </c:pt>
                <c:pt idx="125">
                  <c:v>764.41193582037283</c:v>
                </c:pt>
                <c:pt idx="126">
                  <c:v>764.41193582037283</c:v>
                </c:pt>
                <c:pt idx="127">
                  <c:v>764.41193582037283</c:v>
                </c:pt>
                <c:pt idx="128">
                  <c:v>764.41193582037283</c:v>
                </c:pt>
                <c:pt idx="129">
                  <c:v>764.41193582037283</c:v>
                </c:pt>
                <c:pt idx="130">
                  <c:v>764.41193582037283</c:v>
                </c:pt>
                <c:pt idx="131">
                  <c:v>764.41193582037283</c:v>
                </c:pt>
                <c:pt idx="132">
                  <c:v>764.41193582037283</c:v>
                </c:pt>
                <c:pt idx="133">
                  <c:v>764.41193582037283</c:v>
                </c:pt>
                <c:pt idx="134">
                  <c:v>764.41193582037283</c:v>
                </c:pt>
                <c:pt idx="135">
                  <c:v>764.41193582037283</c:v>
                </c:pt>
                <c:pt idx="136">
                  <c:v>764.41193582037283</c:v>
                </c:pt>
                <c:pt idx="137">
                  <c:v>764.41193582037283</c:v>
                </c:pt>
                <c:pt idx="138">
                  <c:v>764.41193582037283</c:v>
                </c:pt>
                <c:pt idx="139">
                  <c:v>764.41193582037283</c:v>
                </c:pt>
                <c:pt idx="140">
                  <c:v>764.41193582037283</c:v>
                </c:pt>
                <c:pt idx="141">
                  <c:v>764.41193582037283</c:v>
                </c:pt>
                <c:pt idx="142">
                  <c:v>764.41193582037283</c:v>
                </c:pt>
                <c:pt idx="143">
                  <c:v>764.41193582037283</c:v>
                </c:pt>
                <c:pt idx="144">
                  <c:v>764.41193582037283</c:v>
                </c:pt>
                <c:pt idx="145">
                  <c:v>764.41193582037283</c:v>
                </c:pt>
                <c:pt idx="146">
                  <c:v>764.41193582037283</c:v>
                </c:pt>
                <c:pt idx="147">
                  <c:v>764.41193582037283</c:v>
                </c:pt>
                <c:pt idx="148">
                  <c:v>764.41193582037283</c:v>
                </c:pt>
                <c:pt idx="149">
                  <c:v>764.41193582037283</c:v>
                </c:pt>
                <c:pt idx="150">
                  <c:v>764.41193582037283</c:v>
                </c:pt>
                <c:pt idx="151">
                  <c:v>764.41193582037283</c:v>
                </c:pt>
                <c:pt idx="152">
                  <c:v>764.41193582037283</c:v>
                </c:pt>
                <c:pt idx="153">
                  <c:v>764.41193582037283</c:v>
                </c:pt>
                <c:pt idx="154">
                  <c:v>764.41193582037283</c:v>
                </c:pt>
                <c:pt idx="155">
                  <c:v>764.41193582037283</c:v>
                </c:pt>
                <c:pt idx="156">
                  <c:v>764.41193582037283</c:v>
                </c:pt>
                <c:pt idx="157">
                  <c:v>764.41193582037283</c:v>
                </c:pt>
                <c:pt idx="158">
                  <c:v>764.41193582037283</c:v>
                </c:pt>
                <c:pt idx="159">
                  <c:v>764.41193582037283</c:v>
                </c:pt>
                <c:pt idx="160">
                  <c:v>764.41193582037283</c:v>
                </c:pt>
                <c:pt idx="161">
                  <c:v>764.41193582037283</c:v>
                </c:pt>
                <c:pt idx="162">
                  <c:v>764.41193582037283</c:v>
                </c:pt>
                <c:pt idx="163">
                  <c:v>764.41193582037283</c:v>
                </c:pt>
                <c:pt idx="164">
                  <c:v>764.41193582037283</c:v>
                </c:pt>
                <c:pt idx="165">
                  <c:v>764.41193582037283</c:v>
                </c:pt>
                <c:pt idx="166">
                  <c:v>764.41193582037283</c:v>
                </c:pt>
                <c:pt idx="167">
                  <c:v>764.41193582037283</c:v>
                </c:pt>
                <c:pt idx="168">
                  <c:v>764.41193582037283</c:v>
                </c:pt>
                <c:pt idx="169">
                  <c:v>764.41193582037283</c:v>
                </c:pt>
                <c:pt idx="170">
                  <c:v>764.41193582037283</c:v>
                </c:pt>
                <c:pt idx="171">
                  <c:v>764.41193582037283</c:v>
                </c:pt>
                <c:pt idx="172">
                  <c:v>764.41193582037283</c:v>
                </c:pt>
                <c:pt idx="173">
                  <c:v>764.41193582037283</c:v>
                </c:pt>
                <c:pt idx="174">
                  <c:v>764.41193582037283</c:v>
                </c:pt>
                <c:pt idx="175">
                  <c:v>764.41193582037283</c:v>
                </c:pt>
                <c:pt idx="176">
                  <c:v>764.41193582037283</c:v>
                </c:pt>
                <c:pt idx="177">
                  <c:v>764.41193582037283</c:v>
                </c:pt>
                <c:pt idx="178">
                  <c:v>764.41193582037283</c:v>
                </c:pt>
                <c:pt idx="179">
                  <c:v>764.41193582037283</c:v>
                </c:pt>
                <c:pt idx="180">
                  <c:v>764.41193582037283</c:v>
                </c:pt>
                <c:pt idx="181">
                  <c:v>764.41193582037283</c:v>
                </c:pt>
                <c:pt idx="182">
                  <c:v>764.41193582037283</c:v>
                </c:pt>
                <c:pt idx="183">
                  <c:v>764.41193582037283</c:v>
                </c:pt>
                <c:pt idx="184">
                  <c:v>764.41193582037283</c:v>
                </c:pt>
                <c:pt idx="185">
                  <c:v>764.41193582037283</c:v>
                </c:pt>
                <c:pt idx="186">
                  <c:v>764.41193582037283</c:v>
                </c:pt>
                <c:pt idx="187">
                  <c:v>764.41193582037283</c:v>
                </c:pt>
                <c:pt idx="188">
                  <c:v>764.41193582037283</c:v>
                </c:pt>
                <c:pt idx="189">
                  <c:v>764.41193582037283</c:v>
                </c:pt>
                <c:pt idx="190">
                  <c:v>764.41193582037283</c:v>
                </c:pt>
                <c:pt idx="191">
                  <c:v>764.41193582037283</c:v>
                </c:pt>
                <c:pt idx="192">
                  <c:v>764.41193582037283</c:v>
                </c:pt>
                <c:pt idx="193">
                  <c:v>764.41193582037283</c:v>
                </c:pt>
                <c:pt idx="194">
                  <c:v>764.41193582037283</c:v>
                </c:pt>
                <c:pt idx="195">
                  <c:v>764.41193582037283</c:v>
                </c:pt>
                <c:pt idx="196">
                  <c:v>764.41193582037283</c:v>
                </c:pt>
                <c:pt idx="197">
                  <c:v>764.41193582037283</c:v>
                </c:pt>
                <c:pt idx="198">
                  <c:v>764.41193582037283</c:v>
                </c:pt>
                <c:pt idx="199">
                  <c:v>764.41193582037283</c:v>
                </c:pt>
                <c:pt idx="200">
                  <c:v>764.41193582037283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590.74731089993531</c:v>
                </c:pt>
                <c:pt idx="112">
                  <c:v>598.87920239707967</c:v>
                </c:pt>
                <c:pt idx="113">
                  <c:v>607.00879854794766</c:v>
                </c:pt>
                <c:pt idx="114">
                  <c:v>615.1361344298515</c:v>
                </c:pt>
                <c:pt idx="115">
                  <c:v>623.26124411759076</c:v>
                </c:pt>
                <c:pt idx="116">
                  <c:v>584.7539010360191</c:v>
                </c:pt>
                <c:pt idx="117">
                  <c:v>584.7539010360191</c:v>
                </c:pt>
                <c:pt idx="118">
                  <c:v>584.7539010360191</c:v>
                </c:pt>
                <c:pt idx="119">
                  <c:v>584.7539010360191</c:v>
                </c:pt>
                <c:pt idx="120">
                  <c:v>584.7539010360191</c:v>
                </c:pt>
                <c:pt idx="121">
                  <c:v>584.7539010360191</c:v>
                </c:pt>
                <c:pt idx="122">
                  <c:v>584.7539010360191</c:v>
                </c:pt>
                <c:pt idx="123">
                  <c:v>584.7539010360191</c:v>
                </c:pt>
                <c:pt idx="124">
                  <c:v>584.7539010360191</c:v>
                </c:pt>
                <c:pt idx="125">
                  <c:v>584.7539010360191</c:v>
                </c:pt>
                <c:pt idx="126">
                  <c:v>584.7539010360191</c:v>
                </c:pt>
                <c:pt idx="127">
                  <c:v>584.7539010360191</c:v>
                </c:pt>
                <c:pt idx="128">
                  <c:v>584.7539010360191</c:v>
                </c:pt>
                <c:pt idx="129">
                  <c:v>584.7539010360191</c:v>
                </c:pt>
                <c:pt idx="130">
                  <c:v>584.7539010360191</c:v>
                </c:pt>
                <c:pt idx="131">
                  <c:v>584.7539010360191</c:v>
                </c:pt>
                <c:pt idx="132">
                  <c:v>584.7539010360191</c:v>
                </c:pt>
                <c:pt idx="133">
                  <c:v>584.7539010360191</c:v>
                </c:pt>
                <c:pt idx="134">
                  <c:v>584.7539010360191</c:v>
                </c:pt>
                <c:pt idx="135">
                  <c:v>584.7539010360191</c:v>
                </c:pt>
                <c:pt idx="136">
                  <c:v>584.7539010360191</c:v>
                </c:pt>
                <c:pt idx="137">
                  <c:v>584.7539010360191</c:v>
                </c:pt>
                <c:pt idx="138">
                  <c:v>584.7539010360191</c:v>
                </c:pt>
                <c:pt idx="139">
                  <c:v>584.7539010360191</c:v>
                </c:pt>
                <c:pt idx="140">
                  <c:v>584.7539010360191</c:v>
                </c:pt>
                <c:pt idx="141">
                  <c:v>584.7539010360191</c:v>
                </c:pt>
                <c:pt idx="142">
                  <c:v>584.7539010360191</c:v>
                </c:pt>
                <c:pt idx="143">
                  <c:v>584.7539010360191</c:v>
                </c:pt>
                <c:pt idx="144">
                  <c:v>584.7539010360191</c:v>
                </c:pt>
                <c:pt idx="145">
                  <c:v>584.7539010360191</c:v>
                </c:pt>
                <c:pt idx="146">
                  <c:v>584.7539010360191</c:v>
                </c:pt>
                <c:pt idx="147">
                  <c:v>584.7539010360191</c:v>
                </c:pt>
                <c:pt idx="148">
                  <c:v>584.7539010360191</c:v>
                </c:pt>
                <c:pt idx="149">
                  <c:v>584.7539010360191</c:v>
                </c:pt>
                <c:pt idx="150">
                  <c:v>584.7539010360191</c:v>
                </c:pt>
                <c:pt idx="151">
                  <c:v>584.7539010360191</c:v>
                </c:pt>
                <c:pt idx="152">
                  <c:v>584.7539010360191</c:v>
                </c:pt>
                <c:pt idx="153">
                  <c:v>584.7539010360191</c:v>
                </c:pt>
                <c:pt idx="154">
                  <c:v>584.7539010360191</c:v>
                </c:pt>
                <c:pt idx="155">
                  <c:v>584.7539010360191</c:v>
                </c:pt>
                <c:pt idx="156">
                  <c:v>584.7539010360191</c:v>
                </c:pt>
                <c:pt idx="157">
                  <c:v>584.7539010360191</c:v>
                </c:pt>
                <c:pt idx="158">
                  <c:v>584.7539010360191</c:v>
                </c:pt>
                <c:pt idx="159">
                  <c:v>584.7539010360191</c:v>
                </c:pt>
                <c:pt idx="160">
                  <c:v>584.7539010360191</c:v>
                </c:pt>
                <c:pt idx="161">
                  <c:v>584.7539010360191</c:v>
                </c:pt>
                <c:pt idx="162">
                  <c:v>584.7539010360191</c:v>
                </c:pt>
                <c:pt idx="163">
                  <c:v>584.7539010360191</c:v>
                </c:pt>
                <c:pt idx="164">
                  <c:v>584.7539010360191</c:v>
                </c:pt>
                <c:pt idx="165">
                  <c:v>584.7539010360191</c:v>
                </c:pt>
                <c:pt idx="166">
                  <c:v>584.7539010360191</c:v>
                </c:pt>
                <c:pt idx="167">
                  <c:v>584.7539010360191</c:v>
                </c:pt>
                <c:pt idx="168">
                  <c:v>584.7539010360191</c:v>
                </c:pt>
                <c:pt idx="169">
                  <c:v>584.7539010360191</c:v>
                </c:pt>
                <c:pt idx="170">
                  <c:v>584.7539010360191</c:v>
                </c:pt>
                <c:pt idx="171">
                  <c:v>584.7539010360191</c:v>
                </c:pt>
                <c:pt idx="172">
                  <c:v>584.7539010360191</c:v>
                </c:pt>
                <c:pt idx="173">
                  <c:v>584.7539010360191</c:v>
                </c:pt>
                <c:pt idx="174">
                  <c:v>584.7539010360191</c:v>
                </c:pt>
                <c:pt idx="175">
                  <c:v>584.7539010360191</c:v>
                </c:pt>
                <c:pt idx="176">
                  <c:v>584.7539010360191</c:v>
                </c:pt>
                <c:pt idx="177">
                  <c:v>584.7539010360191</c:v>
                </c:pt>
                <c:pt idx="178">
                  <c:v>584.7539010360191</c:v>
                </c:pt>
                <c:pt idx="179">
                  <c:v>584.7539010360191</c:v>
                </c:pt>
                <c:pt idx="180">
                  <c:v>584.7539010360191</c:v>
                </c:pt>
                <c:pt idx="181">
                  <c:v>584.7539010360191</c:v>
                </c:pt>
                <c:pt idx="182">
                  <c:v>584.7539010360191</c:v>
                </c:pt>
                <c:pt idx="183">
                  <c:v>584.7539010360191</c:v>
                </c:pt>
                <c:pt idx="184">
                  <c:v>584.7539010360191</c:v>
                </c:pt>
                <c:pt idx="185">
                  <c:v>584.7539010360191</c:v>
                </c:pt>
                <c:pt idx="186">
                  <c:v>584.7539010360191</c:v>
                </c:pt>
                <c:pt idx="187">
                  <c:v>584.7539010360191</c:v>
                </c:pt>
                <c:pt idx="188">
                  <c:v>584.7539010360191</c:v>
                </c:pt>
                <c:pt idx="189">
                  <c:v>584.7539010360191</c:v>
                </c:pt>
                <c:pt idx="190">
                  <c:v>584.7539010360191</c:v>
                </c:pt>
                <c:pt idx="191">
                  <c:v>584.7539010360191</c:v>
                </c:pt>
                <c:pt idx="192">
                  <c:v>584.7539010360191</c:v>
                </c:pt>
                <c:pt idx="193">
                  <c:v>584.7539010360191</c:v>
                </c:pt>
                <c:pt idx="194">
                  <c:v>584.7539010360191</c:v>
                </c:pt>
                <c:pt idx="195">
                  <c:v>584.7539010360191</c:v>
                </c:pt>
                <c:pt idx="196">
                  <c:v>584.7539010360191</c:v>
                </c:pt>
                <c:pt idx="197">
                  <c:v>584.7539010360191</c:v>
                </c:pt>
                <c:pt idx="198">
                  <c:v>584.7539010360191</c:v>
                </c:pt>
                <c:pt idx="199">
                  <c:v>584.7539010360191</c:v>
                </c:pt>
                <c:pt idx="200">
                  <c:v>584.7539010360191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F53" sqref="F5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0" t="s">
        <v>192</v>
      </c>
      <c r="C3" s="271"/>
      <c r="D3" s="271"/>
      <c r="E3" s="271"/>
      <c r="F3" s="272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5" t="s">
        <v>231</v>
      </c>
      <c r="B5" s="275"/>
      <c r="C5" s="24">
        <v>5</v>
      </c>
      <c r="D5" s="276" t="s">
        <v>229</v>
      </c>
      <c r="E5" s="277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4" t="s">
        <v>226</v>
      </c>
      <c r="B7" s="274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164</v>
      </c>
      <c r="C9" s="262">
        <v>0.6</v>
      </c>
      <c r="D9" s="33">
        <f t="shared" ref="D9:D18" si="0">C9*$C$5</f>
        <v>3</v>
      </c>
      <c r="E9" s="263">
        <v>80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18</v>
      </c>
      <c r="C10" s="262">
        <v>0.3</v>
      </c>
      <c r="D10" s="33">
        <f t="shared" si="0"/>
        <v>1.5</v>
      </c>
      <c r="E10" s="263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 t="s">
        <v>12</v>
      </c>
      <c r="C11" s="262">
        <v>0.1</v>
      </c>
      <c r="D11" s="33">
        <f t="shared" si="0"/>
        <v>0.5</v>
      </c>
      <c r="E11" s="263">
        <v>115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0.99999999999999989</v>
      </c>
      <c r="D19" s="38">
        <f>SUM(D9:D18)</f>
        <v>5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3" t="s">
        <v>232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4" t="s">
        <v>227</v>
      </c>
      <c r="B30" s="274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5" t="s">
        <v>186</v>
      </c>
      <c r="D34" s="265"/>
      <c r="E34" s="266" t="s">
        <v>187</v>
      </c>
      <c r="F34" s="267"/>
      <c r="G34" s="267"/>
      <c r="H34" s="268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0">
        <v>15</v>
      </c>
      <c r="B36" s="260">
        <v>62</v>
      </c>
      <c r="C36" s="260"/>
      <c r="D36" s="260"/>
      <c r="E36" s="259"/>
      <c r="F36" s="259"/>
      <c r="G36" s="259"/>
      <c r="H36" s="259"/>
      <c r="I36" s="49">
        <f>IFERROR(B36/A36,"")</f>
        <v>4.1333333333333337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0">
        <v>20</v>
      </c>
      <c r="B37" s="260">
        <v>164</v>
      </c>
      <c r="C37" s="260">
        <v>1</v>
      </c>
      <c r="D37" s="260">
        <v>26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20.399999999999999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0">
        <v>25</v>
      </c>
      <c r="B38" s="260">
        <v>270</v>
      </c>
      <c r="C38" s="260">
        <v>2</v>
      </c>
      <c r="D38" s="260">
        <v>70</v>
      </c>
      <c r="E38" s="259"/>
      <c r="F38" s="259">
        <v>1</v>
      </c>
      <c r="G38" s="259"/>
      <c r="H38" s="259"/>
      <c r="I38" s="53">
        <f t="shared" si="1"/>
        <v>26.4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0">
        <v>30</v>
      </c>
      <c r="B39" s="260">
        <v>343</v>
      </c>
      <c r="C39" s="260">
        <v>3</v>
      </c>
      <c r="D39" s="260">
        <v>70</v>
      </c>
      <c r="E39" s="259"/>
      <c r="F39" s="259">
        <v>1</v>
      </c>
      <c r="G39" s="259"/>
      <c r="H39" s="259"/>
      <c r="I39" s="49">
        <f t="shared" si="1"/>
        <v>28.6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0">
        <v>35</v>
      </c>
      <c r="B40" s="260">
        <v>418</v>
      </c>
      <c r="C40" s="260">
        <v>4</v>
      </c>
      <c r="D40" s="260">
        <v>70</v>
      </c>
      <c r="E40" s="259">
        <v>1</v>
      </c>
      <c r="F40" s="259"/>
      <c r="G40" s="259"/>
      <c r="H40" s="259"/>
      <c r="I40" s="49">
        <f t="shared" si="1"/>
        <v>29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0">
        <v>40</v>
      </c>
      <c r="B41" s="260">
        <v>487</v>
      </c>
      <c r="C41" s="260">
        <v>5</v>
      </c>
      <c r="D41" s="260">
        <v>70</v>
      </c>
      <c r="E41" s="259">
        <v>1</v>
      </c>
      <c r="F41" s="259"/>
      <c r="G41" s="259"/>
      <c r="H41" s="259"/>
      <c r="I41" s="53">
        <f t="shared" si="1"/>
        <v>27.8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0">
        <v>45</v>
      </c>
      <c r="B42" s="260">
        <v>548</v>
      </c>
      <c r="C42" s="260">
        <v>6</v>
      </c>
      <c r="D42" s="260">
        <v>70</v>
      </c>
      <c r="E42" s="259">
        <v>1</v>
      </c>
      <c r="F42" s="259"/>
      <c r="G42" s="259"/>
      <c r="H42" s="259"/>
      <c r="I42" s="53">
        <f t="shared" si="1"/>
        <v>26.2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0">
        <v>50</v>
      </c>
      <c r="B43" s="260">
        <v>601</v>
      </c>
      <c r="C43" s="260">
        <v>7</v>
      </c>
      <c r="D43" s="260">
        <v>70</v>
      </c>
      <c r="E43" s="259">
        <v>1</v>
      </c>
      <c r="F43" s="259"/>
      <c r="G43" s="259"/>
      <c r="H43" s="259"/>
      <c r="I43" s="49">
        <f t="shared" si="1"/>
        <v>24.6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0">
        <v>55</v>
      </c>
      <c r="B44" s="260">
        <v>646</v>
      </c>
      <c r="C44" s="260">
        <v>8</v>
      </c>
      <c r="D44" s="260">
        <v>63</v>
      </c>
      <c r="E44" s="259">
        <v>1</v>
      </c>
      <c r="F44" s="259"/>
      <c r="G44" s="259"/>
      <c r="H44" s="259"/>
      <c r="I44" s="49">
        <f t="shared" si="1"/>
        <v>23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0">
        <v>60</v>
      </c>
      <c r="B45" s="260">
        <v>690</v>
      </c>
      <c r="C45" s="260">
        <v>9</v>
      </c>
      <c r="D45" s="260">
        <v>56</v>
      </c>
      <c r="E45" s="259">
        <v>1</v>
      </c>
      <c r="F45" s="259"/>
      <c r="G45" s="259"/>
      <c r="H45" s="259"/>
      <c r="I45" s="49">
        <f t="shared" si="1"/>
        <v>21.4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0">
        <v>65</v>
      </c>
      <c r="B46" s="260">
        <v>734</v>
      </c>
      <c r="C46" s="260">
        <v>10</v>
      </c>
      <c r="D46" s="260">
        <v>52</v>
      </c>
      <c r="E46" s="259">
        <v>1</v>
      </c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0">
        <v>70</v>
      </c>
      <c r="B47" s="260">
        <v>773</v>
      </c>
      <c r="C47" s="260">
        <v>11</v>
      </c>
      <c r="D47" s="260">
        <v>49</v>
      </c>
      <c r="E47" s="259">
        <v>1</v>
      </c>
      <c r="F47" s="259"/>
      <c r="G47" s="259"/>
      <c r="H47" s="259"/>
      <c r="I47" s="49">
        <f t="shared" si="1"/>
        <v>18.2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0">
        <v>75</v>
      </c>
      <c r="B48" s="260">
        <v>809</v>
      </c>
      <c r="C48" s="260">
        <v>12</v>
      </c>
      <c r="D48" s="260">
        <v>47</v>
      </c>
      <c r="E48" s="259">
        <v>1</v>
      </c>
      <c r="F48" s="259"/>
      <c r="G48" s="259"/>
      <c r="H48" s="259"/>
      <c r="I48" s="49">
        <f t="shared" si="1"/>
        <v>17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0">
        <v>80</v>
      </c>
      <c r="B49" s="260">
        <v>840</v>
      </c>
      <c r="C49" s="260">
        <v>13</v>
      </c>
      <c r="D49" s="260">
        <v>45</v>
      </c>
      <c r="E49" s="259">
        <v>1</v>
      </c>
      <c r="F49" s="259"/>
      <c r="G49" s="259"/>
      <c r="H49" s="259"/>
      <c r="I49" s="49">
        <f t="shared" si="1"/>
        <v>15.6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/>
      <c r="B50" s="260"/>
      <c r="C50" s="260"/>
      <c r="D50" s="260"/>
      <c r="E50" s="259"/>
      <c r="F50" s="259"/>
      <c r="G50" s="259"/>
      <c r="H50" s="259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/>
      <c r="B51" s="260"/>
      <c r="C51" s="260"/>
      <c r="D51" s="260"/>
      <c r="E51" s="259"/>
      <c r="F51" s="259"/>
      <c r="G51" s="259"/>
      <c r="H51" s="259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/>
      <c r="B52" s="260"/>
      <c r="C52" s="260"/>
      <c r="D52" s="260"/>
      <c r="E52" s="259"/>
      <c r="F52" s="259"/>
      <c r="G52" s="259"/>
      <c r="H52" s="259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/>
      <c r="B53" s="260"/>
      <c r="C53" s="260"/>
      <c r="D53" s="260"/>
      <c r="E53" s="259"/>
      <c r="F53" s="259"/>
      <c r="G53" s="259"/>
      <c r="H53" s="259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/>
      <c r="B54" s="260"/>
      <c r="C54" s="260"/>
      <c r="D54" s="260"/>
      <c r="E54" s="259"/>
      <c r="F54" s="259"/>
      <c r="G54" s="259"/>
      <c r="H54" s="259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/>
      <c r="B55" s="260"/>
      <c r="C55" s="260"/>
      <c r="D55" s="260"/>
      <c r="E55" s="259"/>
      <c r="F55" s="259"/>
      <c r="G55" s="259"/>
      <c r="H55" s="259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Douglas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5" t="s">
        <v>186</v>
      </c>
      <c r="D60" s="265"/>
      <c r="E60" s="266" t="s">
        <v>187</v>
      </c>
      <c r="F60" s="267"/>
      <c r="G60" s="267"/>
      <c r="H60" s="268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0">
        <v>19</v>
      </c>
      <c r="B62" s="260">
        <v>162</v>
      </c>
      <c r="C62" s="260"/>
      <c r="D62" s="260">
        <v>0</v>
      </c>
      <c r="E62" s="259"/>
      <c r="F62" s="259"/>
      <c r="G62" s="259"/>
      <c r="H62" s="259"/>
      <c r="I62" s="53">
        <f>IFERROR(B62/A62,"")</f>
        <v>8.526315789473685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0">
        <v>25</v>
      </c>
      <c r="B63" s="260">
        <v>335</v>
      </c>
      <c r="C63" s="260">
        <v>1</v>
      </c>
      <c r="D63" s="260">
        <v>54</v>
      </c>
      <c r="E63" s="259"/>
      <c r="F63" s="259"/>
      <c r="G63" s="259">
        <v>1</v>
      </c>
      <c r="H63" s="259"/>
      <c r="I63" s="49">
        <f>IF(A63&lt;&gt;0,(B63-(B62-D62))/(A63-A62),"")</f>
        <v>28.833333333333332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0">
        <v>30</v>
      </c>
      <c r="B64" s="260">
        <v>421</v>
      </c>
      <c r="C64" s="260">
        <v>2</v>
      </c>
      <c r="D64" s="260">
        <v>54</v>
      </c>
      <c r="E64" s="259"/>
      <c r="F64" s="259">
        <v>1</v>
      </c>
      <c r="G64" s="259"/>
      <c r="H64" s="259"/>
      <c r="I64" s="49">
        <f>IF(A64&lt;&gt;0,(B64-(B63-D63))/(A64-A63),"")</f>
        <v>28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0">
        <v>35</v>
      </c>
      <c r="B65" s="260">
        <v>505</v>
      </c>
      <c r="C65" s="260">
        <v>3</v>
      </c>
      <c r="D65" s="260">
        <v>69</v>
      </c>
      <c r="E65" s="259">
        <v>1</v>
      </c>
      <c r="F65" s="259"/>
      <c r="G65" s="259"/>
      <c r="H65" s="259"/>
      <c r="I65" s="49">
        <f>IF(A65&lt;&gt;0,(B65-(B64-D64))/(A65-A64),"")</f>
        <v>27.6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0">
        <v>40</v>
      </c>
      <c r="B66" s="260">
        <v>564</v>
      </c>
      <c r="C66" s="260">
        <v>4</v>
      </c>
      <c r="D66" s="260">
        <v>72</v>
      </c>
      <c r="E66" s="259">
        <v>1</v>
      </c>
      <c r="F66" s="259"/>
      <c r="G66" s="259"/>
      <c r="H66" s="259"/>
      <c r="I66" s="49">
        <f t="shared" ref="I66:I81" si="2">IF(A66&lt;&gt;0,(B66-(B65-D65))/(A66-A65),"")</f>
        <v>25.6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0">
        <v>45</v>
      </c>
      <c r="B67" s="260">
        <v>606</v>
      </c>
      <c r="C67" s="260">
        <v>5</v>
      </c>
      <c r="D67" s="260">
        <v>66</v>
      </c>
      <c r="E67" s="259">
        <v>1</v>
      </c>
      <c r="F67" s="259"/>
      <c r="G67" s="259"/>
      <c r="H67" s="259"/>
      <c r="I67" s="49">
        <f t="shared" si="2"/>
        <v>22.8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0">
        <v>50</v>
      </c>
      <c r="B68" s="260">
        <v>629</v>
      </c>
      <c r="C68" s="260">
        <v>6</v>
      </c>
      <c r="D68" s="260">
        <v>48</v>
      </c>
      <c r="E68" s="259">
        <v>1</v>
      </c>
      <c r="F68" s="259"/>
      <c r="G68" s="259"/>
      <c r="H68" s="259"/>
      <c r="I68" s="49">
        <f t="shared" si="2"/>
        <v>17.8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0">
        <v>55</v>
      </c>
      <c r="B69" s="260">
        <v>650</v>
      </c>
      <c r="C69" s="260">
        <v>7</v>
      </c>
      <c r="D69" s="260">
        <v>35</v>
      </c>
      <c r="E69" s="259">
        <v>1</v>
      </c>
      <c r="F69" s="259"/>
      <c r="G69" s="259"/>
      <c r="H69" s="259"/>
      <c r="I69" s="49">
        <f t="shared" si="2"/>
        <v>13.8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0">
        <v>60</v>
      </c>
      <c r="B70" s="260">
        <v>666</v>
      </c>
      <c r="C70" s="260">
        <v>8</v>
      </c>
      <c r="D70" s="260">
        <v>29</v>
      </c>
      <c r="E70" s="259">
        <v>1</v>
      </c>
      <c r="F70" s="259"/>
      <c r="G70" s="259"/>
      <c r="H70" s="259"/>
      <c r="I70" s="49">
        <f t="shared" si="2"/>
        <v>10.199999999999999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0"/>
      <c r="B71" s="260"/>
      <c r="C71" s="260"/>
      <c r="D71" s="260"/>
      <c r="E71" s="259"/>
      <c r="F71" s="259"/>
      <c r="G71" s="259"/>
      <c r="H71" s="259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0"/>
      <c r="B72" s="260"/>
      <c r="C72" s="260"/>
      <c r="D72" s="260"/>
      <c r="E72" s="259"/>
      <c r="F72" s="259"/>
      <c r="G72" s="259"/>
      <c r="H72" s="259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/>
      <c r="B73" s="260"/>
      <c r="C73" s="260"/>
      <c r="D73" s="260"/>
      <c r="E73" s="259"/>
      <c r="F73" s="259"/>
      <c r="G73" s="259"/>
      <c r="H73" s="259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/>
      <c r="B74" s="260"/>
      <c r="C74" s="260"/>
      <c r="D74" s="260"/>
      <c r="E74" s="259"/>
      <c r="F74" s="259"/>
      <c r="G74" s="259"/>
      <c r="H74" s="259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/>
      <c r="B75" s="260"/>
      <c r="C75" s="260"/>
      <c r="D75" s="260"/>
      <c r="E75" s="259"/>
      <c r="F75" s="259"/>
      <c r="G75" s="259"/>
      <c r="H75" s="259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/>
      <c r="B76" s="260"/>
      <c r="C76" s="260"/>
      <c r="D76" s="260"/>
      <c r="E76" s="259"/>
      <c r="F76" s="259"/>
      <c r="G76" s="259"/>
      <c r="H76" s="259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pubescent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5" t="s">
        <v>186</v>
      </c>
      <c r="D86" s="265"/>
      <c r="E86" s="266" t="s">
        <v>187</v>
      </c>
      <c r="F86" s="267"/>
      <c r="G86" s="267"/>
      <c r="H86" s="268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42</v>
      </c>
      <c r="C88" s="50"/>
      <c r="D88" s="60">
        <v>0</v>
      </c>
      <c r="E88" s="51"/>
      <c r="F88" s="51"/>
      <c r="G88" s="51"/>
      <c r="H88" s="51"/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v>70</v>
      </c>
      <c r="C89" s="50">
        <v>1</v>
      </c>
      <c r="D89" s="60">
        <v>8</v>
      </c>
      <c r="E89" s="51"/>
      <c r="F89" s="51"/>
      <c r="G89" s="51"/>
      <c r="H89" s="51">
        <v>1</v>
      </c>
      <c r="I89" s="53">
        <f t="shared" ref="I89:I107" si="3">IF(A89&lt;&gt;0,(B89-(B88-D88))/(A89-A88),"")</f>
        <v>5.6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97</v>
      </c>
      <c r="C90" s="50">
        <v>2</v>
      </c>
      <c r="D90" s="60">
        <v>21</v>
      </c>
      <c r="E90" s="51"/>
      <c r="F90" s="51"/>
      <c r="G90" s="51"/>
      <c r="H90" s="51">
        <v>1</v>
      </c>
      <c r="I90" s="53">
        <f t="shared" si="3"/>
        <v>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v>116</v>
      </c>
      <c r="C91" s="50">
        <v>3</v>
      </c>
      <c r="D91" s="60">
        <v>21</v>
      </c>
      <c r="E91" s="51">
        <v>1</v>
      </c>
      <c r="F91" s="51"/>
      <c r="G91" s="51"/>
      <c r="H91" s="51"/>
      <c r="I91" s="53">
        <f t="shared" si="3"/>
        <v>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40</v>
      </c>
      <c r="B92" s="60">
        <v>137</v>
      </c>
      <c r="C92" s="50">
        <v>4</v>
      </c>
      <c r="D92" s="60">
        <v>21</v>
      </c>
      <c r="E92" s="51">
        <v>1</v>
      </c>
      <c r="F92" s="51"/>
      <c r="G92" s="51"/>
      <c r="H92" s="51"/>
      <c r="I92" s="53">
        <f t="shared" si="3"/>
        <v>8.4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45</v>
      </c>
      <c r="B93" s="60">
        <v>158</v>
      </c>
      <c r="C93" s="50">
        <v>5</v>
      </c>
      <c r="D93" s="60">
        <v>21</v>
      </c>
      <c r="E93" s="51">
        <v>1</v>
      </c>
      <c r="F93" s="51"/>
      <c r="G93" s="51"/>
      <c r="H93" s="51"/>
      <c r="I93" s="53">
        <f t="shared" si="3"/>
        <v>8.4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50</v>
      </c>
      <c r="B94" s="60">
        <v>178</v>
      </c>
      <c r="C94" s="50">
        <v>6</v>
      </c>
      <c r="D94" s="60">
        <v>21</v>
      </c>
      <c r="E94" s="51">
        <v>1</v>
      </c>
      <c r="F94" s="51"/>
      <c r="G94" s="51"/>
      <c r="H94" s="51"/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50">
        <v>55</v>
      </c>
      <c r="B95" s="60">
        <v>197</v>
      </c>
      <c r="C95" s="50">
        <v>7</v>
      </c>
      <c r="D95" s="60">
        <v>21</v>
      </c>
      <c r="E95" s="51">
        <v>1</v>
      </c>
      <c r="F95" s="51"/>
      <c r="G95" s="51"/>
      <c r="H95" s="51"/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50">
        <v>60</v>
      </c>
      <c r="B96" s="60">
        <v>214</v>
      </c>
      <c r="C96" s="50">
        <v>8</v>
      </c>
      <c r="D96" s="60">
        <v>21</v>
      </c>
      <c r="E96" s="51">
        <v>1</v>
      </c>
      <c r="F96" s="51"/>
      <c r="G96" s="51"/>
      <c r="H96" s="51"/>
      <c r="I96" s="53">
        <f t="shared" si="3"/>
        <v>7.6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50">
        <v>65</v>
      </c>
      <c r="B97" s="60">
        <v>229</v>
      </c>
      <c r="C97" s="50">
        <v>9</v>
      </c>
      <c r="D97" s="60">
        <v>21</v>
      </c>
      <c r="E97" s="51">
        <v>1</v>
      </c>
      <c r="F97" s="51"/>
      <c r="G97" s="51"/>
      <c r="H97" s="51"/>
      <c r="I97" s="53">
        <f t="shared" si="3"/>
        <v>7.2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50">
        <v>70</v>
      </c>
      <c r="B98" s="60">
        <v>242</v>
      </c>
      <c r="C98" s="50">
        <v>10</v>
      </c>
      <c r="D98" s="60">
        <v>21</v>
      </c>
      <c r="E98" s="51">
        <v>1</v>
      </c>
      <c r="F98" s="51"/>
      <c r="G98" s="51"/>
      <c r="H98" s="51"/>
      <c r="I98" s="53">
        <f t="shared" si="3"/>
        <v>6.8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50">
        <v>75</v>
      </c>
      <c r="B99" s="60">
        <v>252</v>
      </c>
      <c r="C99" s="50">
        <v>11</v>
      </c>
      <c r="D99" s="60">
        <v>21</v>
      </c>
      <c r="E99" s="51">
        <v>1</v>
      </c>
      <c r="F99" s="51"/>
      <c r="G99" s="51"/>
      <c r="H99" s="51"/>
      <c r="I99" s="53">
        <f t="shared" si="3"/>
        <v>6.2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50">
        <v>80</v>
      </c>
      <c r="B100" s="60">
        <v>261</v>
      </c>
      <c r="C100" s="50">
        <v>12</v>
      </c>
      <c r="D100" s="60">
        <v>21</v>
      </c>
      <c r="E100" s="54">
        <v>1</v>
      </c>
      <c r="F100" s="54"/>
      <c r="G100" s="54"/>
      <c r="H100" s="54"/>
      <c r="I100" s="53">
        <f t="shared" si="3"/>
        <v>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50">
        <v>85</v>
      </c>
      <c r="B101" s="60">
        <v>269</v>
      </c>
      <c r="C101" s="50">
        <v>13</v>
      </c>
      <c r="D101" s="60">
        <v>21</v>
      </c>
      <c r="E101" s="54">
        <v>1</v>
      </c>
      <c r="F101" s="54"/>
      <c r="G101" s="54"/>
      <c r="H101" s="54"/>
      <c r="I101" s="53">
        <f t="shared" si="3"/>
        <v>5.8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55">
        <v>90</v>
      </c>
      <c r="B102" s="56">
        <v>275</v>
      </c>
      <c r="C102" s="50">
        <v>14</v>
      </c>
      <c r="D102" s="50">
        <v>21</v>
      </c>
      <c r="E102" s="54">
        <v>1</v>
      </c>
      <c r="F102" s="54"/>
      <c r="G102" s="54"/>
      <c r="H102" s="54"/>
      <c r="I102" s="53">
        <f t="shared" si="3"/>
        <v>5.4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55">
        <v>95</v>
      </c>
      <c r="B103" s="56">
        <v>279</v>
      </c>
      <c r="C103" s="50">
        <v>15</v>
      </c>
      <c r="D103" s="50">
        <v>21</v>
      </c>
      <c r="E103" s="54">
        <v>1</v>
      </c>
      <c r="F103" s="54"/>
      <c r="G103" s="54"/>
      <c r="H103" s="54"/>
      <c r="I103" s="53">
        <f t="shared" si="3"/>
        <v>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55">
        <v>100</v>
      </c>
      <c r="B104" s="56">
        <v>282</v>
      </c>
      <c r="C104" s="50">
        <v>16</v>
      </c>
      <c r="D104" s="50">
        <v>21</v>
      </c>
      <c r="E104" s="54">
        <v>1</v>
      </c>
      <c r="F104" s="54"/>
      <c r="G104" s="54"/>
      <c r="H104" s="54"/>
      <c r="I104" s="53">
        <f t="shared" si="3"/>
        <v>4.8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5">
        <v>105</v>
      </c>
      <c r="B105" s="56">
        <v>284</v>
      </c>
      <c r="C105" s="50">
        <v>17</v>
      </c>
      <c r="D105" s="50">
        <v>20</v>
      </c>
      <c r="E105" s="54">
        <v>1</v>
      </c>
      <c r="F105" s="54"/>
      <c r="G105" s="54"/>
      <c r="H105" s="54"/>
      <c r="I105" s="53">
        <f t="shared" si="3"/>
        <v>4.5999999999999996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5">
        <v>110</v>
      </c>
      <c r="B106" s="56">
        <v>285</v>
      </c>
      <c r="C106" s="50">
        <v>18</v>
      </c>
      <c r="D106" s="50">
        <v>19</v>
      </c>
      <c r="E106" s="54">
        <v>1</v>
      </c>
      <c r="F106" s="54"/>
      <c r="G106" s="54"/>
      <c r="H106" s="54"/>
      <c r="I106" s="53">
        <f t="shared" si="3"/>
        <v>4.2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5">
        <v>115</v>
      </c>
      <c r="B107" s="56">
        <v>285</v>
      </c>
      <c r="C107" s="50">
        <v>19</v>
      </c>
      <c r="D107" s="58">
        <v>18</v>
      </c>
      <c r="E107" s="54">
        <v>1</v>
      </c>
      <c r="F107" s="54"/>
      <c r="G107" s="54"/>
      <c r="H107" s="54"/>
      <c r="I107" s="53">
        <f t="shared" si="3"/>
        <v>3.8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5" t="s">
        <v>186</v>
      </c>
      <c r="D112" s="265"/>
      <c r="E112" s="266" t="s">
        <v>187</v>
      </c>
      <c r="F112" s="267"/>
      <c r="G112" s="267"/>
      <c r="H112" s="268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5" t="s">
        <v>186</v>
      </c>
      <c r="D138" s="265"/>
      <c r="E138" s="266" t="s">
        <v>187</v>
      </c>
      <c r="F138" s="267"/>
      <c r="G138" s="267"/>
      <c r="H138" s="268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5" t="s">
        <v>186</v>
      </c>
      <c r="D164" s="265"/>
      <c r="E164" s="266" t="s">
        <v>187</v>
      </c>
      <c r="F164" s="267"/>
      <c r="G164" s="267"/>
      <c r="H164" s="268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5" t="s">
        <v>186</v>
      </c>
      <c r="D190" s="265"/>
      <c r="E190" s="266" t="s">
        <v>187</v>
      </c>
      <c r="F190" s="267"/>
      <c r="G190" s="267"/>
      <c r="H190" s="268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5" t="s">
        <v>186</v>
      </c>
      <c r="D216" s="265"/>
      <c r="E216" s="266" t="s">
        <v>187</v>
      </c>
      <c r="F216" s="267"/>
      <c r="G216" s="267"/>
      <c r="H216" s="268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5" t="s">
        <v>186</v>
      </c>
      <c r="D242" s="265"/>
      <c r="E242" s="266" t="s">
        <v>187</v>
      </c>
      <c r="F242" s="267"/>
      <c r="G242" s="267"/>
      <c r="H242" s="268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5" t="s">
        <v>186</v>
      </c>
      <c r="D268" s="265"/>
      <c r="E268" s="266" t="s">
        <v>187</v>
      </c>
      <c r="F268" s="267"/>
      <c r="G268" s="267"/>
      <c r="H268" s="268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9" sqref="G19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Cèdre de l'Atlas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Douglas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>Chêne pubescent</v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/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/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/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/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379.12827535040157</v>
      </c>
      <c r="T3" s="59">
        <f>IF('Données projet'!E9&gt;30,$R$33-$H$33,LOOKUP('Données projet'!$E$9,$A$3:$A$203,R3:R203)-LOOKUP('Données projet'!$E$9,$A$3:$A$203,$H$3:$H$203))</f>
        <v>317.29813413796956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382.55387448074327</v>
      </c>
      <c r="AO3" s="59">
        <f>IF('Données projet'!E10&gt;30,$AM$33-$H$33,LOOKUP('Données projet'!$E$10,$A$3:$A$203,AM3:AM203)-LOOKUP('Données projet'!$E$10,$A$3:$A$203,$H$3:$H$203))</f>
        <v>476.29465646955543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308.80022073574963</v>
      </c>
      <c r="BJ3" s="59">
        <f>IF('Données projet'!E11&gt;30,$BH$33-$H$33,LOOKUP('Données projet'!$E$11,$A$3:$A$203,BH3:BH203)-LOOKUP('Données projet'!$E$11,$A$3:$A$203,$H$3:$H$203))</f>
        <v>183.96267407004115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4.1333333333333337</v>
      </c>
      <c r="N4" s="13">
        <f>IF('Données projet'!$A$36&gt;35,N3+M4-V3,IF(A4&lt;'Données projet'!$A$36,$K$205^A4,IF(A4='Données projet'!$A$36,'Données projet'!$B$36,N3+M4-V3)))</f>
        <v>1.3167180204218134</v>
      </c>
      <c r="O4" s="13">
        <f>N4*VLOOKUP('Données projet'!$B$9,Paramètres!$A$1:$I$89,3,0)*VLOOKUP('Données projet'!$B$9,Paramètres!$A$1:$I$89,5,0)</f>
        <v>0.61622403355740862</v>
      </c>
      <c r="P4" s="13">
        <f>EXP(-1.0587+0.8836*LN(O4)+0.284)</f>
        <v>0.3004450965382191</v>
      </c>
      <c r="Q4" s="20">
        <f t="shared" ref="Q4:Q34" si="2">(O4+P4)*0.475*44/12</f>
        <v>1.5965320682498849</v>
      </c>
      <c r="R4" s="59">
        <f t="shared" si="0"/>
        <v>294.92986540158319</v>
      </c>
      <c r="S4" s="59">
        <f ca="1">AVERAGE(OFFSET($R$3,0,0,'Données projet'!$E$9+1,1))-AVERAGE(OFFSET($H$3,0,0,'Données projet'!$E$9+1,1))</f>
        <v>379.12827535040157</v>
      </c>
      <c r="T4" s="59">
        <f>$T$3</f>
        <v>317.29813413796956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8.526315789473685</v>
      </c>
      <c r="AI4" s="13">
        <f>IF('Données projet'!$A$62&gt;35,AI3+AH4-AQ3,IF(A4&lt;'Données projet'!$A$62,$AF$205^A4,IF(A4='Données projet'!$A$62,'Données projet'!$B$62,AI3+AH4-AQ3)))</f>
        <v>1.3070441688874561</v>
      </c>
      <c r="AJ4" s="13">
        <f>AI4*VLOOKUP('Données projet'!$B$10,Paramètres!$A$1:$I$89,3,0)*VLOOKUP('Données projet'!$B$10,Paramètres!$A$1:$I$89,5,0)</f>
        <v>0.73063769040808801</v>
      </c>
      <c r="AK4" s="13">
        <f>EXP(-1.0587+0.8836*LN(AJ4)+0.284)</f>
        <v>0.34923616900555043</v>
      </c>
      <c r="AL4" s="20">
        <f t="shared" ref="AL4:AL67" si="4">(AJ4+AK4)*0.475*44/12</f>
        <v>1.8807803051454206</v>
      </c>
      <c r="AM4" s="59">
        <f t="shared" ref="AM4:AM67" si="5">AL4+(AD4+AE4)*44/12</f>
        <v>295.21411363847875</v>
      </c>
      <c r="AN4" s="59">
        <f ca="1">AVERAGE(OFFSET($AM$3,0,0,'Données projet'!$E$10+1,1))-AVERAGE(OFFSET($H$3,0,0,'Données projet'!$E$10+1,1))</f>
        <v>382.55387448074327</v>
      </c>
      <c r="AO4" s="59">
        <f>$AO$3</f>
        <v>476.29465646955543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1.2223636300497438</v>
      </c>
      <c r="BF4" s="13">
        <f>EXP(-1.0587+0.8836*LN(BE4)+0.284)</f>
        <v>0.55030360208821416</v>
      </c>
      <c r="BG4" s="20">
        <f t="shared" ref="BG4:BG67" si="7">(BE4+BF4)*0.475*44/12</f>
        <v>3.0873954293069432</v>
      </c>
      <c r="BH4" s="59">
        <f t="shared" ref="BH4:BH67" si="8">BG4+(AY4+AZ4)*44/12</f>
        <v>296.42072876264024</v>
      </c>
      <c r="BI4" s="59">
        <f ca="1">AVERAGE(OFFSET($BH$3,0,0,'Données projet'!$E$11+1,1))-AVERAGE(OFFSET($H$3,0,0,'Données projet'!$E$11+1,1))</f>
        <v>308.80022073574963</v>
      </c>
      <c r="BJ4" s="59">
        <f>$BJ$3</f>
        <v>183.96267407004115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4.1333333333333337</v>
      </c>
      <c r="N5" s="13">
        <f>IF('Données projet'!$A$36&gt;35,N4+M5-V4,IF(A5&lt;'Données projet'!$A$36,$K$205^A5,IF(A5='Données projet'!$A$36,'Données projet'!$B$36,N4+M5-V4)))</f>
        <v>1.7337463453035391</v>
      </c>
      <c r="O5" s="13">
        <f>N5*VLOOKUP('Données projet'!$B$9,Paramètres!$A$1:$I$89,3,0)*VLOOKUP('Données projet'!$B$9,Paramètres!$A$1:$I$89,5,0)</f>
        <v>0.81139328960205626</v>
      </c>
      <c r="P5" s="13">
        <f t="shared" ref="P5:P68" si="33">EXP(-1.0587+0.8836*LN(O5)+0.284)</f>
        <v>0.38313245303095356</v>
      </c>
      <c r="Q5" s="20">
        <f t="shared" si="2"/>
        <v>2.0804656684191585</v>
      </c>
      <c r="R5" s="59">
        <f t="shared" si="0"/>
        <v>295.41379900175247</v>
      </c>
      <c r="S5" s="59">
        <f ca="1">AVERAGE(OFFSET($R$3,0,0,'Données projet'!$E$9+1,1))-AVERAGE(OFFSET($H$3,0,0,'Données projet'!$E$9+1,1))</f>
        <v>379.12827535040157</v>
      </c>
      <c r="T5" s="59">
        <f t="shared" ref="T5:T68" si="34">$T$3</f>
        <v>317.29813413796956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8.526315789473685</v>
      </c>
      <c r="AI5" s="13">
        <f>IF('Données projet'!$A$62&gt;35,AI4+AH5-AQ4,IF(A5&lt;'Données projet'!$A$62,$AF$205^A5,IF(A5='Données projet'!$A$62,'Données projet'!$B$62,AI4+AH5-AQ4)))</f>
        <v>1.708364459422701</v>
      </c>
      <c r="AJ5" s="13">
        <f>AI5*VLOOKUP('Données projet'!$B$10,Paramètres!$A$1:$I$89,3,0)*VLOOKUP('Données projet'!$B$10,Paramètres!$A$1:$I$89,5,0)</f>
        <v>0.95497573281728976</v>
      </c>
      <c r="AK5" s="13">
        <f t="shared" ref="AK5:AK68" si="35">EXP(-1.0587+0.8836*LN(AJ5)+0.284)</f>
        <v>0.44245926414263009</v>
      </c>
      <c r="AL5" s="20">
        <f t="shared" si="4"/>
        <v>2.4338659530385267</v>
      </c>
      <c r="AM5" s="59">
        <f t="shared" si="5"/>
        <v>295.76719928637186</v>
      </c>
      <c r="AN5" s="59">
        <f ca="1">AVERAGE(OFFSET($AM$3,0,0,'Données projet'!$E$10+1,1))-AVERAGE(OFFSET($H$3,0,0,'Données projet'!$E$10+1,1))</f>
        <v>382.55387448074327</v>
      </c>
      <c r="AO5" s="59">
        <f t="shared" ref="AO5:AO68" si="36">$AO$3</f>
        <v>476.29465646955543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1.47354323872622</v>
      </c>
      <c r="BF5" s="13">
        <f t="shared" ref="BF5:BF68" si="37">EXP(-1.0587+0.8836*LN(BE5)+0.284)</f>
        <v>0.64910881835703094</v>
      </c>
      <c r="BG5" s="20">
        <f t="shared" si="7"/>
        <v>3.6969523327533285</v>
      </c>
      <c r="BH5" s="59">
        <f t="shared" si="8"/>
        <v>297.03028566608663</v>
      </c>
      <c r="BI5" s="59">
        <f ca="1">AVERAGE(OFFSET($BH$3,0,0,'Données projet'!$E$11+1,1))-AVERAGE(OFFSET($H$3,0,0,'Données projet'!$E$11+1,1))</f>
        <v>308.80022073574963</v>
      </c>
      <c r="BJ5" s="59">
        <f t="shared" ref="BJ5:BJ68" si="38">$BJ$3</f>
        <v>183.96267407004115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4.1333333333333337</v>
      </c>
      <c r="N6" s="13">
        <f>IF('Données projet'!$A$36&gt;35,N5+M6-V5,IF(A6&lt;'Données projet'!$A$36,$K$205^A6,IF(A6='Données projet'!$A$36,'Données projet'!$B$36,N5+M6-V5)))</f>
        <v>2.2828550557016296</v>
      </c>
      <c r="O6" s="13">
        <f>N6*VLOOKUP('Données projet'!$B$9,Paramètres!$A$1:$I$89,3,0)*VLOOKUP('Données projet'!$B$9,Paramètres!$A$1:$I$89,5,0)</f>
        <v>1.0683761660683626</v>
      </c>
      <c r="P6" s="13">
        <f t="shared" si="33"/>
        <v>0.48857670921197038</v>
      </c>
      <c r="Q6" s="20">
        <f t="shared" si="2"/>
        <v>2.7116929244465795</v>
      </c>
      <c r="R6" s="59">
        <f t="shared" si="0"/>
        <v>296.04502625777991</v>
      </c>
      <c r="S6" s="59">
        <f ca="1">AVERAGE(OFFSET($R$3,0,0,'Données projet'!$E$9+1,1))-AVERAGE(OFFSET($H$3,0,0,'Données projet'!$E$9+1,1))</f>
        <v>379.12827535040157</v>
      </c>
      <c r="T6" s="59">
        <f t="shared" si="34"/>
        <v>317.29813413796956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8.526315789473685</v>
      </c>
      <c r="AI6" s="13">
        <f>IF('Données projet'!$A$62&gt;35,AI5+AH6-AQ5,IF(A6&lt;'Données projet'!$A$62,$AF$205^A6,IF(A6='Données projet'!$A$62,'Données projet'!$B$62,AI5+AH6-AQ5)))</f>
        <v>2.2329078050230127</v>
      </c>
      <c r="AJ6" s="13">
        <f>AI6*VLOOKUP('Données projet'!$B$10,Paramètres!$A$1:$I$89,3,0)*VLOOKUP('Données projet'!$B$10,Paramètres!$A$1:$I$89,5,0)</f>
        <v>1.248195463007864</v>
      </c>
      <c r="AK6" s="13">
        <f t="shared" si="35"/>
        <v>0.56056679634040518</v>
      </c>
      <c r="AL6" s="20">
        <f t="shared" si="4"/>
        <v>3.1502609350315693</v>
      </c>
      <c r="AM6" s="59">
        <f t="shared" si="5"/>
        <v>296.48359426836487</v>
      </c>
      <c r="AN6" s="59">
        <f ca="1">AVERAGE(OFFSET($AM$3,0,0,'Données projet'!$E$10+1,1))-AVERAGE(OFFSET($H$3,0,0,'Données projet'!$E$10+1,1))</f>
        <v>382.55387448074327</v>
      </c>
      <c r="AO6" s="59">
        <f t="shared" si="36"/>
        <v>476.29465646955543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1.7763369450933317</v>
      </c>
      <c r="BF6" s="13">
        <f t="shared" si="37"/>
        <v>0.76565418883323866</v>
      </c>
      <c r="BG6" s="20">
        <f t="shared" si="7"/>
        <v>4.4273012249221102</v>
      </c>
      <c r="BH6" s="59">
        <f t="shared" si="8"/>
        <v>297.76063455825545</v>
      </c>
      <c r="BI6" s="59">
        <f ca="1">AVERAGE(OFFSET($BH$3,0,0,'Données projet'!$E$11+1,1))-AVERAGE(OFFSET($H$3,0,0,'Données projet'!$E$11+1,1))</f>
        <v>308.80022073574963</v>
      </c>
      <c r="BJ6" s="59">
        <f t="shared" si="38"/>
        <v>183.96267407004115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4.1333333333333337</v>
      </c>
      <c r="N7" s="13">
        <f>IF('Données projet'!$A$36&gt;35,N6+M7-V6,IF(A7&lt;'Données projet'!$A$36,$K$205^A7,IF(A7='Données projet'!$A$36,'Données projet'!$B$36,N6+M7-V6)))</f>
        <v>3.0058763898533787</v>
      </c>
      <c r="O7" s="13">
        <f>N7*VLOOKUP('Données projet'!$B$9,Paramètres!$A$1:$I$89,3,0)*VLOOKUP('Données projet'!$B$9,Paramètres!$A$1:$I$89,5,0)</f>
        <v>1.4067501504513813</v>
      </c>
      <c r="P7" s="13">
        <f t="shared" si="33"/>
        <v>0.62304093243991765</v>
      </c>
      <c r="Q7" s="20">
        <f t="shared" si="2"/>
        <v>3.5352194693690122</v>
      </c>
      <c r="R7" s="59">
        <f t="shared" si="0"/>
        <v>296.86855280270231</v>
      </c>
      <c r="S7" s="59">
        <f ca="1">AVERAGE(OFFSET($R$3,0,0,'Données projet'!$E$9+1,1))-AVERAGE(OFFSET($H$3,0,0,'Données projet'!$E$9+1,1))</f>
        <v>379.12827535040157</v>
      </c>
      <c r="T7" s="59">
        <f t="shared" si="34"/>
        <v>317.29813413796956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8.526315789473685</v>
      </c>
      <c r="AI7" s="13">
        <f>IF('Données projet'!$A$62&gt;35,AI6+AH7-AQ6,IF(A7&lt;'Données projet'!$A$62,$AF$205^A7,IF(A7='Données projet'!$A$62,'Données projet'!$B$62,AI6+AH7-AQ6)))</f>
        <v>2.9185091262186176</v>
      </c>
      <c r="AJ7" s="13">
        <f>AI7*VLOOKUP('Données projet'!$B$10,Paramètres!$A$1:$I$89,3,0)*VLOOKUP('Données projet'!$B$10,Paramètres!$A$1:$I$89,5,0)</f>
        <v>1.6314466015562072</v>
      </c>
      <c r="AK7" s="13">
        <f t="shared" si="35"/>
        <v>0.71020127416305878</v>
      </c>
      <c r="AL7" s="20">
        <f t="shared" si="4"/>
        <v>4.0783700502110554</v>
      </c>
      <c r="AM7" s="59">
        <f t="shared" si="5"/>
        <v>297.41170338354436</v>
      </c>
      <c r="AN7" s="59">
        <f ca="1">AVERAGE(OFFSET($AM$3,0,0,'Données projet'!$E$10+1,1))-AVERAGE(OFFSET($H$3,0,0,'Données projet'!$E$10+1,1))</f>
        <v>382.55387448074327</v>
      </c>
      <c r="AO7" s="59">
        <f t="shared" si="36"/>
        <v>476.29465646955543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2.1413507656762891</v>
      </c>
      <c r="BF7" s="13">
        <f t="shared" si="37"/>
        <v>0.9031249003236328</v>
      </c>
      <c r="BG7" s="20">
        <f t="shared" si="7"/>
        <v>5.3024617849498643</v>
      </c>
      <c r="BH7" s="59">
        <f t="shared" si="8"/>
        <v>298.63579511828317</v>
      </c>
      <c r="BI7" s="59">
        <f ca="1">AVERAGE(OFFSET($BH$3,0,0,'Données projet'!$E$11+1,1))-AVERAGE(OFFSET($H$3,0,0,'Données projet'!$E$11+1,1))</f>
        <v>308.80022073574963</v>
      </c>
      <c r="BJ7" s="59">
        <f t="shared" si="38"/>
        <v>183.96267407004115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4.1333333333333337</v>
      </c>
      <c r="N8" s="13">
        <f>IF('Données projet'!$A$36&gt;35,N7+M8-V7,IF(A8&lt;'Données projet'!$A$36,$K$205^A8,IF(A8='Données projet'!$A$36,'Données projet'!$B$36,N7+M8-V7)))</f>
        <v>3.957891609680408</v>
      </c>
      <c r="O8" s="13">
        <f>N8*VLOOKUP('Données projet'!$B$9,Paramètres!$A$1:$I$89,3,0)*VLOOKUP('Données projet'!$B$9,Paramètres!$A$1:$I$89,5,0)</f>
        <v>1.8522932733304309</v>
      </c>
      <c r="P8" s="13">
        <f t="shared" si="33"/>
        <v>0.79451188764544445</v>
      </c>
      <c r="Q8" s="20">
        <f t="shared" si="2"/>
        <v>4.6098523220329826</v>
      </c>
      <c r="R8" s="59">
        <f t="shared" si="0"/>
        <v>297.94318565536628</v>
      </c>
      <c r="S8" s="59">
        <f ca="1">AVERAGE(OFFSET($R$3,0,0,'Données projet'!$E$9+1,1))-AVERAGE(OFFSET($H$3,0,0,'Données projet'!$E$9+1,1))</f>
        <v>379.12827535040157</v>
      </c>
      <c r="T8" s="59">
        <f t="shared" si="34"/>
        <v>317.29813413796956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8.526315789473685</v>
      </c>
      <c r="AI8" s="13">
        <f>IF('Données projet'!$A$62&gt;35,AI7+AH8-AQ7,IF(A8&lt;'Données projet'!$A$62,$AF$205^A8,IF(A8='Données projet'!$A$62,'Données projet'!$B$62,AI7+AH8-AQ7)))</f>
        <v>3.8146203352688688</v>
      </c>
      <c r="AJ8" s="13">
        <f>AI8*VLOOKUP('Données projet'!$B$10,Paramètres!$A$1:$I$89,3,0)*VLOOKUP('Données projet'!$B$10,Paramètres!$A$1:$I$89,5,0)</f>
        <v>2.1323727674152977</v>
      </c>
      <c r="AK8" s="13">
        <f t="shared" si="35"/>
        <v>0.89977831922200224</v>
      </c>
      <c r="AL8" s="20">
        <f t="shared" si="4"/>
        <v>5.2809964758932972</v>
      </c>
      <c r="AM8" s="59">
        <f t="shared" si="5"/>
        <v>298.6143298092266</v>
      </c>
      <c r="AN8" s="59">
        <f ca="1">AVERAGE(OFFSET($AM$3,0,0,'Données projet'!$E$10+1,1))-AVERAGE(OFFSET($H$3,0,0,'Données projet'!$E$10+1,1))</f>
        <v>382.55387448074327</v>
      </c>
      <c r="AO8" s="59">
        <f t="shared" si="36"/>
        <v>476.29465646955543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2.5813701135521372</v>
      </c>
      <c r="BF8" s="13">
        <f t="shared" si="37"/>
        <v>1.0652780295337991</v>
      </c>
      <c r="BG8" s="20">
        <f t="shared" si="7"/>
        <v>6.3512455158746723</v>
      </c>
      <c r="BH8" s="59">
        <f t="shared" si="8"/>
        <v>299.68457884920798</v>
      </c>
      <c r="BI8" s="59">
        <f ca="1">AVERAGE(OFFSET($BH$3,0,0,'Données projet'!$E$11+1,1))-AVERAGE(OFFSET($H$3,0,0,'Données projet'!$E$11+1,1))</f>
        <v>308.80022073574963</v>
      </c>
      <c r="BJ8" s="59">
        <f t="shared" si="38"/>
        <v>183.96267407004115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4.1333333333333337</v>
      </c>
      <c r="N9" s="13">
        <f>IF('Données projet'!$A$36&gt;35,N8+M9-V8,IF(A9&lt;'Données projet'!$A$36,$K$205^A9,IF(A9='Données projet'!$A$36,'Données projet'!$B$36,N8+M9-V8)))</f>
        <v>5.211427205342491</v>
      </c>
      <c r="O9" s="13">
        <f>N9*VLOOKUP('Données projet'!$B$9,Paramètres!$A$1:$I$89,3,0)*VLOOKUP('Données projet'!$B$9,Paramètres!$A$1:$I$89,5,0)</f>
        <v>2.438947932100286</v>
      </c>
      <c r="P9" s="13">
        <f t="shared" si="33"/>
        <v>1.0131744268195433</v>
      </c>
      <c r="Q9" s="20">
        <f t="shared" si="2"/>
        <v>6.0124464417853689</v>
      </c>
      <c r="R9" s="59">
        <f t="shared" si="0"/>
        <v>299.34577977511867</v>
      </c>
      <c r="S9" s="59">
        <f ca="1">AVERAGE(OFFSET($R$3,0,0,'Données projet'!$E$9+1,1))-AVERAGE(OFFSET($H$3,0,0,'Données projet'!$E$9+1,1))</f>
        <v>379.12827535040157</v>
      </c>
      <c r="T9" s="59">
        <f t="shared" si="34"/>
        <v>317.29813413796956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8.526315789473685</v>
      </c>
      <c r="AI9" s="13">
        <f>IF('Données projet'!$A$62&gt;35,AI8+AH9-AQ8,IF(A9&lt;'Données projet'!$A$62,$AF$205^A9,IF(A9='Données projet'!$A$62,'Données projet'!$B$62,AI8+AH9-AQ8)))</f>
        <v>4.9858772657326877</v>
      </c>
      <c r="AJ9" s="13">
        <f>AI9*VLOOKUP('Données projet'!$B$10,Paramètres!$A$1:$I$89,3,0)*VLOOKUP('Données projet'!$B$10,Paramètres!$A$1:$I$89,5,0)</f>
        <v>2.7871053915445723</v>
      </c>
      <c r="AK9" s="13">
        <f t="shared" si="35"/>
        <v>1.1399599707787778</v>
      </c>
      <c r="AL9" s="20">
        <f t="shared" si="4"/>
        <v>6.839638839379834</v>
      </c>
      <c r="AM9" s="59">
        <f t="shared" si="5"/>
        <v>300.17297217271317</v>
      </c>
      <c r="AN9" s="59">
        <f ca="1">AVERAGE(OFFSET($AM$3,0,0,'Données projet'!$E$10+1,1))-AVERAGE(OFFSET($H$3,0,0,'Données projet'!$E$10+1,1))</f>
        <v>382.55387448074327</v>
      </c>
      <c r="AO9" s="59">
        <f t="shared" si="36"/>
        <v>476.29465646955543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3.111807635605039</v>
      </c>
      <c r="BF9" s="13">
        <f t="shared" si="37"/>
        <v>1.2565452240335246</v>
      </c>
      <c r="BG9" s="20">
        <f t="shared" si="7"/>
        <v>7.6082145638704972</v>
      </c>
      <c r="BH9" s="59">
        <f t="shared" si="8"/>
        <v>300.9415478972038</v>
      </c>
      <c r="BI9" s="59">
        <f ca="1">AVERAGE(OFFSET($BH$3,0,0,'Données projet'!$E$11+1,1))-AVERAGE(OFFSET($H$3,0,0,'Données projet'!$E$11+1,1))</f>
        <v>308.80022073574963</v>
      </c>
      <c r="BJ9" s="59">
        <f t="shared" si="38"/>
        <v>183.96267407004115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4.1333333333333337</v>
      </c>
      <c r="N10" s="13">
        <f>IF('Données projet'!$A$36&gt;35,N9+M10-V9,IF(A10&lt;'Données projet'!$A$36,$K$205^A10,IF(A10='Données projet'!$A$36,'Données projet'!$B$36,N9+M10-V9)))</f>
        <v>6.8619801133909482</v>
      </c>
      <c r="O10" s="13">
        <f>N10*VLOOKUP('Données projet'!$B$9,Paramètres!$A$1:$I$89,3,0)*VLOOKUP('Données projet'!$B$9,Paramètres!$A$1:$I$89,5,0)</f>
        <v>3.211406693066964</v>
      </c>
      <c r="P10" s="13">
        <f t="shared" si="33"/>
        <v>1.2920164381721646</v>
      </c>
      <c r="Q10" s="20">
        <f t="shared" si="2"/>
        <v>7.8434619535748142</v>
      </c>
      <c r="R10" s="59">
        <f t="shared" si="0"/>
        <v>301.17679528690815</v>
      </c>
      <c r="S10" s="59">
        <f ca="1">AVERAGE(OFFSET($R$3,0,0,'Données projet'!$E$9+1,1))-AVERAGE(OFFSET($H$3,0,0,'Données projet'!$E$9+1,1))</f>
        <v>379.12827535040157</v>
      </c>
      <c r="T10" s="59">
        <f t="shared" si="34"/>
        <v>317.29813413796956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8.526315789473685</v>
      </c>
      <c r="AI10" s="13">
        <f>IF('Données projet'!$A$62&gt;35,AI9+AH10-AQ9,IF(A10&lt;'Données projet'!$A$62,$AF$205^A10,IF(A10='Données projet'!$A$62,'Données projet'!$B$62,AI9+AH10-AQ9)))</f>
        <v>6.5167618069644444</v>
      </c>
      <c r="AJ10" s="13">
        <f>AI10*VLOOKUP('Données projet'!$B$10,Paramètres!$A$1:$I$89,3,0)*VLOOKUP('Données projet'!$B$10,Paramètres!$A$1:$I$89,5,0)</f>
        <v>3.6428698500931249</v>
      </c>
      <c r="AK10" s="13">
        <f t="shared" si="35"/>
        <v>1.4442543315575544</v>
      </c>
      <c r="AL10" s="20">
        <f t="shared" si="4"/>
        <v>8.8600746163749324</v>
      </c>
      <c r="AM10" s="59">
        <f t="shared" si="5"/>
        <v>302.19340794970827</v>
      </c>
      <c r="AN10" s="59">
        <f ca="1">AVERAGE(OFFSET($AM$3,0,0,'Données projet'!$E$10+1,1))-AVERAGE(OFFSET($H$3,0,0,'Données projet'!$E$10+1,1))</f>
        <v>382.55387448074327</v>
      </c>
      <c r="AO10" s="59">
        <f t="shared" si="36"/>
        <v>476.29465646955543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3.7512430744326299</v>
      </c>
      <c r="BF10" s="13">
        <f t="shared" si="37"/>
        <v>1.4821538192545303</v>
      </c>
      <c r="BG10" s="20">
        <f t="shared" si="7"/>
        <v>9.1148329231718037</v>
      </c>
      <c r="BH10" s="59">
        <f t="shared" si="8"/>
        <v>302.44816625650515</v>
      </c>
      <c r="BI10" s="59">
        <f ca="1">AVERAGE(OFFSET($BH$3,0,0,'Données projet'!$E$11+1,1))-AVERAGE(OFFSET($H$3,0,0,'Données projet'!$E$11+1,1))</f>
        <v>308.80022073574963</v>
      </c>
      <c r="BJ10" s="59">
        <f t="shared" si="38"/>
        <v>183.96267407004115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4.1333333333333337</v>
      </c>
      <c r="N11" s="13">
        <f>IF('Données projet'!$A$36&gt;35,N10+M11-V10,IF(A11&lt;'Données projet'!$A$36,$K$205^A11,IF(A11='Données projet'!$A$36,'Données projet'!$B$36,N10+M11-V10)))</f>
        <v>9.0352928710779814</v>
      </c>
      <c r="O11" s="13">
        <f>N11*VLOOKUP('Données projet'!$B$9,Paramètres!$A$1:$I$89,3,0)*VLOOKUP('Données projet'!$B$9,Paramètres!$A$1:$I$89,5,0)</f>
        <v>4.2285170636644951</v>
      </c>
      <c r="P11" s="13">
        <f t="shared" si="33"/>
        <v>1.6476002870968705</v>
      </c>
      <c r="Q11" s="20">
        <f t="shared" si="2"/>
        <v>10.234237719242712</v>
      </c>
      <c r="R11" s="59">
        <f t="shared" si="0"/>
        <v>303.567571052576</v>
      </c>
      <c r="S11" s="59">
        <f ca="1">AVERAGE(OFFSET($R$3,0,0,'Données projet'!$E$9+1,1))-AVERAGE(OFFSET($H$3,0,0,'Données projet'!$E$9+1,1))</f>
        <v>379.12827535040157</v>
      </c>
      <c r="T11" s="59">
        <f t="shared" si="34"/>
        <v>317.29813413796956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8.526315789473685</v>
      </c>
      <c r="AI11" s="13">
        <f>IF('Données projet'!$A$62&gt;35,AI10+AH11-AQ10,IF(A11&lt;'Données projet'!$A$62,$AF$205^A11,IF(A11='Données projet'!$A$62,'Données projet'!$B$62,AI10+AH11-AQ10)))</f>
        <v>8.5176955198213591</v>
      </c>
      <c r="AJ11" s="13">
        <f>AI11*VLOOKUP('Données projet'!$B$10,Paramètres!$A$1:$I$89,3,0)*VLOOKUP('Données projet'!$B$10,Paramètres!$A$1:$I$89,5,0)</f>
        <v>4.7613917955801393</v>
      </c>
      <c r="AK11" s="13">
        <f t="shared" si="35"/>
        <v>1.8297752795633417</v>
      </c>
      <c r="AL11" s="20">
        <f t="shared" si="4"/>
        <v>11.479615989208229</v>
      </c>
      <c r="AM11" s="59">
        <f t="shared" si="5"/>
        <v>304.81294932254156</v>
      </c>
      <c r="AN11" s="59">
        <f ca="1">AVERAGE(OFFSET($AM$3,0,0,'Données projet'!$E$10+1,1))-AVERAGE(OFFSET($H$3,0,0,'Données projet'!$E$10+1,1))</f>
        <v>382.55387448074327</v>
      </c>
      <c r="AO11" s="59">
        <f t="shared" si="36"/>
        <v>476.29465646955543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4.5220740647558486</v>
      </c>
      <c r="BF11" s="13">
        <f t="shared" si="37"/>
        <v>1.7482697016499746</v>
      </c>
      <c r="BG11" s="20">
        <f t="shared" si="7"/>
        <v>10.92084872649014</v>
      </c>
      <c r="BH11" s="59">
        <f t="shared" si="8"/>
        <v>304.25418205982345</v>
      </c>
      <c r="BI11" s="59">
        <f ca="1">AVERAGE(OFFSET($BH$3,0,0,'Données projet'!$E$11+1,1))-AVERAGE(OFFSET($H$3,0,0,'Données projet'!$E$11+1,1))</f>
        <v>308.80022073574963</v>
      </c>
      <c r="BJ11" s="59">
        <f t="shared" si="38"/>
        <v>183.96267407004115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4.1333333333333337</v>
      </c>
      <c r="N12" s="13">
        <f>IF('Données projet'!$A$36&gt;35,N11+M12-V11,IF(A12&lt;'Données projet'!$A$36,$K$205^A12,IF(A12='Données projet'!$A$36,'Données projet'!$B$36,N11+M12-V11)))</f>
        <v>11.896932943137122</v>
      </c>
      <c r="O12" s="13">
        <f>N12*VLOOKUP('Données projet'!$B$9,Paramètres!$A$1:$I$89,3,0)*VLOOKUP('Données projet'!$B$9,Paramètres!$A$1:$I$89,5,0)</f>
        <v>5.5677646173881739</v>
      </c>
      <c r="P12" s="13">
        <f t="shared" si="33"/>
        <v>2.1010465701830059</v>
      </c>
      <c r="Q12" s="20">
        <f t="shared" si="2"/>
        <v>13.356512818353137</v>
      </c>
      <c r="R12" s="59">
        <f t="shared" si="0"/>
        <v>306.68984615168642</v>
      </c>
      <c r="S12" s="59">
        <f ca="1">AVERAGE(OFFSET($R$3,0,0,'Données projet'!$E$9+1,1))-AVERAGE(OFFSET($H$3,0,0,'Données projet'!$E$9+1,1))</f>
        <v>379.12827535040157</v>
      </c>
      <c r="T12" s="59">
        <f t="shared" si="34"/>
        <v>317.29813413796956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8.526315789473685</v>
      </c>
      <c r="AI12" s="13">
        <f>IF('Données projet'!$A$62&gt;35,AI11+AH12-AQ11,IF(A12&lt;'Données projet'!$A$62,$AF$205^A12,IF(A12='Données projet'!$A$62,'Données projet'!$B$62,AI11+AH12-AQ11)))</f>
        <v>11.133004261541316</v>
      </c>
      <c r="AJ12" s="13">
        <f>AI12*VLOOKUP('Données projet'!$B$10,Paramètres!$A$1:$I$89,3,0)*VLOOKUP('Données projet'!$B$10,Paramètres!$A$1:$I$89,5,0)</f>
        <v>6.2233493822015964</v>
      </c>
      <c r="AK12" s="13">
        <f t="shared" si="35"/>
        <v>2.3182049730052579</v>
      </c>
      <c r="AL12" s="20">
        <f t="shared" si="4"/>
        <v>14.87654050198527</v>
      </c>
      <c r="AM12" s="59">
        <f t="shared" si="5"/>
        <v>308.2098738353186</v>
      </c>
      <c r="AN12" s="59">
        <f ca="1">AVERAGE(OFFSET($AM$3,0,0,'Données projet'!$E$10+1,1))-AVERAGE(OFFSET($H$3,0,0,'Données projet'!$E$10+1,1))</f>
        <v>382.55387448074327</v>
      </c>
      <c r="AO12" s="59">
        <f t="shared" si="36"/>
        <v>476.29465646955543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5.4513006599100189</v>
      </c>
      <c r="BF12" s="13">
        <f t="shared" si="37"/>
        <v>2.062165822468125</v>
      </c>
      <c r="BG12" s="20">
        <f t="shared" si="7"/>
        <v>13.085954123475267</v>
      </c>
      <c r="BH12" s="59">
        <f t="shared" si="8"/>
        <v>306.4192874568086</v>
      </c>
      <c r="BI12" s="59">
        <f ca="1">AVERAGE(OFFSET($BH$3,0,0,'Données projet'!$E$11+1,1))-AVERAGE(OFFSET($H$3,0,0,'Données projet'!$E$11+1,1))</f>
        <v>308.80022073574963</v>
      </c>
      <c r="BJ12" s="59">
        <f t="shared" si="38"/>
        <v>183.96267407004115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4.1333333333333337</v>
      </c>
      <c r="N13" s="13">
        <f>IF('Données projet'!$A$36&gt;35,N12+M13-V12,IF(A13&lt;'Données projet'!$A$36,$K$205^A13,IF(A13='Données projet'!$A$36,'Données projet'!$B$36,N12+M13-V12)))</f>
        <v>15.664905993978572</v>
      </c>
      <c r="O13" s="13">
        <f>N13*VLOOKUP('Données projet'!$B$9,Paramètres!$A$1:$I$89,3,0)*VLOOKUP('Données projet'!$B$9,Paramètres!$A$1:$I$89,5,0)</f>
        <v>7.3311760051819714</v>
      </c>
      <c r="P13" s="13">
        <f t="shared" si="33"/>
        <v>2.6792886142646251</v>
      </c>
      <c r="Q13" s="20">
        <f t="shared" si="2"/>
        <v>17.434892545536155</v>
      </c>
      <c r="R13" s="59">
        <f t="shared" si="0"/>
        <v>310.76822587886949</v>
      </c>
      <c r="S13" s="59">
        <f ca="1">AVERAGE(OFFSET($R$3,0,0,'Données projet'!$E$9+1,1))-AVERAGE(OFFSET($H$3,0,0,'Données projet'!$E$9+1,1))</f>
        <v>379.12827535040157</v>
      </c>
      <c r="T13" s="59">
        <f t="shared" si="34"/>
        <v>317.29813413796956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8.526315789473685</v>
      </c>
      <c r="AI13" s="13">
        <f>IF('Données projet'!$A$62&gt;35,AI12+AH13-AQ12,IF(A13&lt;'Données projet'!$A$62,$AF$205^A13,IF(A13='Données projet'!$A$62,'Données projet'!$B$62,AI12+AH13-AQ12)))</f>
        <v>14.551328302246779</v>
      </c>
      <c r="AJ13" s="13">
        <f>AI13*VLOOKUP('Données projet'!$B$10,Paramètres!$A$1:$I$89,3,0)*VLOOKUP('Données projet'!$B$10,Paramètres!$A$1:$I$89,5,0)</f>
        <v>8.1341925209559491</v>
      </c>
      <c r="AK13" s="13">
        <f t="shared" si="35"/>
        <v>2.9370132807503975</v>
      </c>
      <c r="AL13" s="20">
        <f t="shared" si="4"/>
        <v>19.282350104638549</v>
      </c>
      <c r="AM13" s="59">
        <f t="shared" si="5"/>
        <v>312.61568343797188</v>
      </c>
      <c r="AN13" s="59">
        <f ca="1">AVERAGE(OFFSET($AM$3,0,0,'Données projet'!$E$10+1,1))-AVERAGE(OFFSET($H$3,0,0,'Données projet'!$E$10+1,1))</f>
        <v>382.55387448074327</v>
      </c>
      <c r="AO13" s="59">
        <f t="shared" si="36"/>
        <v>476.29465646955543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6.5714710681855761</v>
      </c>
      <c r="BF13" s="13">
        <f t="shared" si="37"/>
        <v>2.4324209676242781</v>
      </c>
      <c r="BG13" s="20">
        <f t="shared" si="7"/>
        <v>15.681778629035497</v>
      </c>
      <c r="BH13" s="59">
        <f t="shared" si="8"/>
        <v>309.01511196236879</v>
      </c>
      <c r="BI13" s="59">
        <f ca="1">AVERAGE(OFFSET($BH$3,0,0,'Données projet'!$E$11+1,1))-AVERAGE(OFFSET($H$3,0,0,'Données projet'!$E$11+1,1))</f>
        <v>308.80022073574963</v>
      </c>
      <c r="BJ13" s="59">
        <f t="shared" si="38"/>
        <v>183.96267407004115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4.1333333333333337</v>
      </c>
      <c r="N14" s="13">
        <f>IF('Données projet'!$A$36&gt;35,N13+M14-V13,IF(A14&lt;'Données projet'!$A$36,$K$205^A14,IF(A14='Données projet'!$A$36,'Données projet'!$B$36,N13+M14-V13)))</f>
        <v>20.626264010485261</v>
      </c>
      <c r="O14" s="13">
        <f>N14*VLOOKUP('Données projet'!$B$9,Paramètres!$A$1:$I$89,3,0)*VLOOKUP('Données projet'!$B$9,Paramètres!$A$1:$I$89,5,0)</f>
        <v>9.6530915569071016</v>
      </c>
      <c r="P14" s="13">
        <f t="shared" si="33"/>
        <v>3.4166722339252007</v>
      </c>
      <c r="Q14" s="20">
        <f t="shared" si="2"/>
        <v>22.763171935699592</v>
      </c>
      <c r="R14" s="59">
        <f t="shared" si="0"/>
        <v>316.09650526903289</v>
      </c>
      <c r="S14" s="59">
        <f ca="1">AVERAGE(OFFSET($R$3,0,0,'Données projet'!$E$9+1,1))-AVERAGE(OFFSET($H$3,0,0,'Données projet'!$E$9+1,1))</f>
        <v>379.12827535040157</v>
      </c>
      <c r="T14" s="59">
        <f t="shared" si="34"/>
        <v>317.29813413796956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8.526315789473685</v>
      </c>
      <c r="AI14" s="13">
        <f>IF('Données projet'!$A$62&gt;35,AI13+AH14-AQ13,IF(A14&lt;'Données projet'!$A$62,$AF$205^A14,IF(A14='Données projet'!$A$62,'Données projet'!$B$62,AI13+AH14-AQ13)))</f>
        <v>19.01922880701866</v>
      </c>
      <c r="AJ14" s="13">
        <f>AI14*VLOOKUP('Données projet'!$B$10,Paramètres!$A$1:$I$89,3,0)*VLOOKUP('Données projet'!$B$10,Paramètres!$A$1:$I$89,5,0)</f>
        <v>10.631748903123432</v>
      </c>
      <c r="AK14" s="13">
        <f t="shared" si="35"/>
        <v>3.7210027205323613</v>
      </c>
      <c r="AL14" s="20">
        <f t="shared" si="4"/>
        <v>24.997709077867171</v>
      </c>
      <c r="AM14" s="59">
        <f t="shared" si="5"/>
        <v>318.33104241120049</v>
      </c>
      <c r="AN14" s="59">
        <f ca="1">AVERAGE(OFFSET($AM$3,0,0,'Données projet'!$E$10+1,1))-AVERAGE(OFFSET($H$3,0,0,'Données projet'!$E$10+1,1))</f>
        <v>382.55387448074327</v>
      </c>
      <c r="AO14" s="59">
        <f t="shared" si="36"/>
        <v>476.29465646955543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7.921821725516951</v>
      </c>
      <c r="BF14" s="13">
        <f t="shared" si="37"/>
        <v>2.869154216054651</v>
      </c>
      <c r="BG14" s="20">
        <f t="shared" si="7"/>
        <v>18.794283098237205</v>
      </c>
      <c r="BH14" s="59">
        <f t="shared" si="8"/>
        <v>312.12761643157052</v>
      </c>
      <c r="BI14" s="59">
        <f ca="1">AVERAGE(OFFSET($BH$3,0,0,'Données projet'!$E$11+1,1))-AVERAGE(OFFSET($H$3,0,0,'Données projet'!$E$11+1,1))</f>
        <v>308.80022073574963</v>
      </c>
      <c r="BJ14" s="59">
        <f t="shared" si="38"/>
        <v>183.96267407004115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4.1333333333333337</v>
      </c>
      <c r="N15" s="13">
        <f>IF('Données projet'!$A$36&gt;35,N14+M15-V14,IF(A15&lt;'Données projet'!$A$36,$K$205^A15,IF(A15='Données projet'!$A$36,'Données projet'!$B$36,N14+M15-V14)))</f>
        <v>27.158973516583853</v>
      </c>
      <c r="O15" s="13">
        <f>N15*VLOOKUP('Données projet'!$B$9,Paramètres!$A$1:$I$89,3,0)*VLOOKUP('Données projet'!$B$9,Paramètres!$A$1:$I$89,5,0)</f>
        <v>12.710399605761243</v>
      </c>
      <c r="P15" s="13">
        <f t="shared" si="33"/>
        <v>4.3569957681768665</v>
      </c>
      <c r="Q15" s="20">
        <f t="shared" si="2"/>
        <v>29.725713609608871</v>
      </c>
      <c r="R15" s="59">
        <f t="shared" si="0"/>
        <v>323.05904694294219</v>
      </c>
      <c r="S15" s="59">
        <f ca="1">AVERAGE(OFFSET($R$3,0,0,'Données projet'!$E$9+1,1))-AVERAGE(OFFSET($H$3,0,0,'Données projet'!$E$9+1,1))</f>
        <v>379.12827535040157</v>
      </c>
      <c r="T15" s="59">
        <f t="shared" si="34"/>
        <v>317.29813413796956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8.526315789473685</v>
      </c>
      <c r="AI15" s="13">
        <f>IF('Données projet'!$A$62&gt;35,AI14+AH15-AQ14,IF(A15&lt;'Données projet'!$A$62,$AF$205^A15,IF(A15='Données projet'!$A$62,'Données projet'!$B$62,AI14+AH15-AQ14)))</f>
        <v>24.85897210895007</v>
      </c>
      <c r="AJ15" s="13">
        <f>AI15*VLOOKUP('Données projet'!$B$10,Paramètres!$A$1:$I$89,3,0)*VLOOKUP('Données projet'!$B$10,Paramètres!$A$1:$I$89,5,0)</f>
        <v>13.896165408903089</v>
      </c>
      <c r="AK15" s="13">
        <f t="shared" si="35"/>
        <v>4.7142657940830492</v>
      </c>
      <c r="AL15" s="20">
        <f t="shared" si="4"/>
        <v>32.413167678534187</v>
      </c>
      <c r="AM15" s="59">
        <f t="shared" si="5"/>
        <v>325.74650101186751</v>
      </c>
      <c r="AN15" s="59">
        <f ca="1">AVERAGE(OFFSET($AM$3,0,0,'Données projet'!$E$10+1,1))-AVERAGE(OFFSET($H$3,0,0,'Données projet'!$E$10+1,1))</f>
        <v>382.55387448074327</v>
      </c>
      <c r="AO15" s="59">
        <f t="shared" si="36"/>
        <v>476.29465646955543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9.5496516380767513</v>
      </c>
      <c r="BF15" s="13">
        <f t="shared" si="37"/>
        <v>3.3843014943027487</v>
      </c>
      <c r="BG15" s="20">
        <f t="shared" si="7"/>
        <v>22.526635038894295</v>
      </c>
      <c r="BH15" s="59">
        <f t="shared" si="8"/>
        <v>315.85996837222763</v>
      </c>
      <c r="BI15" s="59">
        <f ca="1">AVERAGE(OFFSET($BH$3,0,0,'Données projet'!$E$11+1,1))-AVERAGE(OFFSET($H$3,0,0,'Données projet'!$E$11+1,1))</f>
        <v>308.80022073574963</v>
      </c>
      <c r="BJ15" s="59">
        <f t="shared" si="38"/>
        <v>183.96267407004115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4.1333333333333337</v>
      </c>
      <c r="N16" s="13">
        <f>IF('Données projet'!$A$36&gt;35,N15+M16-V15,IF(A16&lt;'Données projet'!$A$36,$K$205^A16,IF(A16='Données projet'!$A$36,'Données projet'!$B$36,N15+M16-V15)))</f>
        <v>35.760709845444744</v>
      </c>
      <c r="O16" s="13">
        <f>N16*VLOOKUP('Données projet'!$B$9,Paramètres!$A$1:$I$89,3,0)*VLOOKUP('Données projet'!$B$9,Paramètres!$A$1:$I$89,5,0)</f>
        <v>16.736012207668139</v>
      </c>
      <c r="P16" s="13">
        <f t="shared" si="33"/>
        <v>5.5561115682736277</v>
      </c>
      <c r="Q16" s="20">
        <f t="shared" si="2"/>
        <v>38.825448909765242</v>
      </c>
      <c r="R16" s="59">
        <f t="shared" si="0"/>
        <v>332.15878224309859</v>
      </c>
      <c r="S16" s="59">
        <f ca="1">AVERAGE(OFFSET($R$3,0,0,'Données projet'!$E$9+1,1))-AVERAGE(OFFSET($H$3,0,0,'Données projet'!$E$9+1,1))</f>
        <v>379.12827535040157</v>
      </c>
      <c r="T16" s="59">
        <f t="shared" si="34"/>
        <v>317.29813413796956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8.526315789473685</v>
      </c>
      <c r="AI16" s="13">
        <f>IF('Données projet'!$A$62&gt;35,AI15+AH16-AQ15,IF(A16&lt;'Données projet'!$A$62,$AF$205^A16,IF(A16='Données projet'!$A$62,'Données projet'!$B$62,AI15+AH16-AQ15)))</f>
        <v>32.491774539539094</v>
      </c>
      <c r="AJ16" s="13">
        <f>AI16*VLOOKUP('Données projet'!$B$10,Paramètres!$A$1:$I$89,3,0)*VLOOKUP('Données projet'!$B$10,Paramètres!$A$1:$I$89,5,0)</f>
        <v>18.162901967602355</v>
      </c>
      <c r="AK16" s="13">
        <f t="shared" si="35"/>
        <v>5.9726648020514927</v>
      </c>
      <c r="AL16" s="20">
        <f t="shared" si="4"/>
        <v>42.036112123813787</v>
      </c>
      <c r="AM16" s="59">
        <f t="shared" si="5"/>
        <v>335.36944545714709</v>
      </c>
      <c r="AN16" s="59">
        <f ca="1">AVERAGE(OFFSET($AM$3,0,0,'Données projet'!$E$10+1,1))-AVERAGE(OFFSET($H$3,0,0,'Données projet'!$E$10+1,1))</f>
        <v>382.55387448074327</v>
      </c>
      <c r="AO16" s="59">
        <f t="shared" si="36"/>
        <v>476.29465646955543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11.511979134151852</v>
      </c>
      <c r="BF16" s="13">
        <f t="shared" si="37"/>
        <v>3.9919417855793822</v>
      </c>
      <c r="BG16" s="20">
        <f t="shared" si="7"/>
        <v>27.002662268531896</v>
      </c>
      <c r="BH16" s="59">
        <f t="shared" si="8"/>
        <v>320.33599560186519</v>
      </c>
      <c r="BI16" s="59">
        <f ca="1">AVERAGE(OFFSET($BH$3,0,0,'Données projet'!$E$11+1,1))-AVERAGE(OFFSET($H$3,0,0,'Données projet'!$E$11+1,1))</f>
        <v>308.80022073574963</v>
      </c>
      <c r="BJ16" s="59">
        <f t="shared" si="38"/>
        <v>183.96267407004115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4.1333333333333337</v>
      </c>
      <c r="N17" s="13">
        <f>IF('Données projet'!$A$36&gt;35,N16+M17-V16,IF(A17&lt;'Données projet'!$A$36,$K$205^A17,IF(A17='Données projet'!$A$36,'Données projet'!$B$36,N16+M17-V16)))</f>
        <v>47.086771076572859</v>
      </c>
      <c r="O17" s="13">
        <f>N17*VLOOKUP('Données projet'!$B$9,Paramètres!$A$1:$I$89,3,0)*VLOOKUP('Données projet'!$B$9,Paramètres!$A$1:$I$89,5,0)</f>
        <v>22.036608863836101</v>
      </c>
      <c r="P17" s="13">
        <f t="shared" si="33"/>
        <v>7.0852434571037932</v>
      </c>
      <c r="Q17" s="20">
        <f t="shared" si="2"/>
        <v>50.720559458970314</v>
      </c>
      <c r="R17" s="59">
        <f t="shared" si="0"/>
        <v>344.0538927923036</v>
      </c>
      <c r="S17" s="59">
        <f ca="1">AVERAGE(OFFSET($R$3,0,0,'Données projet'!$E$9+1,1))-AVERAGE(OFFSET($H$3,0,0,'Données projet'!$E$9+1,1))</f>
        <v>379.12827535040157</v>
      </c>
      <c r="T17" s="59">
        <f t="shared" si="34"/>
        <v>317.29813413796956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8.526315789473685</v>
      </c>
      <c r="AI17" s="13">
        <f>IF('Données projet'!$A$62&gt;35,AI16+AH17-AQ16,IF(A17&lt;'Données projet'!$A$62,$AF$205^A17,IF(A17='Données projet'!$A$62,'Données projet'!$B$62,AI16+AH17-AQ16)))</f>
        <v>42.468184448710481</v>
      </c>
      <c r="AJ17" s="13">
        <f>AI17*VLOOKUP('Données projet'!$B$10,Paramètres!$A$1:$I$89,3,0)*VLOOKUP('Données projet'!$B$10,Paramètres!$A$1:$I$89,5,0)</f>
        <v>23.739715106829159</v>
      </c>
      <c r="AK17" s="13">
        <f t="shared" si="35"/>
        <v>7.5669736064602473</v>
      </c>
      <c r="AL17" s="20">
        <f t="shared" si="4"/>
        <v>54.525816175645708</v>
      </c>
      <c r="AM17" s="59">
        <f t="shared" si="5"/>
        <v>347.85914950897904</v>
      </c>
      <c r="AN17" s="59">
        <f ca="1">AVERAGE(OFFSET($AM$3,0,0,'Données projet'!$E$10+1,1))-AVERAGE(OFFSET($H$3,0,0,'Données projet'!$E$10+1,1))</f>
        <v>382.55387448074327</v>
      </c>
      <c r="AO17" s="59">
        <f t="shared" si="36"/>
        <v>476.29465646955543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13.877539056685173</v>
      </c>
      <c r="BF17" s="13">
        <f t="shared" si="37"/>
        <v>4.7086819085950955</v>
      </c>
      <c r="BG17" s="20">
        <f t="shared" si="7"/>
        <v>32.371001514529802</v>
      </c>
      <c r="BH17" s="59">
        <f t="shared" si="8"/>
        <v>325.70433484786309</v>
      </c>
      <c r="BI17" s="59">
        <f ca="1">AVERAGE(OFFSET($BH$3,0,0,'Données projet'!$E$11+1,1))-AVERAGE(OFFSET($H$3,0,0,'Données projet'!$E$11+1,1))</f>
        <v>308.80022073574963</v>
      </c>
      <c r="BJ17" s="59">
        <f t="shared" si="38"/>
        <v>183.96267407004115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62</v>
      </c>
      <c r="L18" s="12">
        <f>VLOOKUP(A18,'Données projet'!$A$35:$I$55,9,0)</f>
        <v>4.1333333333333337</v>
      </c>
      <c r="M18" s="12">
        <f t="array" ref="M18">INDEX(L:L,MIN(IF(ISNUMBER(L18:L214),ROW(L18:L214),"")))</f>
        <v>4.1333333333333337</v>
      </c>
      <c r="N18" s="13">
        <f>IF('Données projet'!$A$36&gt;35,N17+M18-V17,IF(A18&lt;'Données projet'!$A$36,$K$205^A18,IF(A18='Données projet'!$A$36,'Données projet'!$B$36,N17+M18-V17)))</f>
        <v>62</v>
      </c>
      <c r="O18" s="13">
        <f>N18*VLOOKUP('Données projet'!$B$9,Paramètres!$A$1:$I$89,3,0)*VLOOKUP('Données projet'!$B$9,Paramètres!$A$1:$I$89,5,0)</f>
        <v>29.016000000000002</v>
      </c>
      <c r="P18" s="13">
        <f t="shared" si="33"/>
        <v>9.0352172071357728</v>
      </c>
      <c r="Q18" s="20">
        <f t="shared" si="2"/>
        <v>66.272536635761469</v>
      </c>
      <c r="R18" s="59">
        <f t="shared" si="0"/>
        <v>359.60586996909478</v>
      </c>
      <c r="S18" s="59">
        <f ca="1">AVERAGE(OFFSET($R$3,0,0,'Données projet'!$E$9+1,1))-AVERAGE(OFFSET($H$3,0,0,'Données projet'!$E$9+1,1))</f>
        <v>379.12827535040157</v>
      </c>
      <c r="T18" s="59">
        <f t="shared" si="34"/>
        <v>317.29813413796956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8.526315789473685</v>
      </c>
      <c r="AI18" s="13">
        <f>IF('Données projet'!$A$62&gt;35,AI17+AH18-AQ17,IF(A18&lt;'Données projet'!$A$62,$AF$205^A18,IF(A18='Données projet'!$A$62,'Données projet'!$B$62,AI17+AH18-AQ17)))</f>
        <v>55.507792846923991</v>
      </c>
      <c r="AJ18" s="13">
        <f>AI18*VLOOKUP('Données projet'!$B$10,Paramètres!$A$1:$I$89,3,0)*VLOOKUP('Données projet'!$B$10,Paramètres!$A$1:$I$89,5,0)</f>
        <v>31.028856201430514</v>
      </c>
      <c r="AK18" s="13">
        <f t="shared" si="35"/>
        <v>9.5868580371693835</v>
      </c>
      <c r="AL18" s="20">
        <f t="shared" si="4"/>
        <v>70.739035632228152</v>
      </c>
      <c r="AM18" s="59">
        <f t="shared" si="5"/>
        <v>364.07236896556145</v>
      </c>
      <c r="AN18" s="59">
        <f ca="1">AVERAGE(OFFSET($AM$3,0,0,'Données projet'!$E$10+1,1))-AVERAGE(OFFSET($H$3,0,0,'Données projet'!$E$10+1,1))</f>
        <v>382.55387448074327</v>
      </c>
      <c r="AO18" s="59">
        <f t="shared" si="36"/>
        <v>476.29465646955543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16.729190352551068</v>
      </c>
      <c r="BF18" s="13">
        <f t="shared" si="37"/>
        <v>5.5541103821765283</v>
      </c>
      <c r="BG18" s="20">
        <f t="shared" si="7"/>
        <v>38.810082112983899</v>
      </c>
      <c r="BH18" s="59">
        <f t="shared" si="8"/>
        <v>332.14341544631719</v>
      </c>
      <c r="BI18" s="59">
        <f ca="1">AVERAGE(OFFSET($BH$3,0,0,'Données projet'!$E$11+1,1))-AVERAGE(OFFSET($H$3,0,0,'Données projet'!$E$11+1,1))</f>
        <v>308.80022073574963</v>
      </c>
      <c r="BJ18" s="59">
        <f t="shared" si="38"/>
        <v>183.96267407004115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20.399999999999999</v>
      </c>
      <c r="N19" s="13">
        <f>IF('Données projet'!$A$36&gt;35,N18+M19-V18,IF(A19&lt;'Données projet'!$A$36,$K$205^A19,IF(A19='Données projet'!$A$36,'Données projet'!$B$36,N18+M19-V18)))</f>
        <v>82.4</v>
      </c>
      <c r="O19" s="13">
        <f>N19*VLOOKUP('Données projet'!$B$9,Paramètres!$A$1:$I$89,3,0)*VLOOKUP('Données projet'!$B$9,Paramètres!$A$1:$I$89,5,0)</f>
        <v>38.563200000000002</v>
      </c>
      <c r="P19" s="13">
        <f t="shared" si="33"/>
        <v>11.617015930302525</v>
      </c>
      <c r="Q19" s="20">
        <f t="shared" si="2"/>
        <v>87.39720941194355</v>
      </c>
      <c r="R19" s="59">
        <f t="shared" si="0"/>
        <v>380.73054274527686</v>
      </c>
      <c r="S19" s="59">
        <f ca="1">AVERAGE(OFFSET($R$3,0,0,'Données projet'!$E$9+1,1))-AVERAGE(OFFSET($H$3,0,0,'Données projet'!$E$9+1,1))</f>
        <v>379.12827535040157</v>
      </c>
      <c r="T19" s="59">
        <f t="shared" si="34"/>
        <v>317.29813413796956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8.526315789473685</v>
      </c>
      <c r="AI19" s="13">
        <f>IF('Données projet'!$A$62&gt;35,AI18+AH19-AQ18,IF(A19&lt;'Données projet'!$A$62,$AF$205^A19,IF(A19='Données projet'!$A$62,'Données projet'!$B$62,AI18+AH19-AQ18)))</f>
        <v>72.551136968384853</v>
      </c>
      <c r="AJ19" s="13">
        <f>AI19*VLOOKUP('Données projet'!$B$10,Paramètres!$A$1:$I$89,3,0)*VLOOKUP('Données projet'!$B$10,Paramètres!$A$1:$I$89,5,0)</f>
        <v>40.55608556532713</v>
      </c>
      <c r="AK19" s="13">
        <f t="shared" si="35"/>
        <v>12.145918805157919</v>
      </c>
      <c r="AL19" s="20">
        <f t="shared" si="4"/>
        <v>91.78932427859479</v>
      </c>
      <c r="AM19" s="59">
        <f t="shared" si="5"/>
        <v>385.1226576119281</v>
      </c>
      <c r="AN19" s="59">
        <f ca="1">AVERAGE(OFFSET($AM$3,0,0,'Données projet'!$E$10+1,1))-AVERAGE(OFFSET($H$3,0,0,'Données projet'!$E$10+1,1))</f>
        <v>382.55387448074327</v>
      </c>
      <c r="AO19" s="59">
        <f t="shared" si="36"/>
        <v>476.29465646955543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20.166818389681932</v>
      </c>
      <c r="BF19" s="13">
        <f t="shared" si="37"/>
        <v>6.5513327797938032</v>
      </c>
      <c r="BG19" s="20">
        <f t="shared" si="7"/>
        <v>46.534113286836906</v>
      </c>
      <c r="BH19" s="59">
        <f t="shared" si="8"/>
        <v>339.8674466201702</v>
      </c>
      <c r="BI19" s="59">
        <f ca="1">AVERAGE(OFFSET($BH$3,0,0,'Données projet'!$E$11+1,1))-AVERAGE(OFFSET($H$3,0,0,'Données projet'!$E$11+1,1))</f>
        <v>308.80022073574963</v>
      </c>
      <c r="BJ19" s="59">
        <f t="shared" si="38"/>
        <v>183.96267407004115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20.399999999999999</v>
      </c>
      <c r="N20" s="13">
        <f>IF('Données projet'!$A$36&gt;35,N19+M20-V19,IF(A20&lt;'Données projet'!$A$36,$K$205^A20,IF(A20='Données projet'!$A$36,'Données projet'!$B$36,N19+M20-V19)))</f>
        <v>102.80000000000001</v>
      </c>
      <c r="O20" s="13">
        <f>N20*VLOOKUP('Données projet'!$B$9,Paramètres!$A$1:$I$89,3,0)*VLOOKUP('Données projet'!$B$9,Paramètres!$A$1:$I$89,5,0)</f>
        <v>48.110400000000006</v>
      </c>
      <c r="P20" s="13">
        <f t="shared" si="33"/>
        <v>14.124673471362632</v>
      </c>
      <c r="Q20" s="20">
        <f t="shared" si="2"/>
        <v>108.39275296262326</v>
      </c>
      <c r="R20" s="59">
        <f t="shared" si="0"/>
        <v>401.72608629595658</v>
      </c>
      <c r="S20" s="59">
        <f ca="1">AVERAGE(OFFSET($R$3,0,0,'Données projet'!$E$9+1,1))-AVERAGE(OFFSET($H$3,0,0,'Données projet'!$E$9+1,1))</f>
        <v>379.12827535040157</v>
      </c>
      <c r="T20" s="59">
        <f t="shared" si="34"/>
        <v>317.29813413796956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8.526315789473685</v>
      </c>
      <c r="AI20" s="13">
        <f>IF('Données projet'!$A$62&gt;35,AI19+AH20-AQ19,IF(A20&lt;'Données projet'!$A$62,$AF$205^A20,IF(A20='Données projet'!$A$62,'Données projet'!$B$62,AI19+AH20-AQ19)))</f>
        <v>94.827540520682575</v>
      </c>
      <c r="AJ20" s="13">
        <f>AI20*VLOOKUP('Données projet'!$B$10,Paramètres!$A$1:$I$89,3,0)*VLOOKUP('Données projet'!$B$10,Paramètres!$A$1:$I$89,5,0)</f>
        <v>53.008595151061563</v>
      </c>
      <c r="AK20" s="13">
        <f t="shared" si="35"/>
        <v>15.388080542084102</v>
      </c>
      <c r="AL20" s="20">
        <f t="shared" si="4"/>
        <v>119.12421016556203</v>
      </c>
      <c r="AM20" s="59">
        <f t="shared" si="5"/>
        <v>412.45754349889535</v>
      </c>
      <c r="AN20" s="59">
        <f ca="1">AVERAGE(OFFSET($AM$3,0,0,'Données projet'!$E$10+1,1))-AVERAGE(OFFSET($H$3,0,0,'Données projet'!$E$10+1,1))</f>
        <v>382.55387448074327</v>
      </c>
      <c r="AO20" s="59">
        <f t="shared" si="36"/>
        <v>476.29465646955543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24.31083366209619</v>
      </c>
      <c r="BF20" s="13">
        <f t="shared" si="37"/>
        <v>7.7276032052466093</v>
      </c>
      <c r="BG20" s="20">
        <f t="shared" si="7"/>
        <v>55.800277543955367</v>
      </c>
      <c r="BH20" s="59">
        <f t="shared" si="8"/>
        <v>349.13361087728867</v>
      </c>
      <c r="BI20" s="59">
        <f ca="1">AVERAGE(OFFSET($BH$3,0,0,'Données projet'!$E$11+1,1))-AVERAGE(OFFSET($H$3,0,0,'Données projet'!$E$11+1,1))</f>
        <v>308.80022073574963</v>
      </c>
      <c r="BJ20" s="59">
        <f t="shared" si="38"/>
        <v>183.96267407004115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20.399999999999999</v>
      </c>
      <c r="N21" s="13">
        <f>IF('Données projet'!$A$36&gt;35,N20+M21-V20,IF(A21&lt;'Données projet'!$A$36,$K$205^A21,IF(A21='Données projet'!$A$36,'Données projet'!$B$36,N20+M21-V20)))</f>
        <v>123.20000000000002</v>
      </c>
      <c r="O21" s="13">
        <f>N21*VLOOKUP('Données projet'!$B$9,Paramètres!$A$1:$I$89,3,0)*VLOOKUP('Données projet'!$B$9,Paramètres!$A$1:$I$89,5,0)</f>
        <v>57.657600000000009</v>
      </c>
      <c r="P21" s="13">
        <f t="shared" si="33"/>
        <v>16.574671209026025</v>
      </c>
      <c r="Q21" s="20">
        <f t="shared" si="2"/>
        <v>129.28787235572034</v>
      </c>
      <c r="R21" s="59">
        <f t="shared" si="0"/>
        <v>422.62120568905368</v>
      </c>
      <c r="S21" s="59">
        <f ca="1">AVERAGE(OFFSET($R$3,0,0,'Données projet'!$E$9+1,1))-AVERAGE(OFFSET($H$3,0,0,'Données projet'!$E$9+1,1))</f>
        <v>379.12827535040157</v>
      </c>
      <c r="T21" s="59">
        <f t="shared" si="34"/>
        <v>317.29813413796956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8.526315789473685</v>
      </c>
      <c r="AI21" s="13">
        <f>IF('Données projet'!$A$62&gt;35,AI20+AH21-AQ20,IF(A21&lt;'Données projet'!$A$62,$AF$205^A21,IF(A21='Données projet'!$A$62,'Données projet'!$B$62,AI20+AH21-AQ20)))</f>
        <v>123.94378388749713</v>
      </c>
      <c r="AJ21" s="13">
        <f>AI21*VLOOKUP('Données projet'!$B$10,Paramètres!$A$1:$I$89,3,0)*VLOOKUP('Données projet'!$B$10,Paramètres!$A$1:$I$89,5,0)</f>
        <v>69.284575193110896</v>
      </c>
      <c r="AK21" s="13">
        <f t="shared" si="35"/>
        <v>19.495686293334202</v>
      </c>
      <c r="AL21" s="20">
        <f t="shared" si="4"/>
        <v>154.62562208889187</v>
      </c>
      <c r="AM21" s="59">
        <f t="shared" si="5"/>
        <v>447.95895542222519</v>
      </c>
      <c r="AN21" s="59">
        <f ca="1">AVERAGE(OFFSET($AM$3,0,0,'Données projet'!$E$10+1,1))-AVERAGE(OFFSET($H$3,0,0,'Données projet'!$E$10+1,1))</f>
        <v>382.55387448074327</v>
      </c>
      <c r="AO21" s="59">
        <f t="shared" si="36"/>
        <v>476.29465646955543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29.306389432677911</v>
      </c>
      <c r="BF21" s="13">
        <f t="shared" si="37"/>
        <v>9.1150691477493808</v>
      </c>
      <c r="BG21" s="20">
        <f t="shared" si="7"/>
        <v>66.917373694244205</v>
      </c>
      <c r="BH21" s="59">
        <f t="shared" si="8"/>
        <v>360.2507070275775</v>
      </c>
      <c r="BI21" s="59">
        <f ca="1">AVERAGE(OFFSET($BH$3,0,0,'Données projet'!$E$11+1,1))-AVERAGE(OFFSET($H$3,0,0,'Données projet'!$E$11+1,1))</f>
        <v>308.80022073574963</v>
      </c>
      <c r="BJ21" s="59">
        <f t="shared" si="38"/>
        <v>183.96267407004115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20.399999999999999</v>
      </c>
      <c r="N22" s="13">
        <f>IF('Données projet'!$A$36&gt;35,N21+M22-V21,IF(A22&lt;'Données projet'!$A$36,$K$205^A22,IF(A22='Données projet'!$A$36,'Données projet'!$B$36,N21+M22-V21)))</f>
        <v>143.60000000000002</v>
      </c>
      <c r="O22" s="13">
        <f>N22*VLOOKUP('Données projet'!$B$9,Paramètres!$A$1:$I$89,3,0)*VLOOKUP('Données projet'!$B$9,Paramètres!$A$1:$I$89,5,0)</f>
        <v>67.204800000000006</v>
      </c>
      <c r="P22" s="13">
        <f t="shared" si="33"/>
        <v>18.977673201594712</v>
      </c>
      <c r="Q22" s="20">
        <f t="shared" si="2"/>
        <v>150.10114082611082</v>
      </c>
      <c r="R22" s="59">
        <f t="shared" si="0"/>
        <v>443.43447415944411</v>
      </c>
      <c r="S22" s="59">
        <f ca="1">AVERAGE(OFFSET($R$3,0,0,'Données projet'!$E$9+1,1))-AVERAGE(OFFSET($H$3,0,0,'Données projet'!$E$9+1,1))</f>
        <v>379.12827535040157</v>
      </c>
      <c r="T22" s="59">
        <f t="shared" si="34"/>
        <v>317.29813413796956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162</v>
      </c>
      <c r="AG22" s="12">
        <f>VLOOKUP(A22,'Données projet'!$A$61:$I$81,9,0)</f>
        <v>8.526315789473685</v>
      </c>
      <c r="AH22" s="12">
        <f t="array" ref="AH22">INDEX(AG:AG,MIN(IF(ISNUMBER(AG22:AG218),ROW(AG22:AG218),"")))</f>
        <v>8.526315789473685</v>
      </c>
      <c r="AI22" s="13">
        <f>IF('Données projet'!$A$62&gt;35,AI21+AH22-AQ21,IF(A22&lt;'Données projet'!$A$62,$AF$205^A22,IF(A22='Données projet'!$A$62,'Données projet'!$B$62,AI21+AH22-AQ21)))</f>
        <v>162</v>
      </c>
      <c r="AJ22" s="13">
        <f>AI22*VLOOKUP('Données projet'!$B$10,Paramètres!$A$1:$I$89,3,0)*VLOOKUP('Données projet'!$B$10,Paramètres!$A$1:$I$89,5,0)</f>
        <v>90.557999999999993</v>
      </c>
      <c r="AK22" s="13">
        <f t="shared" si="35"/>
        <v>24.699752708509138</v>
      </c>
      <c r="AL22" s="20">
        <f t="shared" si="4"/>
        <v>200.74058596732007</v>
      </c>
      <c r="AM22" s="59">
        <f t="shared" si="5"/>
        <v>494.07391930065342</v>
      </c>
      <c r="AN22" s="59">
        <f ca="1">AVERAGE(OFFSET($AM$3,0,0,'Données projet'!$E$10+1,1))-AVERAGE(OFFSET($H$3,0,0,'Données projet'!$E$10+1,1))</f>
        <v>382.55387448074327</v>
      </c>
      <c r="AO22" s="59">
        <f t="shared" si="36"/>
        <v>476.29465646955543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35.328466045936516</v>
      </c>
      <c r="BF22" s="13">
        <f t="shared" si="37"/>
        <v>10.751650073316766</v>
      </c>
      <c r="BG22" s="20">
        <f t="shared" si="7"/>
        <v>80.256202241032796</v>
      </c>
      <c r="BH22" s="59">
        <f t="shared" si="8"/>
        <v>373.5895355743661</v>
      </c>
      <c r="BI22" s="59">
        <f ca="1">AVERAGE(OFFSET($BH$3,0,0,'Données projet'!$E$11+1,1))-AVERAGE(OFFSET($H$3,0,0,'Données projet'!$E$11+1,1))</f>
        <v>308.80022073574963</v>
      </c>
      <c r="BJ22" s="59">
        <f t="shared" si="38"/>
        <v>183.96267407004115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164</v>
      </c>
      <c r="L23" s="12">
        <f>VLOOKUP(A23,'Données projet'!$A$35:$I$55,9,0)</f>
        <v>20.399999999999999</v>
      </c>
      <c r="M23" s="12">
        <f t="array" ref="M23">INDEX(L:L,MIN(IF(ISNUMBER(L23:L219),ROW(L23:L219),"")))</f>
        <v>20.399999999999999</v>
      </c>
      <c r="N23" s="13">
        <f>IF('Données projet'!$A$36&gt;35,N22+M23-V22,IF(A23&lt;'Données projet'!$A$36,$K$205^A23,IF(A23='Données projet'!$A$36,'Données projet'!$B$36,N22+M23-V22)))</f>
        <v>164.00000000000003</v>
      </c>
      <c r="O23" s="13">
        <f>N23*VLOOKUP('Données projet'!$B$9,Paramètres!$A$1:$I$89,3,0)*VLOOKUP('Données projet'!$B$9,Paramètres!$A$1:$I$89,5,0)</f>
        <v>76.75200000000001</v>
      </c>
      <c r="P23" s="13">
        <f t="shared" si="33"/>
        <v>21.341125747045119</v>
      </c>
      <c r="Q23" s="20">
        <f t="shared" si="2"/>
        <v>170.84552734277023</v>
      </c>
      <c r="R23" s="59">
        <f t="shared" si="0"/>
        <v>464.17886067610357</v>
      </c>
      <c r="S23" s="59">
        <f ca="1">AVERAGE(OFFSET($R$3,0,0,'Données projet'!$E$9+1,1))-AVERAGE(OFFSET($H$3,0,0,'Données projet'!$E$9+1,1))</f>
        <v>379.12827535040157</v>
      </c>
      <c r="T23" s="59">
        <f t="shared" si="34"/>
        <v>317.29813413796956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26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1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13.777002596302035</v>
      </c>
      <c r="AC23" s="22">
        <f t="shared" si="3"/>
        <v>13.777002596302035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28.833333333333332</v>
      </c>
      <c r="AI23" s="13">
        <f>IF('Données projet'!$A$62&gt;35,AI22+AH23-AQ22,IF(A23&lt;'Données projet'!$A$62,$AF$205^A23,IF(A23='Données projet'!$A$62,'Données projet'!$B$62,AI22+AH23-AQ22)))</f>
        <v>190.83333333333334</v>
      </c>
      <c r="AJ23" s="13">
        <f>AI23*VLOOKUP('Données projet'!$B$10,Paramètres!$A$1:$I$89,3,0)*VLOOKUP('Données projet'!$B$10,Paramètres!$A$1:$I$89,5,0)</f>
        <v>106.67583333333334</v>
      </c>
      <c r="AK23" s="13">
        <f t="shared" si="35"/>
        <v>28.546391754319739</v>
      </c>
      <c r="AL23" s="20">
        <f t="shared" si="4"/>
        <v>235.51204202766243</v>
      </c>
      <c r="AM23" s="59">
        <f t="shared" si="5"/>
        <v>528.84537536099572</v>
      </c>
      <c r="AN23" s="59">
        <f ca="1">AVERAGE(OFFSET($AM$3,0,0,'Données projet'!$E$10+1,1))-AVERAGE(OFFSET($H$3,0,0,'Données projet'!$E$10+1,1))</f>
        <v>382.55387448074327</v>
      </c>
      <c r="AO23" s="59">
        <f t="shared" si="36"/>
        <v>476.29465646955543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42.588000000000001</v>
      </c>
      <c r="BF23" s="13">
        <f t="shared" si="37"/>
        <v>12.682073764365764</v>
      </c>
      <c r="BG23" s="20">
        <f t="shared" si="7"/>
        <v>96.262045139603686</v>
      </c>
      <c r="BH23" s="59">
        <f t="shared" si="8"/>
        <v>389.595378472937</v>
      </c>
      <c r="BI23" s="59">
        <f ca="1">AVERAGE(OFFSET($BH$3,0,0,'Données projet'!$E$11+1,1))-AVERAGE(OFFSET($H$3,0,0,'Données projet'!$E$11+1,1))</f>
        <v>308.80022073574963</v>
      </c>
      <c r="BJ23" s="59">
        <f t="shared" si="38"/>
        <v>183.96267407004115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26.4</v>
      </c>
      <c r="N24" s="13">
        <f>IF('Données projet'!$A$36&gt;35,N23+M24-V23,IF(A24&lt;'Données projet'!$A$36,$K$205^A24,IF(A24='Données projet'!$A$36,'Données projet'!$B$36,N23+M24-V23)))</f>
        <v>164.40000000000003</v>
      </c>
      <c r="O24" s="13">
        <f>N24*VLOOKUP('Données projet'!$B$9,Paramètres!$A$1:$I$89,3,0)*VLOOKUP('Données projet'!$B$9,Paramètres!$A$1:$I$89,5,0)</f>
        <v>76.939200000000014</v>
      </c>
      <c r="P24" s="13">
        <f t="shared" si="33"/>
        <v>21.38711195280052</v>
      </c>
      <c r="Q24" s="20">
        <f t="shared" si="2"/>
        <v>171.25165998446093</v>
      </c>
      <c r="R24" s="59">
        <f t="shared" si="0"/>
        <v>464.58499331779421</v>
      </c>
      <c r="S24" s="59">
        <f ca="1">AVERAGE(OFFSET($R$3,0,0,'Données projet'!$E$9+1,1))-AVERAGE(OFFSET($H$3,0,0,'Données projet'!$E$9+1,1))</f>
        <v>379.12827535040157</v>
      </c>
      <c r="T24" s="59">
        <f t="shared" si="34"/>
        <v>317.29813413796956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9.7418119602698408</v>
      </c>
      <c r="AC24" s="22">
        <f t="shared" si="3"/>
        <v>9.7418119602698408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28.833333333333332</v>
      </c>
      <c r="AI24" s="13">
        <f>IF('Données projet'!$A$62&gt;35,AI23+AH24-AQ23,IF(A24&lt;'Données projet'!$A$62,$AF$205^A24,IF(A24='Données projet'!$A$62,'Données projet'!$B$62,AI23+AH24-AQ23)))</f>
        <v>219.66666666666669</v>
      </c>
      <c r="AJ24" s="13">
        <f>AI24*VLOOKUP('Données projet'!$B$10,Paramètres!$A$1:$I$89,3,0)*VLOOKUP('Données projet'!$B$10,Paramètres!$A$1:$I$89,5,0)</f>
        <v>122.79366666666668</v>
      </c>
      <c r="AK24" s="13">
        <f t="shared" si="35"/>
        <v>32.32570088253398</v>
      </c>
      <c r="AL24" s="20">
        <f t="shared" si="4"/>
        <v>270.16623181485778</v>
      </c>
      <c r="AM24" s="59">
        <f t="shared" si="5"/>
        <v>563.4995651481911</v>
      </c>
      <c r="AN24" s="59">
        <f ca="1">AVERAGE(OFFSET($AM$3,0,0,'Données projet'!$E$10+1,1))-AVERAGE(OFFSET($H$3,0,0,'Données projet'!$E$10+1,1))</f>
        <v>382.55387448074327</v>
      </c>
      <c r="AO24" s="59">
        <f t="shared" si="36"/>
        <v>476.29465646955543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5.6</v>
      </c>
      <c r="BD24" s="12">
        <f>IF('Données projet'!$A$88&gt;35,BD23+BC24-BL23,IF(A24&lt;'Données projet'!$A$88,$BA$205^A24,IF(A24='Données projet'!$A$88,'Données projet'!$B$88,BD23+BC24-BL23)))</f>
        <v>47.6</v>
      </c>
      <c r="BE24" s="13">
        <f>BD24*VLOOKUP('Données projet'!$B$11,Paramètres!$A$1:$I$89,3,0)*VLOOKUP('Données projet'!$B$11,Paramètres!$A$1:$I$89,5,0)</f>
        <v>48.266400000000004</v>
      </c>
      <c r="BF24" s="13">
        <f t="shared" si="37"/>
        <v>14.165134590154434</v>
      </c>
      <c r="BG24" s="20">
        <f t="shared" si="7"/>
        <v>108.73492274451898</v>
      </c>
      <c r="BH24" s="59">
        <f t="shared" si="8"/>
        <v>402.06825607785231</v>
      </c>
      <c r="BI24" s="59">
        <f ca="1">AVERAGE(OFFSET($BH$3,0,0,'Données projet'!$E$11+1,1))-AVERAGE(OFFSET($H$3,0,0,'Données projet'!$E$11+1,1))</f>
        <v>308.80022073574963</v>
      </c>
      <c r="BJ24" s="59">
        <f t="shared" si="38"/>
        <v>183.96267407004115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26.4</v>
      </c>
      <c r="N25" s="13">
        <f>IF('Données projet'!$A$36&gt;35,N24+M25-V24,IF(A25&lt;'Données projet'!$A$36,$K$205^A25,IF(A25='Données projet'!$A$36,'Données projet'!$B$36,N24+M25-V24)))</f>
        <v>190.80000000000004</v>
      </c>
      <c r="O25" s="13">
        <f>N25*VLOOKUP('Données projet'!$B$9,Paramètres!$A$1:$I$89,3,0)*VLOOKUP('Données projet'!$B$9,Paramètres!$A$1:$I$89,5,0)</f>
        <v>89.294400000000024</v>
      </c>
      <c r="P25" s="13">
        <f t="shared" si="33"/>
        <v>24.394973389005663</v>
      </c>
      <c r="Q25" s="20">
        <f t="shared" si="2"/>
        <v>198.00899198585157</v>
      </c>
      <c r="R25" s="59">
        <f t="shared" si="0"/>
        <v>491.34232531918485</v>
      </c>
      <c r="S25" s="59">
        <f ca="1">AVERAGE(OFFSET($R$3,0,0,'Données projet'!$E$9+1,1))-AVERAGE(OFFSET($H$3,0,0,'Données projet'!$E$9+1,1))</f>
        <v>379.12827535040157</v>
      </c>
      <c r="T25" s="59">
        <f t="shared" si="34"/>
        <v>317.29813413796956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6.8885012981510183</v>
      </c>
      <c r="AC25" s="22">
        <f t="shared" si="3"/>
        <v>6.8885012981510183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28.833333333333332</v>
      </c>
      <c r="AI25" s="13">
        <f>IF('Données projet'!$A$62&gt;35,AI24+AH25-AQ24,IF(A25&lt;'Données projet'!$A$62,$AF$205^A25,IF(A25='Données projet'!$A$62,'Données projet'!$B$62,AI24+AH25-AQ24)))</f>
        <v>248.50000000000003</v>
      </c>
      <c r="AJ25" s="13">
        <f>AI25*VLOOKUP('Données projet'!$B$10,Paramètres!$A$1:$I$89,3,0)*VLOOKUP('Données projet'!$B$10,Paramètres!$A$1:$I$89,5,0)</f>
        <v>138.91150000000002</v>
      </c>
      <c r="AK25" s="13">
        <f t="shared" si="35"/>
        <v>36.047532265727178</v>
      </c>
      <c r="AL25" s="20">
        <f t="shared" si="4"/>
        <v>304.72031452947482</v>
      </c>
      <c r="AM25" s="59">
        <f t="shared" si="5"/>
        <v>598.05364786280813</v>
      </c>
      <c r="AN25" s="59">
        <f ca="1">AVERAGE(OFFSET($AM$3,0,0,'Données projet'!$E$10+1,1))-AVERAGE(OFFSET($H$3,0,0,'Données projet'!$E$10+1,1))</f>
        <v>382.55387448074327</v>
      </c>
      <c r="AO25" s="59">
        <f t="shared" si="36"/>
        <v>476.29465646955543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5.6</v>
      </c>
      <c r="BD25" s="12">
        <f>IF('Données projet'!$A$88&gt;35,BD24+BC25-BL24,IF(A25&lt;'Données projet'!$A$88,$BA$205^A25,IF(A25='Données projet'!$A$88,'Données projet'!$B$88,BD24+BC25-BL24)))</f>
        <v>53.2</v>
      </c>
      <c r="BE25" s="13">
        <f>BD25*VLOOKUP('Données projet'!$B$11,Paramètres!$A$1:$I$89,3,0)*VLOOKUP('Données projet'!$B$11,Paramètres!$A$1:$I$89,5,0)</f>
        <v>53.944800000000008</v>
      </c>
      <c r="BF25" s="13">
        <f t="shared" si="37"/>
        <v>15.627975445731321</v>
      </c>
      <c r="BG25" s="20">
        <f t="shared" si="7"/>
        <v>121.17258390131538</v>
      </c>
      <c r="BH25" s="59">
        <f t="shared" si="8"/>
        <v>414.50591723464868</v>
      </c>
      <c r="BI25" s="59">
        <f ca="1">AVERAGE(OFFSET($BH$3,0,0,'Données projet'!$E$11+1,1))-AVERAGE(OFFSET($H$3,0,0,'Données projet'!$E$11+1,1))</f>
        <v>308.80022073574963</v>
      </c>
      <c r="BJ25" s="59">
        <f t="shared" si="38"/>
        <v>183.96267407004115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26.4</v>
      </c>
      <c r="N26" s="13">
        <f>IF('Données projet'!$A$36&gt;35,N25+M26-V25,IF(A26&lt;'Données projet'!$A$36,$K$205^A26,IF(A26='Données projet'!$A$36,'Données projet'!$B$36,N25+M26-V25)))</f>
        <v>217.20000000000005</v>
      </c>
      <c r="O26" s="13">
        <f>N26*VLOOKUP('Données projet'!$B$9,Paramètres!$A$1:$I$89,3,0)*VLOOKUP('Données projet'!$B$9,Paramètres!$A$1:$I$89,5,0)</f>
        <v>101.64960000000001</v>
      </c>
      <c r="P26" s="13">
        <f t="shared" si="33"/>
        <v>27.354616995972222</v>
      </c>
      <c r="Q26" s="20">
        <f t="shared" si="2"/>
        <v>224.68234460131828</v>
      </c>
      <c r="R26" s="59">
        <f t="shared" si="0"/>
        <v>518.01567793465165</v>
      </c>
      <c r="S26" s="59">
        <f ca="1">AVERAGE(OFFSET($R$3,0,0,'Données projet'!$E$9+1,1))-AVERAGE(OFFSET($H$3,0,0,'Données projet'!$E$9+1,1))</f>
        <v>379.12827535040157</v>
      </c>
      <c r="T26" s="59">
        <f t="shared" si="34"/>
        <v>317.29813413796956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4.8709059801349213</v>
      </c>
      <c r="AC26" s="22">
        <f t="shared" si="3"/>
        <v>4.8709059801349213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28.833333333333332</v>
      </c>
      <c r="AI26" s="13">
        <f>IF('Données projet'!$A$62&gt;35,AI25+AH26-AQ25,IF(A26&lt;'Données projet'!$A$62,$AF$205^A26,IF(A26='Données projet'!$A$62,'Données projet'!$B$62,AI25+AH26-AQ25)))</f>
        <v>277.33333333333337</v>
      </c>
      <c r="AJ26" s="13">
        <f>AI26*VLOOKUP('Données projet'!$B$10,Paramètres!$A$1:$I$89,3,0)*VLOOKUP('Données projet'!$B$10,Paramètres!$A$1:$I$89,5,0)</f>
        <v>155.02933333333334</v>
      </c>
      <c r="AK26" s="13">
        <f t="shared" si="35"/>
        <v>39.719316712120367</v>
      </c>
      <c r="AL26" s="20">
        <f t="shared" si="4"/>
        <v>339.1872321624985</v>
      </c>
      <c r="AM26" s="59">
        <f t="shared" si="5"/>
        <v>632.52056549583176</v>
      </c>
      <c r="AN26" s="59">
        <f ca="1">AVERAGE(OFFSET($AM$3,0,0,'Données projet'!$E$10+1,1))-AVERAGE(OFFSET($H$3,0,0,'Données projet'!$E$10+1,1))</f>
        <v>382.55387448074327</v>
      </c>
      <c r="AO26" s="59">
        <f t="shared" si="36"/>
        <v>476.29465646955543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5.6</v>
      </c>
      <c r="BD26" s="12">
        <f>IF('Données projet'!$A$88&gt;35,BD25+BC26-BL25,IF(A26&lt;'Données projet'!$A$88,$BA$205^A26,IF(A26='Données projet'!$A$88,'Données projet'!$B$88,BD25+BC26-BL25)))</f>
        <v>58.800000000000004</v>
      </c>
      <c r="BE26" s="13">
        <f>BD26*VLOOKUP('Données projet'!$B$11,Paramètres!$A$1:$I$89,3,0)*VLOOKUP('Données projet'!$B$11,Paramètres!$A$1:$I$89,5,0)</f>
        <v>59.623200000000011</v>
      </c>
      <c r="BF26" s="13">
        <f t="shared" si="37"/>
        <v>17.072967249098898</v>
      </c>
      <c r="BG26" s="20">
        <f t="shared" si="7"/>
        <v>133.57915795884725</v>
      </c>
      <c r="BH26" s="59">
        <f t="shared" si="8"/>
        <v>426.91249129218056</v>
      </c>
      <c r="BI26" s="59">
        <f ca="1">AVERAGE(OFFSET($BH$3,0,0,'Données projet'!$E$11+1,1))-AVERAGE(OFFSET($H$3,0,0,'Données projet'!$E$11+1,1))</f>
        <v>308.80022073574963</v>
      </c>
      <c r="BJ26" s="59">
        <f t="shared" si="38"/>
        <v>183.96267407004115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26.4</v>
      </c>
      <c r="N27" s="13">
        <f>IF('Données projet'!$A$36&gt;35,N26+M27-V26,IF(A27&lt;'Données projet'!$A$36,$K$205^A27,IF(A27='Données projet'!$A$36,'Données projet'!$B$36,N26+M27-V26)))</f>
        <v>243.60000000000005</v>
      </c>
      <c r="O27" s="13">
        <f>N27*VLOOKUP('Données projet'!$B$9,Paramètres!$A$1:$I$89,3,0)*VLOOKUP('Données projet'!$B$9,Paramètres!$A$1:$I$89,5,0)</f>
        <v>114.00480000000002</v>
      </c>
      <c r="P27" s="13">
        <f t="shared" si="33"/>
        <v>30.272573949217303</v>
      </c>
      <c r="Q27" s="20">
        <f t="shared" si="2"/>
        <v>251.28309296155351</v>
      </c>
      <c r="R27" s="59">
        <f t="shared" si="0"/>
        <v>544.61642629488688</v>
      </c>
      <c r="S27" s="59">
        <f ca="1">AVERAGE(OFFSET($R$3,0,0,'Données projet'!$E$9+1,1))-AVERAGE(OFFSET($H$3,0,0,'Données projet'!$E$9+1,1))</f>
        <v>379.12827535040157</v>
      </c>
      <c r="T27" s="59">
        <f t="shared" si="34"/>
        <v>317.29813413796956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3.4442506490755096</v>
      </c>
      <c r="AC27" s="22">
        <f t="shared" si="3"/>
        <v>3.4442506490755096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28.833333333333332</v>
      </c>
      <c r="AI27" s="13">
        <f>IF('Données projet'!$A$62&gt;35,AI26+AH27-AQ26,IF(A27&lt;'Données projet'!$A$62,$AF$205^A27,IF(A27='Données projet'!$A$62,'Données projet'!$B$62,AI26+AH27-AQ26)))</f>
        <v>306.16666666666669</v>
      </c>
      <c r="AJ27" s="13">
        <f>AI27*VLOOKUP('Données projet'!$B$10,Paramètres!$A$1:$I$89,3,0)*VLOOKUP('Données projet'!$B$10,Paramètres!$A$1:$I$89,5,0)</f>
        <v>171.14716666666669</v>
      </c>
      <c r="AK27" s="13">
        <f t="shared" si="35"/>
        <v>43.346850105371793</v>
      </c>
      <c r="AL27" s="20">
        <f t="shared" si="4"/>
        <v>373.57707921130037</v>
      </c>
      <c r="AM27" s="59">
        <f t="shared" si="5"/>
        <v>666.91041254463369</v>
      </c>
      <c r="AN27" s="59">
        <f ca="1">AVERAGE(OFFSET($AM$3,0,0,'Données projet'!$E$10+1,1))-AVERAGE(OFFSET($H$3,0,0,'Données projet'!$E$10+1,1))</f>
        <v>382.55387448074327</v>
      </c>
      <c r="AO27" s="59">
        <f t="shared" si="36"/>
        <v>476.29465646955543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5.6</v>
      </c>
      <c r="BD27" s="12">
        <f>IF('Données projet'!$A$88&gt;35,BD26+BC27-BL26,IF(A27&lt;'Données projet'!$A$88,$BA$205^A27,IF(A27='Données projet'!$A$88,'Données projet'!$B$88,BD26+BC27-BL26)))</f>
        <v>64.400000000000006</v>
      </c>
      <c r="BE27" s="13">
        <f>BD27*VLOOKUP('Données projet'!$B$11,Paramètres!$A$1:$I$89,3,0)*VLOOKUP('Données projet'!$B$11,Paramètres!$A$1:$I$89,5,0)</f>
        <v>65.301600000000008</v>
      </c>
      <c r="BF27" s="13">
        <f t="shared" si="37"/>
        <v>18.502003309535596</v>
      </c>
      <c r="BG27" s="20">
        <f t="shared" si="7"/>
        <v>145.95794243077449</v>
      </c>
      <c r="BH27" s="59">
        <f t="shared" si="8"/>
        <v>439.29127576410781</v>
      </c>
      <c r="BI27" s="59">
        <f ca="1">AVERAGE(OFFSET($BH$3,0,0,'Données projet'!$E$11+1,1))-AVERAGE(OFFSET($H$3,0,0,'Données projet'!$E$11+1,1))</f>
        <v>308.80022073574963</v>
      </c>
      <c r="BJ27" s="59">
        <f t="shared" si="38"/>
        <v>183.96267407004115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270</v>
      </c>
      <c r="L28" s="12">
        <f>VLOOKUP(A28,'Données projet'!$A$35:$I$55,9,0)</f>
        <v>26.4</v>
      </c>
      <c r="M28" s="12">
        <f t="array" ref="M28">INDEX(L:L,MIN(IF(ISNUMBER(L28:L224),ROW(L28:L224),"")))</f>
        <v>26.4</v>
      </c>
      <c r="N28" s="13">
        <f>IF('Données projet'!$A$36&gt;35,N27+M28-V27,IF(A28&lt;'Données projet'!$A$36,$K$205^A28,IF(A28='Données projet'!$A$36,'Données projet'!$B$36,N27+M28-V27)))</f>
        <v>270.00000000000006</v>
      </c>
      <c r="O28" s="13">
        <f>N28*VLOOKUP('Données projet'!$B$9,Paramètres!$A$1:$I$89,3,0)*VLOOKUP('Données projet'!$B$9,Paramètres!$A$1:$I$89,5,0)</f>
        <v>126.36000000000003</v>
      </c>
      <c r="P28" s="13">
        <f t="shared" si="33"/>
        <v>33.153877056327453</v>
      </c>
      <c r="Q28" s="20">
        <f t="shared" si="2"/>
        <v>277.82000253977031</v>
      </c>
      <c r="R28" s="59">
        <f t="shared" si="0"/>
        <v>571.15333587310363</v>
      </c>
      <c r="S28" s="59">
        <f ca="1">AVERAGE(OFFSET($R$3,0,0,'Données projet'!$E$9+1,1))-AVERAGE(OFFSET($H$3,0,0,'Données projet'!$E$9+1,1))</f>
        <v>379.12827535040157</v>
      </c>
      <c r="T28" s="59">
        <f t="shared" si="34"/>
        <v>317.29813413796956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70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0.55000000000000004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23.807926925703139</v>
      </c>
      <c r="AB28" s="21">
        <f>EXP(-LN(2)/2)*AB27+(1-EXP(-LN(2)/2))/(LN(2)/2)*V28*Y28*VLOOKUP('Données projet'!$B$9,Paramètres!$A$1:$I$89,3,0)*0.475*44/12</f>
        <v>2.4354529900674606</v>
      </c>
      <c r="AC28" s="22">
        <f t="shared" si="3"/>
        <v>26.2433799157706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335</v>
      </c>
      <c r="AG28" s="12">
        <f>VLOOKUP(A28,'Données projet'!$A$61:$I$81,9,0)</f>
        <v>28.833333333333332</v>
      </c>
      <c r="AH28" s="12">
        <f t="array" ref="AH28">INDEX(AG:AG,MIN(IF(ISNUMBER(AG28:AG224),ROW(AG28:AG224),"")))</f>
        <v>28.833333333333332</v>
      </c>
      <c r="AI28" s="13">
        <f>IF('Données projet'!$A$62&gt;35,AI27+AH28-AQ27,IF(A28&lt;'Données projet'!$A$62,$AF$205^A28,IF(A28='Données projet'!$A$62,'Données projet'!$B$62,AI27+AH28-AQ27)))</f>
        <v>335</v>
      </c>
      <c r="AJ28" s="13">
        <f>AI28*VLOOKUP('Données projet'!$B$10,Paramètres!$A$1:$I$89,3,0)*VLOOKUP('Données projet'!$B$10,Paramètres!$A$1:$I$89,5,0)</f>
        <v>187.26500000000001</v>
      </c>
      <c r="AK28" s="13">
        <f t="shared" si="35"/>
        <v>46.934773872544483</v>
      </c>
      <c r="AL28" s="20">
        <f t="shared" si="4"/>
        <v>407.89793949468162</v>
      </c>
      <c r="AM28" s="59">
        <f t="shared" si="5"/>
        <v>701.23127282801488</v>
      </c>
      <c r="AN28" s="59">
        <f ca="1">AVERAGE(OFFSET($AM$3,0,0,'Données projet'!$E$10+1,1))-AVERAGE(OFFSET($H$3,0,0,'Données projet'!$E$10+1,1))</f>
        <v>382.55387448074327</v>
      </c>
      <c r="AO28" s="59">
        <f t="shared" si="36"/>
        <v>476.29465646955543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54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1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34.177564133133899</v>
      </c>
      <c r="AX28" s="21">
        <f t="shared" si="6"/>
        <v>34.177564133133899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70</v>
      </c>
      <c r="BB28" s="12">
        <f>VLOOKUP(A28,'Données projet'!$A$87:$I$107,9,0)</f>
        <v>5.6</v>
      </c>
      <c r="BC28" s="12">
        <f t="array" ref="BC28">INDEX(BB:BB,MIN(IF(ISNUMBER(BB28:BB224),ROW(BB28:BB224),"")))</f>
        <v>5.6</v>
      </c>
      <c r="BD28" s="12">
        <f>IF('Données projet'!$A$88&gt;35,BD27+BC28-BL27,IF(A28&lt;'Données projet'!$A$88,$BA$205^A28,IF(A28='Données projet'!$A$88,'Données projet'!$B$88,BD27+BC28-BL27)))</f>
        <v>70</v>
      </c>
      <c r="BE28" s="13">
        <f>BD28*VLOOKUP('Données projet'!$B$11,Paramètres!$A$1:$I$89,3,0)*VLOOKUP('Données projet'!$B$11,Paramètres!$A$1:$I$89,5,0)</f>
        <v>70.98</v>
      </c>
      <c r="BF28" s="13">
        <f t="shared" si="37"/>
        <v>19.916628839746853</v>
      </c>
      <c r="BG28" s="20">
        <f t="shared" si="7"/>
        <v>158.31162856255909</v>
      </c>
      <c r="BH28" s="59">
        <f t="shared" si="8"/>
        <v>451.64496189589238</v>
      </c>
      <c r="BI28" s="59">
        <f ca="1">AVERAGE(OFFSET($BH$3,0,0,'Données projet'!$E$11+1,1))-AVERAGE(OFFSET($H$3,0,0,'Données projet'!$E$11+1,1))</f>
        <v>308.80022073574963</v>
      </c>
      <c r="BJ28" s="59">
        <f t="shared" si="38"/>
        <v>183.96267407004115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28.6</v>
      </c>
      <c r="N29" s="13">
        <f>IF('Données projet'!$A$36&gt;35,N28+M29-V28,IF(A29&lt;'Données projet'!$A$36,$K$205^A29,IF(A29='Données projet'!$A$36,'Données projet'!$B$36,N28+M29-V28)))</f>
        <v>228.60000000000008</v>
      </c>
      <c r="O29" s="13">
        <f>N29*VLOOKUP('Données projet'!$B$9,Paramètres!$A$1:$I$89,3,0)*VLOOKUP('Données projet'!$B$9,Paramètres!$A$1:$I$89,5,0)</f>
        <v>106.98480000000004</v>
      </c>
      <c r="P29" s="13">
        <f t="shared" si="33"/>
        <v>28.619434884739594</v>
      </c>
      <c r="Q29" s="20">
        <f t="shared" si="2"/>
        <v>236.17737575758818</v>
      </c>
      <c r="R29" s="59">
        <f t="shared" si="0"/>
        <v>529.51070909092152</v>
      </c>
      <c r="S29" s="59">
        <f ca="1">AVERAGE(OFFSET($R$3,0,0,'Données projet'!$E$9+1,1))-AVERAGE(OFFSET($H$3,0,0,'Données projet'!$E$9+1,1))</f>
        <v>379.12827535040157</v>
      </c>
      <c r="T29" s="59">
        <f t="shared" si="34"/>
        <v>317.29813413796956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23.156897911915323</v>
      </c>
      <c r="AB29" s="21">
        <f>EXP(-LN(2)/2)*AB28+(1-EXP(-LN(2)/2))/(LN(2)/2)*V29*Y29*VLOOKUP('Données projet'!$B$9,Paramètres!$A$1:$I$89,3,0)*0.475*44/12</f>
        <v>1.7221253245377548</v>
      </c>
      <c r="AC29" s="22">
        <f t="shared" si="3"/>
        <v>24.879023236453076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28</v>
      </c>
      <c r="AI29" s="13">
        <f>IF('Données projet'!$A$62&gt;35,AI28+AH29-AQ28,IF(A29&lt;'Données projet'!$A$62,$AF$205^A29,IF(A29='Données projet'!$A$62,'Données projet'!$B$62,AI28+AH29-AQ28)))</f>
        <v>309</v>
      </c>
      <c r="AJ29" s="13">
        <f>AI29*VLOOKUP('Données projet'!$B$10,Paramètres!$A$1:$I$89,3,0)*VLOOKUP('Données projet'!$B$10,Paramètres!$A$1:$I$89,5,0)</f>
        <v>172.73100000000002</v>
      </c>
      <c r="AK29" s="13">
        <f t="shared" si="35"/>
        <v>43.701108252019125</v>
      </c>
      <c r="AL29" s="20">
        <f t="shared" si="4"/>
        <v>376.9525885389333</v>
      </c>
      <c r="AM29" s="59">
        <f t="shared" si="5"/>
        <v>670.28592187226661</v>
      </c>
      <c r="AN29" s="59">
        <f ca="1">AVERAGE(OFFSET($AM$3,0,0,'Données projet'!$E$10+1,1))-AVERAGE(OFFSET($H$3,0,0,'Données projet'!$E$10+1,1))</f>
        <v>382.55387448074327</v>
      </c>
      <c r="AO29" s="59">
        <f t="shared" si="36"/>
        <v>476.29465646955543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24.16718736297711</v>
      </c>
      <c r="AX29" s="21">
        <f t="shared" si="6"/>
        <v>24.16718736297711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</v>
      </c>
      <c r="BD29" s="12">
        <f>IF('Données projet'!$A$88&gt;35,BD28+BC29-BL28,IF(A29&lt;'Données projet'!$A$88,$BA$205^A29,IF(A29='Données projet'!$A$88,'Données projet'!$B$88,BD28+BC29-BL28)))</f>
        <v>69</v>
      </c>
      <c r="BE29" s="13">
        <f>BD29*VLOOKUP('Données projet'!$B$11,Paramètres!$A$1:$I$89,3,0)*VLOOKUP('Données projet'!$B$11,Paramètres!$A$1:$I$89,5,0)</f>
        <v>69.966000000000008</v>
      </c>
      <c r="BF29" s="13">
        <f t="shared" si="37"/>
        <v>19.665013934342461</v>
      </c>
      <c r="BG29" s="20">
        <f t="shared" si="7"/>
        <v>156.10734926897979</v>
      </c>
      <c r="BH29" s="59">
        <f t="shared" si="8"/>
        <v>449.44068260231313</v>
      </c>
      <c r="BI29" s="59">
        <f ca="1">AVERAGE(OFFSET($BH$3,0,0,'Données projet'!$E$11+1,1))-AVERAGE(OFFSET($H$3,0,0,'Données projet'!$E$11+1,1))</f>
        <v>308.80022073574963</v>
      </c>
      <c r="BJ29" s="59">
        <f t="shared" si="38"/>
        <v>183.96267407004115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28.6</v>
      </c>
      <c r="N30" s="13">
        <f>IF('Données projet'!$A$36&gt;35,N29+M30-V29,IF(A30&lt;'Données projet'!$A$36,$K$205^A30,IF(A30='Données projet'!$A$36,'Données projet'!$B$36,N29+M30-V29)))</f>
        <v>257.2000000000001</v>
      </c>
      <c r="O30" s="13">
        <f>N30*VLOOKUP('Données projet'!$B$9,Paramètres!$A$1:$I$89,3,0)*VLOOKUP('Données projet'!$B$9,Paramètres!$A$1:$I$89,5,0)</f>
        <v>120.36960000000003</v>
      </c>
      <c r="P30" s="13">
        <f t="shared" si="33"/>
        <v>31.761186989855986</v>
      </c>
      <c r="Q30" s="20">
        <f t="shared" si="2"/>
        <v>264.96112067399923</v>
      </c>
      <c r="R30" s="59">
        <f t="shared" si="0"/>
        <v>558.29445400733255</v>
      </c>
      <c r="S30" s="59">
        <f ca="1">AVERAGE(OFFSET($R$3,0,0,'Données projet'!$E$9+1,1))-AVERAGE(OFFSET($H$3,0,0,'Données projet'!$E$9+1,1))</f>
        <v>379.12827535040157</v>
      </c>
      <c r="T30" s="59">
        <f t="shared" si="34"/>
        <v>317.29813413796956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22.523671320745663</v>
      </c>
      <c r="AB30" s="21">
        <f>EXP(-LN(2)/2)*AB29+(1-EXP(-LN(2)/2))/(LN(2)/2)*V30*Y30*VLOOKUP('Données projet'!$B$9,Paramètres!$A$1:$I$89,3,0)*0.475*44/12</f>
        <v>1.2177264950337303</v>
      </c>
      <c r="AC30" s="22">
        <f t="shared" si="3"/>
        <v>23.741397815779393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28</v>
      </c>
      <c r="AI30" s="13">
        <f>IF('Données projet'!$A$62&gt;35,AI29+AH30-AQ29,IF(A30&lt;'Données projet'!$A$62,$AF$205^A30,IF(A30='Données projet'!$A$62,'Données projet'!$B$62,AI29+AH30-AQ29)))</f>
        <v>337</v>
      </c>
      <c r="AJ30" s="13">
        <f>AI30*VLOOKUP('Données projet'!$B$10,Paramètres!$A$1:$I$89,3,0)*VLOOKUP('Données projet'!$B$10,Paramètres!$A$1:$I$89,5,0)</f>
        <v>188.38300000000001</v>
      </c>
      <c r="AK30" s="13">
        <f t="shared" si="35"/>
        <v>47.182279474248382</v>
      </c>
      <c r="AL30" s="20">
        <f t="shared" si="4"/>
        <v>410.27619508431599</v>
      </c>
      <c r="AM30" s="59">
        <f t="shared" si="5"/>
        <v>703.60952841764924</v>
      </c>
      <c r="AN30" s="59">
        <f ca="1">AVERAGE(OFFSET($AM$3,0,0,'Données projet'!$E$10+1,1))-AVERAGE(OFFSET($H$3,0,0,'Données projet'!$E$10+1,1))</f>
        <v>382.55387448074327</v>
      </c>
      <c r="AO30" s="59">
        <f t="shared" si="36"/>
        <v>476.29465646955543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17.088782066566953</v>
      </c>
      <c r="AX30" s="21">
        <f t="shared" si="6"/>
        <v>17.088782066566953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</v>
      </c>
      <c r="BD30" s="12">
        <f>IF('Données projet'!$A$88&gt;35,BD29+BC30-BL29,IF(A30&lt;'Données projet'!$A$88,$BA$205^A30,IF(A30='Données projet'!$A$88,'Données projet'!$B$88,BD29+BC30-BL29)))</f>
        <v>76</v>
      </c>
      <c r="BE30" s="13">
        <f>BD30*VLOOKUP('Données projet'!$B$11,Paramètres!$A$1:$I$89,3,0)*VLOOKUP('Données projet'!$B$11,Paramètres!$A$1:$I$89,5,0)</f>
        <v>77.064000000000007</v>
      </c>
      <c r="BF30" s="13">
        <f t="shared" si="37"/>
        <v>21.417762186678065</v>
      </c>
      <c r="BG30" s="20">
        <f t="shared" si="7"/>
        <v>171.52240247513097</v>
      </c>
      <c r="BH30" s="59">
        <f t="shared" si="8"/>
        <v>464.85573580846426</v>
      </c>
      <c r="BI30" s="59">
        <f ca="1">AVERAGE(OFFSET($BH$3,0,0,'Données projet'!$E$11+1,1))-AVERAGE(OFFSET($H$3,0,0,'Données projet'!$E$11+1,1))</f>
        <v>308.80022073574963</v>
      </c>
      <c r="BJ30" s="59">
        <f t="shared" si="38"/>
        <v>183.96267407004115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28.6</v>
      </c>
      <c r="N31" s="13">
        <f>IF('Données projet'!$A$36&gt;35,N30+M31-V30,IF(A31&lt;'Données projet'!$A$36,$K$205^A31,IF(A31='Données projet'!$A$36,'Données projet'!$B$36,N30+M31-V30)))</f>
        <v>285.80000000000013</v>
      </c>
      <c r="O31" s="13">
        <f>N31*VLOOKUP('Données projet'!$B$9,Paramètres!$A$1:$I$89,3,0)*VLOOKUP('Données projet'!$B$9,Paramètres!$A$1:$I$89,5,0)</f>
        <v>133.75440000000006</v>
      </c>
      <c r="P31" s="13">
        <f t="shared" si="33"/>
        <v>34.862448215374009</v>
      </c>
      <c r="Q31" s="20">
        <f t="shared" si="2"/>
        <v>293.67434397510982</v>
      </c>
      <c r="R31" s="59">
        <f t="shared" si="0"/>
        <v>587.00767730844314</v>
      </c>
      <c r="S31" s="59">
        <f ca="1">AVERAGE(OFFSET($R$3,0,0,'Données projet'!$E$9+1,1))-AVERAGE(OFFSET($H$3,0,0,'Données projet'!$E$9+1,1))</f>
        <v>379.12827535040157</v>
      </c>
      <c r="T31" s="59">
        <f t="shared" si="34"/>
        <v>317.29813413796956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21.907760344011479</v>
      </c>
      <c r="AB31" s="21">
        <f>EXP(-LN(2)/2)*AB30+(1-EXP(-LN(2)/2))/(LN(2)/2)*V31*Y31*VLOOKUP('Données projet'!$B$9,Paramètres!$A$1:$I$89,3,0)*0.475*44/12</f>
        <v>0.8610626622688774</v>
      </c>
      <c r="AC31" s="22">
        <f t="shared" si="3"/>
        <v>22.768823006280357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28</v>
      </c>
      <c r="AI31" s="13">
        <f>IF('Données projet'!$A$62&gt;35,AI30+AH31-AQ30,IF(A31&lt;'Données projet'!$A$62,$AF$205^A31,IF(A31='Données projet'!$A$62,'Données projet'!$B$62,AI30+AH31-AQ30)))</f>
        <v>365</v>
      </c>
      <c r="AJ31" s="13">
        <f>AI31*VLOOKUP('Données projet'!$B$10,Paramètres!$A$1:$I$89,3,0)*VLOOKUP('Données projet'!$B$10,Paramètres!$A$1:$I$89,5,0)</f>
        <v>204.035</v>
      </c>
      <c r="AK31" s="13">
        <f t="shared" si="35"/>
        <v>50.629905099971396</v>
      </c>
      <c r="AL31" s="20">
        <f t="shared" si="4"/>
        <v>443.54137638245015</v>
      </c>
      <c r="AM31" s="59">
        <f t="shared" si="5"/>
        <v>736.87470971578341</v>
      </c>
      <c r="AN31" s="59">
        <f ca="1">AVERAGE(OFFSET($AM$3,0,0,'Données projet'!$E$10+1,1))-AVERAGE(OFFSET($H$3,0,0,'Données projet'!$E$10+1,1))</f>
        <v>382.55387448074327</v>
      </c>
      <c r="AO31" s="59">
        <f t="shared" si="36"/>
        <v>476.29465646955543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12.083593681488557</v>
      </c>
      <c r="AX31" s="21">
        <f t="shared" si="6"/>
        <v>12.083593681488557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</v>
      </c>
      <c r="BD31" s="12">
        <f>IF('Données projet'!$A$88&gt;35,BD30+BC31-BL30,IF(A31&lt;'Données projet'!$A$88,$BA$205^A31,IF(A31='Données projet'!$A$88,'Données projet'!$B$88,BD30+BC31-BL30)))</f>
        <v>83</v>
      </c>
      <c r="BE31" s="13">
        <f>BD31*VLOOKUP('Données projet'!$B$11,Paramètres!$A$1:$I$89,3,0)*VLOOKUP('Données projet'!$B$11,Paramètres!$A$1:$I$89,5,0)</f>
        <v>84.162000000000006</v>
      </c>
      <c r="BF31" s="13">
        <f t="shared" si="37"/>
        <v>23.151791590506594</v>
      </c>
      <c r="BG31" s="20">
        <f t="shared" si="7"/>
        <v>186.90485368679899</v>
      </c>
      <c r="BH31" s="59">
        <f t="shared" si="8"/>
        <v>480.23818702013227</v>
      </c>
      <c r="BI31" s="59">
        <f ca="1">AVERAGE(OFFSET($BH$3,0,0,'Données projet'!$E$11+1,1))-AVERAGE(OFFSET($H$3,0,0,'Données projet'!$E$11+1,1))</f>
        <v>308.80022073574963</v>
      </c>
      <c r="BJ31" s="59">
        <f t="shared" si="38"/>
        <v>183.96267407004115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28.6</v>
      </c>
      <c r="N32" s="13">
        <f>IF('Données projet'!$A$36&gt;35,N31+M32-V31,IF(A32&lt;'Données projet'!$A$36,$K$205^A32,IF(A32='Données projet'!$A$36,'Données projet'!$B$36,N31+M32-V31)))</f>
        <v>314.40000000000015</v>
      </c>
      <c r="O32" s="13">
        <f>N32*VLOOKUP('Données projet'!$B$9,Paramètres!$A$1:$I$89,3,0)*VLOOKUP('Données projet'!$B$9,Paramètres!$A$1:$I$89,5,0)</f>
        <v>147.13920000000007</v>
      </c>
      <c r="P32" s="13">
        <f t="shared" si="33"/>
        <v>37.927731746477185</v>
      </c>
      <c r="Q32" s="20">
        <f t="shared" si="2"/>
        <v>322.32490612511452</v>
      </c>
      <c r="R32" s="59">
        <f t="shared" si="0"/>
        <v>615.65823945844784</v>
      </c>
      <c r="S32" s="59">
        <f ca="1">AVERAGE(OFFSET($R$3,0,0,'Données projet'!$E$9+1,1))-AVERAGE(OFFSET($H$3,0,0,'Données projet'!$E$9+1,1))</f>
        <v>379.12827535040157</v>
      </c>
      <c r="T32" s="59">
        <f t="shared" si="34"/>
        <v>317.29813413796956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21.30869148532544</v>
      </c>
      <c r="AB32" s="21">
        <f>EXP(-LN(2)/2)*AB31+(1-EXP(-LN(2)/2))/(LN(2)/2)*V32*Y32*VLOOKUP('Données projet'!$B$9,Paramètres!$A$1:$I$89,3,0)*0.475*44/12</f>
        <v>0.60886324751686516</v>
      </c>
      <c r="AC32" s="22">
        <f t="shared" si="3"/>
        <v>21.917554732842305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28</v>
      </c>
      <c r="AI32" s="13">
        <f>IF('Données projet'!$A$62&gt;35,AI31+AH32-AQ31,IF(A32&lt;'Données projet'!$A$62,$AF$205^A32,IF(A32='Données projet'!$A$62,'Données projet'!$B$62,AI31+AH32-AQ31)))</f>
        <v>393</v>
      </c>
      <c r="AJ32" s="13">
        <f>AI32*VLOOKUP('Données projet'!$B$10,Paramètres!$A$1:$I$89,3,0)*VLOOKUP('Données projet'!$B$10,Paramètres!$A$1:$I$89,5,0)</f>
        <v>219.68700000000001</v>
      </c>
      <c r="AK32" s="13">
        <f t="shared" si="35"/>
        <v>54.046851081096591</v>
      </c>
      <c r="AL32" s="20">
        <f t="shared" si="4"/>
        <v>476.75312396624321</v>
      </c>
      <c r="AM32" s="59">
        <f t="shared" si="5"/>
        <v>770.08645729957652</v>
      </c>
      <c r="AN32" s="59">
        <f ca="1">AVERAGE(OFFSET($AM$3,0,0,'Données projet'!$E$10+1,1))-AVERAGE(OFFSET($H$3,0,0,'Données projet'!$E$10+1,1))</f>
        <v>382.55387448074327</v>
      </c>
      <c r="AO32" s="59">
        <f t="shared" si="36"/>
        <v>476.29465646955543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8.5443910332834783</v>
      </c>
      <c r="AX32" s="21">
        <f t="shared" si="6"/>
        <v>8.5443910332834783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</v>
      </c>
      <c r="BD32" s="12">
        <f>IF('Données projet'!$A$88&gt;35,BD31+BC32-BL31,IF(A32&lt;'Données projet'!$A$88,$BA$205^A32,IF(A32='Données projet'!$A$88,'Données projet'!$B$88,BD31+BC32-BL31)))</f>
        <v>90</v>
      </c>
      <c r="BE32" s="13">
        <f>BD32*VLOOKUP('Données projet'!$B$11,Paramètres!$A$1:$I$89,3,0)*VLOOKUP('Données projet'!$B$11,Paramètres!$A$1:$I$89,5,0)</f>
        <v>91.26</v>
      </c>
      <c r="BF32" s="13">
        <f t="shared" si="37"/>
        <v>24.868860330902777</v>
      </c>
      <c r="BG32" s="20">
        <f t="shared" si="7"/>
        <v>202.25776507632233</v>
      </c>
      <c r="BH32" s="59">
        <f t="shared" si="8"/>
        <v>495.59109840965561</v>
      </c>
      <c r="BI32" s="59">
        <f ca="1">AVERAGE(OFFSET($BH$3,0,0,'Données projet'!$E$11+1,1))-AVERAGE(OFFSET($H$3,0,0,'Données projet'!$E$11+1,1))</f>
        <v>308.80022073574963</v>
      </c>
      <c r="BJ32" s="59">
        <f t="shared" si="38"/>
        <v>183.96267407004115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343</v>
      </c>
      <c r="L33" s="12">
        <f>VLOOKUP(A33,'Données projet'!$A$35:$I$55,9,0)</f>
        <v>28.6</v>
      </c>
      <c r="M33" s="12">
        <f t="array" ref="M33">INDEX(L:L,MIN(IF(ISNUMBER(L33:L229),ROW(L33:L229),"")))</f>
        <v>28.6</v>
      </c>
      <c r="N33" s="13">
        <f>IF('Données projet'!$A$36&gt;35,N32+M33-V32,IF(A33&lt;'Données projet'!$A$36,$K$205^A33,IF(A33='Données projet'!$A$36,'Données projet'!$B$36,N32+M33-V32)))</f>
        <v>343.00000000000017</v>
      </c>
      <c r="O33" s="13">
        <f>N33*VLOOKUP('Données projet'!$B$9,Paramètres!$A$1:$I$89,3,0)*VLOOKUP('Données projet'!$B$9,Paramètres!$A$1:$I$89,5,0)</f>
        <v>160.52400000000009</v>
      </c>
      <c r="P33" s="13">
        <f t="shared" si="33"/>
        <v>40.960682569221582</v>
      </c>
      <c r="Q33" s="20">
        <f t="shared" si="2"/>
        <v>350.91915547472769</v>
      </c>
      <c r="R33" s="59">
        <f t="shared" si="0"/>
        <v>644.252488808061</v>
      </c>
      <c r="S33" s="59">
        <f ca="1">AVERAGE(OFFSET($R$3,0,0,'Données projet'!$E$9+1,1))-AVERAGE(OFFSET($H$3,0,0,'Données projet'!$E$9+1,1))</f>
        <v>379.12827535040157</v>
      </c>
      <c r="T33" s="59">
        <f t="shared" si="34"/>
        <v>317.29813413796956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70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44.533931121786971</v>
      </c>
      <c r="AB33" s="21">
        <f>EXP(-LN(2)/2)*AB32+(1-EXP(-LN(2)/2))/(LN(2)/2)*V33*Y33*VLOOKUP('Données projet'!$B$9,Paramètres!$A$1:$I$89,3,0)*0.475*44/12</f>
        <v>0.4305313311344387</v>
      </c>
      <c r="AC33" s="22">
        <f t="shared" si="3"/>
        <v>44.96446245292141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421</v>
      </c>
      <c r="AG33" s="12">
        <f>VLOOKUP(A33,'Données projet'!$A$61:$I$81,9,0)</f>
        <v>28</v>
      </c>
      <c r="AH33" s="12">
        <f t="array" ref="AH33">INDEX(AG:AG,MIN(IF(ISNUMBER(AG33:AG229),ROW(AG33:AG229),"")))</f>
        <v>28</v>
      </c>
      <c r="AI33" s="13">
        <f>IF('Données projet'!$A$62&gt;35,AI32+AH33-AQ32,IF(A33&lt;'Données projet'!$A$62,$AF$205^A33,IF(A33='Données projet'!$A$62,'Données projet'!$B$62,AI32+AH33-AQ32)))</f>
        <v>421</v>
      </c>
      <c r="AJ33" s="13">
        <f>AI33*VLOOKUP('Données projet'!$B$10,Paramètres!$A$1:$I$89,3,0)*VLOOKUP('Données projet'!$B$10,Paramètres!$A$1:$I$89,5,0)</f>
        <v>235.339</v>
      </c>
      <c r="AK33" s="13">
        <f t="shared" si="35"/>
        <v>57.43555185051494</v>
      </c>
      <c r="AL33" s="20">
        <f t="shared" si="4"/>
        <v>509.91567780631357</v>
      </c>
      <c r="AM33" s="59">
        <f t="shared" si="5"/>
        <v>803.24901113964688</v>
      </c>
      <c r="AN33" s="59">
        <f ca="1">AVERAGE(OFFSET($AM$3,0,0,'Données projet'!$E$10+1,1))-AVERAGE(OFFSET($H$3,0,0,'Données projet'!$E$10+1,1))</f>
        <v>382.55387448074327</v>
      </c>
      <c r="AO33" s="59">
        <f t="shared" si="36"/>
        <v>476.29465646955543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54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0.55000000000000004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21.937304095826462</v>
      </c>
      <c r="AW33" s="21">
        <f>EXP(-LN(2)/2)*AW32+(1-EXP(-LN(2)/2))/(LN(2)/2)*AQ33*AT33*VLOOKUP('Données projet'!$B$10,Paramètres!$A$1:$I$89,3,0)*0.475*44/12</f>
        <v>6.0417968407442793</v>
      </c>
      <c r="AX33" s="21">
        <f t="shared" si="6"/>
        <v>27.979100936570742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97</v>
      </c>
      <c r="BB33" s="12">
        <f>VLOOKUP(A33,'Données projet'!$A$87:$I$107,9,0)</f>
        <v>7</v>
      </c>
      <c r="BC33" s="12">
        <f t="array" ref="BC33">INDEX(BB:BB,MIN(IF(ISNUMBER(BB33:BB229),ROW(BB33:BB229),"")))</f>
        <v>7</v>
      </c>
      <c r="BD33" s="12">
        <f>IF('Données projet'!$A$88&gt;35,BD32+BC33-BL32,IF(A33&lt;'Données projet'!$A$88,$BA$205^A33,IF(A33='Données projet'!$A$88,'Données projet'!$B$88,BD32+BC33-BL32)))</f>
        <v>97</v>
      </c>
      <c r="BE33" s="13">
        <f>BD33*VLOOKUP('Données projet'!$B$11,Paramètres!$A$1:$I$89,3,0)*VLOOKUP('Données projet'!$B$11,Paramètres!$A$1:$I$89,5,0)</f>
        <v>98.358000000000004</v>
      </c>
      <c r="BF33" s="13">
        <f t="shared" si="37"/>
        <v>26.570437554143126</v>
      </c>
      <c r="BG33" s="20">
        <f t="shared" si="7"/>
        <v>217.58369540679928</v>
      </c>
      <c r="BH33" s="59">
        <f t="shared" si="8"/>
        <v>510.91702874013259</v>
      </c>
      <c r="BI33" s="59">
        <f ca="1">AVERAGE(OFFSET($BH$3,0,0,'Données projet'!$E$11+1,1))-AVERAGE(OFFSET($H$3,0,0,'Données projet'!$E$11+1,1))</f>
        <v>308.80022073574963</v>
      </c>
      <c r="BJ33" s="59">
        <f t="shared" si="38"/>
        <v>183.96267407004115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29</v>
      </c>
      <c r="N34" s="13">
        <f>IF('Données projet'!$A$36&gt;35,N33+M34-V33,IF(A34&lt;'Données projet'!$A$36,$K$205^A34,IF(A34='Données projet'!$A$36,'Données projet'!$B$36,N33+M34-V33)))</f>
        <v>302.00000000000017</v>
      </c>
      <c r="O34" s="13">
        <f>N34*VLOOKUP('Données projet'!$B$9,Paramètres!$A$1:$I$89,3,0)*VLOOKUP('Données projet'!$B$9,Paramètres!$A$1:$I$89,5,0)</f>
        <v>141.33600000000007</v>
      </c>
      <c r="P34" s="13">
        <f t="shared" si="33"/>
        <v>36.602894951566547</v>
      </c>
      <c r="Q34" s="20">
        <f t="shared" si="2"/>
        <v>309.91024204064519</v>
      </c>
      <c r="R34" s="59">
        <f t="shared" si="0"/>
        <v>603.2435753739785</v>
      </c>
      <c r="S34" s="59">
        <f ca="1">AVERAGE(OFFSET($R$3,0,0,'Données projet'!$E$9+1,1))-AVERAGE(OFFSET($H$3,0,0,'Données projet'!$E$9+1,1))</f>
        <v>379.12827535040157</v>
      </c>
      <c r="T34" s="59">
        <f t="shared" si="34"/>
        <v>317.29813413796956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43.316148433324052</v>
      </c>
      <c r="AB34" s="21">
        <f>EXP(-LN(2)/2)*AB33+(1-EXP(-LN(2)/2))/(LN(2)/2)*V34*Y34*VLOOKUP('Données projet'!$B$9,Paramètres!$A$1:$I$89,3,0)*0.475*44/12</f>
        <v>0.30443162375843258</v>
      </c>
      <c r="AC34" s="22">
        <f t="shared" si="3"/>
        <v>43.620580057082485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27.6</v>
      </c>
      <c r="AI34" s="13">
        <f>IF('Données projet'!$A$62&gt;35,AI33+AH34-AQ33,IF(A34&lt;'Données projet'!$A$62,$AF$205^A34,IF(A34='Données projet'!$A$62,'Données projet'!$B$62,AI33+AH34-AQ33)))</f>
        <v>394.6</v>
      </c>
      <c r="AJ34" s="13">
        <f>AI34*VLOOKUP('Données projet'!$B$10,Paramètres!$A$1:$I$89,3,0)*VLOOKUP('Données projet'!$B$10,Paramètres!$A$1:$I$89,5,0)</f>
        <v>220.5814</v>
      </c>
      <c r="AK34" s="13">
        <f t="shared" si="35"/>
        <v>54.241230721401301</v>
      </c>
      <c r="AL34" s="20">
        <f t="shared" si="4"/>
        <v>478.64941517310723</v>
      </c>
      <c r="AM34" s="59">
        <f t="shared" si="5"/>
        <v>771.98274850644054</v>
      </c>
      <c r="AN34" s="59">
        <f ca="1">AVERAGE(OFFSET($AM$3,0,0,'Données projet'!$E$10+1,1))-AVERAGE(OFFSET($H$3,0,0,'Données projet'!$E$10+1,1))</f>
        <v>382.55387448074327</v>
      </c>
      <c r="AO34" s="59">
        <f t="shared" si="36"/>
        <v>476.29465646955543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21.337427361693404</v>
      </c>
      <c r="AW34" s="21">
        <f>EXP(-LN(2)/2)*AW33+(1-EXP(-LN(2)/2))/(LN(2)/2)*AQ34*AT34*VLOOKUP('Données projet'!$B$10,Paramètres!$A$1:$I$89,3,0)*0.475*44/12</f>
        <v>4.2721955166417391</v>
      </c>
      <c r="AX34" s="21">
        <f t="shared" si="6"/>
        <v>25.609622878335145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</v>
      </c>
      <c r="BD34" s="12">
        <f>IF('Données projet'!$A$88&gt;35,BD33+BC34-BL33,IF(A34&lt;'Données projet'!$A$88,$BA$205^A34,IF(A34='Données projet'!$A$88,'Données projet'!$B$88,BD33+BC34-BL33)))</f>
        <v>84</v>
      </c>
      <c r="BE34" s="13">
        <f>BD34*VLOOKUP('Données projet'!$B$11,Paramètres!$A$1:$I$89,3,0)*VLOOKUP('Données projet'!$B$11,Paramètres!$A$1:$I$89,5,0)</f>
        <v>85.176000000000002</v>
      </c>
      <c r="BF34" s="13">
        <f t="shared" si="37"/>
        <v>23.398088487656441</v>
      </c>
      <c r="BG34" s="20">
        <f t="shared" si="7"/>
        <v>189.09987078266829</v>
      </c>
      <c r="BH34" s="59">
        <f t="shared" si="8"/>
        <v>482.4332041160016</v>
      </c>
      <c r="BI34" s="59">
        <f ca="1">AVERAGE(OFFSET($BH$3,0,0,'Données projet'!$E$11+1,1))-AVERAGE(OFFSET($H$3,0,0,'Données projet'!$E$11+1,1))</f>
        <v>308.80022073574963</v>
      </c>
      <c r="BJ34" s="59">
        <f t="shared" si="38"/>
        <v>183.96267407004115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29</v>
      </c>
      <c r="N35" s="13">
        <f>IF('Données projet'!$A$36&gt;35,N34+M35-V34,IF(A35&lt;'Données projet'!$A$36,$K$205^A35,IF(A35='Données projet'!$A$36,'Données projet'!$B$36,N34+M35-V34)))</f>
        <v>331.00000000000017</v>
      </c>
      <c r="O35" s="13">
        <f>N35*VLOOKUP('Données projet'!$B$9,Paramètres!$A$1:$I$89,3,0)*VLOOKUP('Données projet'!$B$9,Paramètres!$A$1:$I$89,5,0)</f>
        <v>154.90800000000007</v>
      </c>
      <c r="P35" s="13">
        <f t="shared" si="33"/>
        <v>39.691847670151908</v>
      </c>
      <c r="Q35" s="20">
        <f t="shared" ref="Q35:Q66" si="53">(O35+P35)*0.475*44/12</f>
        <v>338.92806802551468</v>
      </c>
      <c r="R35" s="59">
        <f t="shared" si="0"/>
        <v>632.26140135884793</v>
      </c>
      <c r="S35" s="59">
        <f ca="1">AVERAGE(OFFSET($R$3,0,0,'Données projet'!$E$9+1,1))-AVERAGE(OFFSET($H$3,0,0,'Données projet'!$E$9+1,1))</f>
        <v>379.12827535040157</v>
      </c>
      <c r="T35" s="59">
        <f t="shared" si="34"/>
        <v>317.29813413796956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42.131666076517561</v>
      </c>
      <c r="AB35" s="21">
        <f>EXP(-LN(2)/2)*AB34+(1-EXP(-LN(2)/2))/(LN(2)/2)*V35*Y35*VLOOKUP('Données projet'!$B$9,Paramètres!$A$1:$I$89,3,0)*0.475*44/12</f>
        <v>0.21526566556721935</v>
      </c>
      <c r="AC35" s="22">
        <f t="shared" si="3"/>
        <v>42.346931742084777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27.6</v>
      </c>
      <c r="AI35" s="13">
        <f>IF('Données projet'!$A$62&gt;35,AI34+AH35-AQ34,IF(A35&lt;'Données projet'!$A$62,$AF$205^A35,IF(A35='Données projet'!$A$62,'Données projet'!$B$62,AI34+AH35-AQ34)))</f>
        <v>422.20000000000005</v>
      </c>
      <c r="AJ35" s="13">
        <f>AI35*VLOOKUP('Données projet'!$B$10,Paramètres!$A$1:$I$89,3,0)*VLOOKUP('Données projet'!$B$10,Paramètres!$A$1:$I$89,5,0)</f>
        <v>236.00980000000004</v>
      </c>
      <c r="AK35" s="13">
        <f t="shared" si="35"/>
        <v>57.580183613654185</v>
      </c>
      <c r="AL35" s="20">
        <f t="shared" si="4"/>
        <v>511.3358881271144</v>
      </c>
      <c r="AM35" s="59">
        <f t="shared" si="5"/>
        <v>804.66922146044772</v>
      </c>
      <c r="AN35" s="59">
        <f ca="1">AVERAGE(OFFSET($AM$3,0,0,'Données projet'!$E$10+1,1))-AVERAGE(OFFSET($H$3,0,0,'Données projet'!$E$10+1,1))</f>
        <v>382.55387448074327</v>
      </c>
      <c r="AO35" s="59">
        <f t="shared" si="36"/>
        <v>476.29465646955543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20.75395428840136</v>
      </c>
      <c r="AW35" s="21">
        <f>EXP(-LN(2)/2)*AW34+(1-EXP(-LN(2)/2))/(LN(2)/2)*AQ35*AT35*VLOOKUP('Données projet'!$B$10,Paramètres!$A$1:$I$89,3,0)*0.475*44/12</f>
        <v>3.0208984203721396</v>
      </c>
      <c r="AX35" s="21">
        <f t="shared" si="6"/>
        <v>23.774852708773501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</v>
      </c>
      <c r="BD35" s="12">
        <f>IF('Données projet'!$A$88&gt;35,BD34+BC35-BL34,IF(A35&lt;'Données projet'!$A$88,$BA$205^A35,IF(A35='Données projet'!$A$88,'Données projet'!$B$88,BD34+BC35-BL34)))</f>
        <v>92</v>
      </c>
      <c r="BE35" s="13">
        <f>BD35*VLOOKUP('Données projet'!$B$11,Paramètres!$A$1:$I$89,3,0)*VLOOKUP('Données projet'!$B$11,Paramètres!$A$1:$I$89,5,0)</f>
        <v>93.288000000000011</v>
      </c>
      <c r="BF35" s="13">
        <f t="shared" si="37"/>
        <v>25.356547829040977</v>
      </c>
      <c r="BG35" s="20">
        <f t="shared" si="7"/>
        <v>206.63925413557971</v>
      </c>
      <c r="BH35" s="59">
        <f t="shared" si="8"/>
        <v>499.97258746891305</v>
      </c>
      <c r="BI35" s="59">
        <f ca="1">AVERAGE(OFFSET($BH$3,0,0,'Données projet'!$E$11+1,1))-AVERAGE(OFFSET($H$3,0,0,'Données projet'!$E$11+1,1))</f>
        <v>308.80022073574963</v>
      </c>
      <c r="BJ35" s="59">
        <f t="shared" si="38"/>
        <v>183.96267407004115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29</v>
      </c>
      <c r="N36" s="13">
        <f>IF('Données projet'!$A$36&gt;35,N35+M36-V35,IF(A36&lt;'Données projet'!$A$36,$K$205^A36,IF(A36='Données projet'!$A$36,'Données projet'!$B$36,N35+M36-V35)))</f>
        <v>360.00000000000017</v>
      </c>
      <c r="O36" s="13">
        <f>N36*VLOOKUP('Données projet'!$B$9,Paramètres!$A$1:$I$89,3,0)*VLOOKUP('Données projet'!$B$9,Paramètres!$A$1:$I$89,5,0)</f>
        <v>168.48000000000008</v>
      </c>
      <c r="P36" s="13">
        <f t="shared" si="33"/>
        <v>42.749416405385382</v>
      </c>
      <c r="Q36" s="20">
        <f t="shared" si="53"/>
        <v>367.89123357271296</v>
      </c>
      <c r="R36" s="59">
        <f t="shared" si="0"/>
        <v>661.22456690604622</v>
      </c>
      <c r="S36" s="59">
        <f ca="1">AVERAGE(OFFSET($R$3,0,0,'Données projet'!$E$9+1,1))-AVERAGE(OFFSET($H$3,0,0,'Données projet'!$E$9+1,1))</f>
        <v>379.12827535040157</v>
      </c>
      <c r="T36" s="59">
        <f t="shared" si="34"/>
        <v>317.29813413796956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40.979573452047163</v>
      </c>
      <c r="AB36" s="21">
        <f>EXP(-LN(2)/2)*AB35+(1-EXP(-LN(2)/2))/(LN(2)/2)*V36*Y36*VLOOKUP('Données projet'!$B$9,Paramètres!$A$1:$I$89,3,0)*0.475*44/12</f>
        <v>0.15221581187921629</v>
      </c>
      <c r="AC36" s="22">
        <f t="shared" si="3"/>
        <v>41.131789263926379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27.6</v>
      </c>
      <c r="AI36" s="13">
        <f>IF('Données projet'!$A$62&gt;35,AI35+AH36-AQ35,IF(A36&lt;'Données projet'!$A$62,$AF$205^A36,IF(A36='Données projet'!$A$62,'Données projet'!$B$62,AI35+AH36-AQ35)))</f>
        <v>449.80000000000007</v>
      </c>
      <c r="AJ36" s="13">
        <f>AI36*VLOOKUP('Données projet'!$B$10,Paramètres!$A$1:$I$89,3,0)*VLOOKUP('Données projet'!$B$10,Paramètres!$A$1:$I$89,5,0)</f>
        <v>251.43820000000002</v>
      </c>
      <c r="AK36" s="13">
        <f t="shared" si="35"/>
        <v>60.893806844597648</v>
      </c>
      <c r="AL36" s="20">
        <f t="shared" si="4"/>
        <v>543.978245254341</v>
      </c>
      <c r="AM36" s="59">
        <f t="shared" si="5"/>
        <v>837.31157858767438</v>
      </c>
      <c r="AN36" s="59">
        <f ca="1">AVERAGE(OFFSET($AM$3,0,0,'Données projet'!$E$10+1,1))-AVERAGE(OFFSET($H$3,0,0,'Données projet'!$E$10+1,1))</f>
        <v>382.55387448074327</v>
      </c>
      <c r="AO36" s="59">
        <f t="shared" si="36"/>
        <v>476.29465646955543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20.186436316982004</v>
      </c>
      <c r="AW36" s="21">
        <f>EXP(-LN(2)/2)*AW35+(1-EXP(-LN(2)/2))/(LN(2)/2)*AQ36*AT36*VLOOKUP('Données projet'!$B$10,Paramètres!$A$1:$I$89,3,0)*0.475*44/12</f>
        <v>2.1360977583208696</v>
      </c>
      <c r="AX36" s="21">
        <f t="shared" si="6"/>
        <v>22.322534075302872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</v>
      </c>
      <c r="BD36" s="12">
        <f>IF('Données projet'!$A$88&gt;35,BD35+BC36-BL35,IF(A36&lt;'Données projet'!$A$88,$BA$205^A36,IF(A36='Données projet'!$A$88,'Données projet'!$B$88,BD35+BC36-BL35)))</f>
        <v>100</v>
      </c>
      <c r="BE36" s="13">
        <f>BD36*VLOOKUP('Données projet'!$B$11,Paramètres!$A$1:$I$89,3,0)*VLOOKUP('Données projet'!$B$11,Paramètres!$A$1:$I$89,5,0)</f>
        <v>101.4</v>
      </c>
      <c r="BF36" s="13">
        <f t="shared" si="37"/>
        <v>27.295257887453797</v>
      </c>
      <c r="BG36" s="20">
        <f t="shared" si="7"/>
        <v>224.14424082064872</v>
      </c>
      <c r="BH36" s="59">
        <f t="shared" si="8"/>
        <v>517.477574153982</v>
      </c>
      <c r="BI36" s="59">
        <f ca="1">AVERAGE(OFFSET($BH$3,0,0,'Données projet'!$E$11+1,1))-AVERAGE(OFFSET($H$3,0,0,'Données projet'!$E$11+1,1))</f>
        <v>308.80022073574963</v>
      </c>
      <c r="BJ36" s="59">
        <f t="shared" si="38"/>
        <v>183.96267407004115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29</v>
      </c>
      <c r="N37" s="13">
        <f>IF('Données projet'!$A$36&gt;35,N36+M37-V36,IF(A37&lt;'Données projet'!$A$36,$K$205^A37,IF(A37='Données projet'!$A$36,'Données projet'!$B$36,N36+M37-V36)))</f>
        <v>389.00000000000017</v>
      </c>
      <c r="O37" s="13">
        <f>N37*VLOOKUP('Données projet'!$B$9,Paramètres!$A$1:$I$89,3,0)*VLOOKUP('Données projet'!$B$9,Paramètres!$A$1:$I$89,5,0)</f>
        <v>182.05200000000008</v>
      </c>
      <c r="P37" s="13">
        <f t="shared" si="33"/>
        <v>45.778416738029613</v>
      </c>
      <c r="Q37" s="20">
        <f t="shared" si="53"/>
        <v>396.8046424854017</v>
      </c>
      <c r="R37" s="59">
        <f t="shared" si="0"/>
        <v>690.13797581873496</v>
      </c>
      <c r="S37" s="59">
        <f ca="1">AVERAGE(OFFSET($R$3,0,0,'Données projet'!$E$9+1,1))-AVERAGE(OFFSET($H$3,0,0,'Données projet'!$E$9+1,1))</f>
        <v>379.12827535040157</v>
      </c>
      <c r="T37" s="59">
        <f t="shared" si="34"/>
        <v>317.29813413796956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39.858984860978822</v>
      </c>
      <c r="AB37" s="21">
        <f>EXP(-LN(2)/2)*AB36+(1-EXP(-LN(2)/2))/(LN(2)/2)*V37*Y37*VLOOKUP('Données projet'!$B$9,Paramètres!$A$1:$I$89,3,0)*0.475*44/12</f>
        <v>0.10763283278360967</v>
      </c>
      <c r="AC37" s="22">
        <f t="shared" si="3"/>
        <v>39.96661769376243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27.6</v>
      </c>
      <c r="AI37" s="13">
        <f>IF('Données projet'!$A$62&gt;35,AI36+AH37-AQ36,IF(A37&lt;'Données projet'!$A$62,$AF$205^A37,IF(A37='Données projet'!$A$62,'Données projet'!$B$62,AI36+AH37-AQ36)))</f>
        <v>477.40000000000009</v>
      </c>
      <c r="AJ37" s="13">
        <f>AI37*VLOOKUP('Données projet'!$B$10,Paramètres!$A$1:$I$89,3,0)*VLOOKUP('Données projet'!$B$10,Paramètres!$A$1:$I$89,5,0)</f>
        <v>266.86660000000006</v>
      </c>
      <c r="AK37" s="13">
        <f t="shared" si="35"/>
        <v>64.183831628008477</v>
      </c>
      <c r="AL37" s="20">
        <f t="shared" si="4"/>
        <v>576.57950175211477</v>
      </c>
      <c r="AM37" s="59">
        <f t="shared" si="5"/>
        <v>869.91283508544802</v>
      </c>
      <c r="AN37" s="59">
        <f ca="1">AVERAGE(OFFSET($AM$3,0,0,'Données projet'!$E$10+1,1))-AVERAGE(OFFSET($H$3,0,0,'Données projet'!$E$10+1,1))</f>
        <v>382.55387448074327</v>
      </c>
      <c r="AO37" s="59">
        <f t="shared" si="36"/>
        <v>476.29465646955543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19.634437154335583</v>
      </c>
      <c r="AW37" s="21">
        <f>EXP(-LN(2)/2)*AW36+(1-EXP(-LN(2)/2))/(LN(2)/2)*AQ37*AT37*VLOOKUP('Données projet'!$B$10,Paramètres!$A$1:$I$89,3,0)*0.475*44/12</f>
        <v>1.5104492101860698</v>
      </c>
      <c r="AX37" s="21">
        <f t="shared" si="6"/>
        <v>21.144886364521653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</v>
      </c>
      <c r="BD37" s="12">
        <f>IF('Données projet'!$A$88&gt;35,BD36+BC37-BL36,IF(A37&lt;'Données projet'!$A$88,$BA$205^A37,IF(A37='Données projet'!$A$88,'Données projet'!$B$88,BD36+BC37-BL36)))</f>
        <v>108</v>
      </c>
      <c r="BE37" s="13">
        <f>BD37*VLOOKUP('Données projet'!$B$11,Paramètres!$A$1:$I$89,3,0)*VLOOKUP('Données projet'!$B$11,Paramètres!$A$1:$I$89,5,0)</f>
        <v>109.51200000000001</v>
      </c>
      <c r="BF37" s="13">
        <f t="shared" si="37"/>
        <v>29.215978230632555</v>
      </c>
      <c r="BG37" s="20">
        <f t="shared" si="7"/>
        <v>241.61789541835174</v>
      </c>
      <c r="BH37" s="59">
        <f t="shared" si="8"/>
        <v>534.95122875168499</v>
      </c>
      <c r="BI37" s="59">
        <f ca="1">AVERAGE(OFFSET($BH$3,0,0,'Données projet'!$E$11+1,1))-AVERAGE(OFFSET($H$3,0,0,'Données projet'!$E$11+1,1))</f>
        <v>308.80022073574963</v>
      </c>
      <c r="BJ37" s="59">
        <f t="shared" si="38"/>
        <v>183.96267407004115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418</v>
      </c>
      <c r="L38" s="12">
        <f>VLOOKUP(A38,'Données projet'!$A$35:$I$55,9,0)</f>
        <v>29</v>
      </c>
      <c r="M38" s="12">
        <f t="array" ref="M38">INDEX(L:L,MIN(IF(ISNUMBER(L38:L234),ROW(L38:L234),"")))</f>
        <v>29</v>
      </c>
      <c r="N38" s="13">
        <f>IF('Données projet'!$A$36&gt;35,N37+M38-V37,IF(A38&lt;'Données projet'!$A$36,$K$205^A38,IF(A38='Données projet'!$A$36,'Données projet'!$B$36,N37+M38-V37)))</f>
        <v>418.00000000000017</v>
      </c>
      <c r="O38" s="13">
        <f>N38*VLOOKUP('Données projet'!$B$9,Paramètres!$A$1:$I$89,3,0)*VLOOKUP('Données projet'!$B$9,Paramètres!$A$1:$I$89,5,0)</f>
        <v>195.62400000000008</v>
      </c>
      <c r="P38" s="13">
        <f t="shared" si="33"/>
        <v>48.781220625276006</v>
      </c>
      <c r="Q38" s="20">
        <f t="shared" si="53"/>
        <v>425.67242592235584</v>
      </c>
      <c r="R38" s="59">
        <f t="shared" si="0"/>
        <v>719.0057592556891</v>
      </c>
      <c r="S38" s="59">
        <f ca="1">AVERAGE(OFFSET($R$3,0,0,'Données projet'!$E$9+1,1))-AVERAGE(OFFSET($H$3,0,0,'Données projet'!$E$9+1,1))</f>
        <v>379.12827535040157</v>
      </c>
      <c r="T38" s="59">
        <f t="shared" si="34"/>
        <v>317.29813413796956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70</v>
      </c>
      <c r="W38" s="16">
        <f>IF(ISNA(VLOOKUP(A38,'Données projet'!$A$35:$I$55,5,0)),0%,VLOOKUP(A38,'Données projet'!$A$35:$I$55,5,0)*VLOOKUP('Données projet'!$B$9,Paramètres!$A$1:$I$89,7,0))</f>
        <v>0.55000000000000004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23.902038358109635</v>
      </c>
      <c r="AA38" s="21">
        <f>EXP(-LN(2)/25)*AA37+(1-EXP(-LN(2)/25))/(LN(2)/25)*Calculateur!V38*Calculateur!X38*VLOOKUP('Données projet'!$B$9,Paramètres!$A$1:$I$89,3,0)*0.475*44/12</f>
        <v>38.769038823862438</v>
      </c>
      <c r="AB38" s="21">
        <f>EXP(-LN(2)/2)*AB37+(1-EXP(-LN(2)/2))/(LN(2)/2)*V38*Y38*VLOOKUP('Données projet'!$B$9,Paramètres!$A$1:$I$89,3,0)*0.475*44/12</f>
        <v>7.6107905939608145E-2</v>
      </c>
      <c r="AC38" s="22">
        <f t="shared" si="3"/>
        <v>62.747185087911681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505</v>
      </c>
      <c r="AG38" s="12">
        <f>VLOOKUP(A38,'Données projet'!$A$61:$I$81,9,0)</f>
        <v>27.6</v>
      </c>
      <c r="AH38" s="12">
        <f t="array" ref="AH38">INDEX(AG:AG,MIN(IF(ISNUMBER(AG38:AG234),ROW(AG38:AG234),"")))</f>
        <v>27.6</v>
      </c>
      <c r="AI38" s="13">
        <f>IF('Données projet'!$A$62&gt;35,AI37+AH38-AQ37,IF(A38&lt;'Données projet'!$A$62,$AF$205^A38,IF(A38='Données projet'!$A$62,'Données projet'!$B$62,AI37+AH38-AQ37)))</f>
        <v>505.00000000000011</v>
      </c>
      <c r="AJ38" s="13">
        <f>AI38*VLOOKUP('Données projet'!$B$10,Paramètres!$A$1:$I$89,3,0)*VLOOKUP('Données projet'!$B$10,Paramètres!$A$1:$I$89,5,0)</f>
        <v>282.29500000000007</v>
      </c>
      <c r="AK38" s="13">
        <f t="shared" si="35"/>
        <v>67.451777696853824</v>
      </c>
      <c r="AL38" s="20">
        <f t="shared" si="4"/>
        <v>609.14230448868716</v>
      </c>
      <c r="AM38" s="59">
        <f t="shared" si="5"/>
        <v>902.47563782202042</v>
      </c>
      <c r="AN38" s="59">
        <f ca="1">AVERAGE(OFFSET($AM$3,0,0,'Données projet'!$E$10+1,1))-AVERAGE(OFFSET($H$3,0,0,'Données projet'!$E$10+1,1))</f>
        <v>382.55387448074327</v>
      </c>
      <c r="AO38" s="59">
        <f t="shared" si="36"/>
        <v>476.29465646955543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69</v>
      </c>
      <c r="AR38" s="16">
        <f>IF(ISNA(VLOOKUP(A38,'Données projet'!$A$61:$I$81,5,0)),0%,VLOOKUP(A38,'Données projet'!$A$61:$I$81,5,0)*VLOOKUP('Données projet'!$B$10,Paramètres!$A$1:$I$89,7,0))</f>
        <v>0.55000000000000004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28.14180468591718</v>
      </c>
      <c r="AV38" s="21">
        <f>EXP(-LN(2)/25)*AV37+(1-EXP(-LN(2)/25))/(LN(2)/25)*Calculateur!AQ38*Calculateur!AS38*VLOOKUP('Données projet'!$B$10,Paramètres!$A$1:$I$89,3,0)*0.475*44/12</f>
        <v>19.097532437820103</v>
      </c>
      <c r="AW38" s="21">
        <f>EXP(-LN(2)/2)*AW37+(1-EXP(-LN(2)/2))/(LN(2)/2)*AQ38*AT38*VLOOKUP('Données projet'!$B$10,Paramètres!$A$1:$I$89,3,0)*0.475*44/12</f>
        <v>1.0680488791604348</v>
      </c>
      <c r="AX38" s="21">
        <f t="shared" si="6"/>
        <v>48.307386002897722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116</v>
      </c>
      <c r="BB38" s="12">
        <f>VLOOKUP(A38,'Données projet'!$A$87:$I$107,9,0)</f>
        <v>8</v>
      </c>
      <c r="BC38" s="12">
        <f t="array" ref="BC38">INDEX(BB:BB,MIN(IF(ISNUMBER(BB38:BB234),ROW(BB38:BB234),"")))</f>
        <v>8</v>
      </c>
      <c r="BD38" s="12">
        <f>IF('Données projet'!$A$88&gt;35,BD37+BC38-BL37,IF(A38&lt;'Données projet'!$A$88,$BA$205^A38,IF(A38='Données projet'!$A$88,'Données projet'!$B$88,BD37+BC38-BL37)))</f>
        <v>116</v>
      </c>
      <c r="BE38" s="13">
        <f>BD38*VLOOKUP('Données projet'!$B$11,Paramètres!$A$1:$I$89,3,0)*VLOOKUP('Données projet'!$B$11,Paramètres!$A$1:$I$89,5,0)</f>
        <v>117.62400000000001</v>
      </c>
      <c r="BF38" s="13">
        <f t="shared" si="37"/>
        <v>31.120192961985413</v>
      </c>
      <c r="BG38" s="20">
        <f t="shared" si="7"/>
        <v>259.06280274212457</v>
      </c>
      <c r="BH38" s="59">
        <f t="shared" si="8"/>
        <v>552.39613607545789</v>
      </c>
      <c r="BI38" s="59">
        <f ca="1">AVERAGE(OFFSET($BH$3,0,0,'Données projet'!$E$11+1,1))-AVERAGE(OFFSET($H$3,0,0,'Données projet'!$E$11+1,1))</f>
        <v>308.80022073574963</v>
      </c>
      <c r="BJ38" s="59">
        <f t="shared" si="38"/>
        <v>183.96267407004115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21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10.122151092563096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10.122151092563096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27.8</v>
      </c>
      <c r="N39" s="13">
        <f>IF('Données projet'!$A$36&gt;35,N38+M39-V38,IF(A39&lt;'Données projet'!$A$36,$K$205^A39,IF(A39='Données projet'!$A$36,'Données projet'!$B$36,N38+M39-V38)))</f>
        <v>375.80000000000018</v>
      </c>
      <c r="O39" s="13">
        <f>N39*VLOOKUP('Données projet'!$B$9,Paramètres!$A$1:$I$89,3,0)*VLOOKUP('Données projet'!$B$9,Paramètres!$A$1:$I$89,5,0)</f>
        <v>175.87440000000009</v>
      </c>
      <c r="P39" s="13">
        <f t="shared" si="33"/>
        <v>44.403081217424962</v>
      </c>
      <c r="Q39" s="20">
        <f t="shared" si="53"/>
        <v>383.64994645368193</v>
      </c>
      <c r="R39" s="59">
        <f t="shared" si="0"/>
        <v>676.98327978701525</v>
      </c>
      <c r="S39" s="59">
        <f ca="1">AVERAGE(OFFSET($R$3,0,0,'Données projet'!$E$9+1,1))-AVERAGE(OFFSET($H$3,0,0,'Données projet'!$E$9+1,1))</f>
        <v>379.12827535040157</v>
      </c>
      <c r="T39" s="59">
        <f t="shared" si="34"/>
        <v>317.29813413796956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23.433333964710968</v>
      </c>
      <c r="AA39" s="21">
        <f>EXP(-LN(2)/25)*AA38+(1-EXP(-LN(2)/25))/(LN(2)/25)*Calculateur!V39*Calculateur!X39*VLOOKUP('Données projet'!$B$9,Paramètres!$A$1:$I$89,3,0)*0.475*44/12</f>
        <v>37.708897418448778</v>
      </c>
      <c r="AB39" s="21">
        <f>EXP(-LN(2)/2)*AB38+(1-EXP(-LN(2)/2))/(LN(2)/2)*V39*Y39*VLOOKUP('Données projet'!$B$9,Paramètres!$A$1:$I$89,3,0)*0.475*44/12</f>
        <v>5.3816416391804837E-2</v>
      </c>
      <c r="AC39" s="22">
        <f t="shared" si="3"/>
        <v>61.19604779955155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25.6</v>
      </c>
      <c r="AI39" s="13">
        <f>IF('Données projet'!$A$62&gt;35,AI38+AH39-AQ38,IF(A39&lt;'Données projet'!$A$62,$AF$205^A39,IF(A39='Données projet'!$A$62,'Données projet'!$B$62,AI38+AH39-AQ38)))</f>
        <v>461.60000000000014</v>
      </c>
      <c r="AJ39" s="13">
        <f>AI39*VLOOKUP('Données projet'!$B$10,Paramètres!$A$1:$I$89,3,0)*VLOOKUP('Données projet'!$B$10,Paramètres!$A$1:$I$89,5,0)</f>
        <v>258.03440000000006</v>
      </c>
      <c r="AK39" s="13">
        <f t="shared" si="35"/>
        <v>62.303206596431174</v>
      </c>
      <c r="AL39" s="20">
        <f t="shared" si="4"/>
        <v>557.9213314887844</v>
      </c>
      <c r="AM39" s="59">
        <f t="shared" si="5"/>
        <v>851.25466482211777</v>
      </c>
      <c r="AN39" s="59">
        <f ca="1">AVERAGE(OFFSET($AM$3,0,0,'Données projet'!$E$10+1,1))-AVERAGE(OFFSET($H$3,0,0,'Données projet'!$E$10+1,1))</f>
        <v>382.55387448074327</v>
      </c>
      <c r="AO39" s="59">
        <f t="shared" si="36"/>
        <v>476.29465646955543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27.589961060832319</v>
      </c>
      <c r="AV39" s="21">
        <f>EXP(-LN(2)/25)*AV38+(1-EXP(-LN(2)/25))/(LN(2)/25)*Calculateur!AQ39*Calculateur!AS39*VLOOKUP('Données projet'!$B$10,Paramètres!$A$1:$I$89,3,0)*0.475*44/12</f>
        <v>18.575309409012331</v>
      </c>
      <c r="AW39" s="21">
        <f>EXP(-LN(2)/2)*AW38+(1-EXP(-LN(2)/2))/(LN(2)/2)*AQ39*AT39*VLOOKUP('Données projet'!$B$10,Paramètres!$A$1:$I$89,3,0)*0.475*44/12</f>
        <v>0.75522460509303491</v>
      </c>
      <c r="AX39" s="21">
        <f t="shared" si="6"/>
        <v>46.920495074937683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8.4</v>
      </c>
      <c r="BD39" s="12">
        <f>IF('Données projet'!$A$88&gt;35,BD38+BC39-BL38,IF(A39&lt;'Données projet'!$A$88,$BA$205^A39,IF(A39='Données projet'!$A$88,'Données projet'!$B$88,BD38+BC39-BL38)))</f>
        <v>103.4</v>
      </c>
      <c r="BE39" s="13">
        <f>BD39*VLOOKUP('Données projet'!$B$11,Paramètres!$A$1:$I$89,3,0)*VLOOKUP('Données projet'!$B$11,Paramètres!$A$1:$I$89,5,0)</f>
        <v>104.84760000000001</v>
      </c>
      <c r="BF39" s="13">
        <f t="shared" si="37"/>
        <v>28.113670466115643</v>
      </c>
      <c r="BG39" s="20">
        <f t="shared" si="7"/>
        <v>231.57421272848475</v>
      </c>
      <c r="BH39" s="59">
        <f t="shared" si="8"/>
        <v>524.90754606181804</v>
      </c>
      <c r="BI39" s="59">
        <f ca="1">AVERAGE(OFFSET($BH$3,0,0,'Données projet'!$E$11+1,1))-AVERAGE(OFFSET($H$3,0,0,'Données projet'!$E$11+1,1))</f>
        <v>308.80022073574963</v>
      </c>
      <c r="BJ39" s="59">
        <f t="shared" si="38"/>
        <v>183.96267407004115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9.9236618835404773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9.9236618835404773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27.8</v>
      </c>
      <c r="N40" s="13">
        <f>IF('Données projet'!$A$36&gt;35,N39+M40-V39,IF(A40&lt;'Données projet'!$A$36,$K$205^A40,IF(A40='Données projet'!$A$36,'Données projet'!$B$36,N39+M40-V39)))</f>
        <v>403.60000000000019</v>
      </c>
      <c r="O40" s="13">
        <f>N40*VLOOKUP('Données projet'!$B$9,Paramètres!$A$1:$I$89,3,0)*VLOOKUP('Données projet'!$B$9,Paramètres!$A$1:$I$89,5,0)</f>
        <v>188.8848000000001</v>
      </c>
      <c r="P40" s="13">
        <f t="shared" si="33"/>
        <v>47.293313556558964</v>
      </c>
      <c r="Q40" s="20">
        <f t="shared" si="53"/>
        <v>411.34354777767368</v>
      </c>
      <c r="R40" s="59">
        <f t="shared" si="0"/>
        <v>704.67688111100699</v>
      </c>
      <c r="S40" s="59">
        <f ca="1">AVERAGE(OFFSET($R$3,0,0,'Données projet'!$E$9+1,1))-AVERAGE(OFFSET($H$3,0,0,'Données projet'!$E$9+1,1))</f>
        <v>379.12827535040157</v>
      </c>
      <c r="T40" s="59">
        <f t="shared" si="34"/>
        <v>317.29813413796956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22.973820578585396</v>
      </c>
      <c r="AA40" s="21">
        <f>EXP(-LN(2)/25)*AA39+(1-EXP(-LN(2)/25))/(LN(2)/25)*Calculateur!V40*Calculateur!X40*VLOOKUP('Données projet'!$B$9,Paramètres!$A$1:$I$89,3,0)*0.475*44/12</f>
        <v>36.677745635516565</v>
      </c>
      <c r="AB40" s="21">
        <f>EXP(-LN(2)/2)*AB39+(1-EXP(-LN(2)/2))/(LN(2)/2)*V40*Y40*VLOOKUP('Données projet'!$B$9,Paramètres!$A$1:$I$89,3,0)*0.475*44/12</f>
        <v>3.8053952969804072E-2</v>
      </c>
      <c r="AC40" s="22">
        <f t="shared" si="3"/>
        <v>59.689620167071766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25.6</v>
      </c>
      <c r="AI40" s="13">
        <f>IF('Données projet'!$A$62&gt;35,AI39+AH40-AQ39,IF(A40&lt;'Données projet'!$A$62,$AF$205^A40,IF(A40='Données projet'!$A$62,'Données projet'!$B$62,AI39+AH40-AQ39)))</f>
        <v>487.20000000000016</v>
      </c>
      <c r="AJ40" s="13">
        <f>AI40*VLOOKUP('Données projet'!$B$10,Paramètres!$A$1:$I$89,3,0)*VLOOKUP('Données projet'!$B$10,Paramètres!$A$1:$I$89,5,0)</f>
        <v>272.34480000000008</v>
      </c>
      <c r="AK40" s="13">
        <f t="shared" si="35"/>
        <v>65.346644318451709</v>
      </c>
      <c r="AL40" s="20">
        <f t="shared" si="4"/>
        <v>588.14593218797006</v>
      </c>
      <c r="AM40" s="59">
        <f t="shared" si="5"/>
        <v>881.47926552130343</v>
      </c>
      <c r="AN40" s="59">
        <f ca="1">AVERAGE(OFFSET($AM$3,0,0,'Données projet'!$E$10+1,1))-AVERAGE(OFFSET($H$3,0,0,'Données projet'!$E$10+1,1))</f>
        <v>382.55387448074327</v>
      </c>
      <c r="AO40" s="59">
        <f t="shared" si="36"/>
        <v>476.29465646955543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27.048938752643995</v>
      </c>
      <c r="AV40" s="21">
        <f>EXP(-LN(2)/25)*AV39+(1-EXP(-LN(2)/25))/(LN(2)/25)*Calculateur!AQ40*Calculateur!AS40*VLOOKUP('Données projet'!$B$10,Paramètres!$A$1:$I$89,3,0)*0.475*44/12</f>
        <v>18.067366596389821</v>
      </c>
      <c r="AW40" s="21">
        <f>EXP(-LN(2)/2)*AW39+(1-EXP(-LN(2)/2))/(LN(2)/2)*AQ40*AT40*VLOOKUP('Données projet'!$B$10,Paramètres!$A$1:$I$89,3,0)*0.475*44/12</f>
        <v>0.53402443958021739</v>
      </c>
      <c r="AX40" s="21">
        <f t="shared" si="6"/>
        <v>45.65032978861403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8.4</v>
      </c>
      <c r="BD40" s="12">
        <f>IF('Données projet'!$A$88&gt;35,BD39+BC40-BL39,IF(A40&lt;'Données projet'!$A$88,$BA$205^A40,IF(A40='Données projet'!$A$88,'Données projet'!$B$88,BD39+BC40-BL39)))</f>
        <v>111.80000000000001</v>
      </c>
      <c r="BE40" s="13">
        <f>BD40*VLOOKUP('Données projet'!$B$11,Paramètres!$A$1:$I$89,3,0)*VLOOKUP('Données projet'!$B$11,Paramètres!$A$1:$I$89,5,0)</f>
        <v>113.36520000000003</v>
      </c>
      <c r="BF40" s="13">
        <f t="shared" si="37"/>
        <v>30.122456058687614</v>
      </c>
      <c r="BG40" s="20">
        <f t="shared" si="7"/>
        <v>249.9076676355476</v>
      </c>
      <c r="BH40" s="59">
        <f t="shared" si="8"/>
        <v>543.24100096888094</v>
      </c>
      <c r="BI40" s="59">
        <f ca="1">AVERAGE(OFFSET($BH$3,0,0,'Données projet'!$E$11+1,1))-AVERAGE(OFFSET($H$3,0,0,'Données projet'!$E$11+1,1))</f>
        <v>308.80022073574963</v>
      </c>
      <c r="BJ40" s="59">
        <f t="shared" si="38"/>
        <v>183.96267407004115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9.72906492684033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9.72906492684033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27.8</v>
      </c>
      <c r="N41" s="13">
        <f>IF('Données projet'!$A$36&gt;35,N40+M41-V40,IF(A41&lt;'Données projet'!$A$36,$K$205^A41,IF(A41='Données projet'!$A$36,'Données projet'!$B$36,N40+M41-V40)))</f>
        <v>431.4000000000002</v>
      </c>
      <c r="O41" s="13">
        <f>N41*VLOOKUP('Données projet'!$B$9,Paramètres!$A$1:$I$89,3,0)*VLOOKUP('Données projet'!$B$9,Paramètres!$A$1:$I$89,5,0)</f>
        <v>201.89520000000007</v>
      </c>
      <c r="P41" s="13">
        <f t="shared" si="33"/>
        <v>50.160446424092498</v>
      </c>
      <c r="Q41" s="20">
        <f t="shared" si="53"/>
        <v>438.99691752196122</v>
      </c>
      <c r="R41" s="59">
        <f t="shared" si="0"/>
        <v>732.33025085529448</v>
      </c>
      <c r="S41" s="59">
        <f ca="1">AVERAGE(OFFSET($R$3,0,0,'Données projet'!$E$9+1,1))-AVERAGE(OFFSET($H$3,0,0,'Données projet'!$E$9+1,1))</f>
        <v>379.12827535040157</v>
      </c>
      <c r="T41" s="59">
        <f t="shared" si="34"/>
        <v>317.29813413796956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22.523317969686257</v>
      </c>
      <c r="AA41" s="21">
        <f>EXP(-LN(2)/25)*AA40+(1-EXP(-LN(2)/25))/(LN(2)/25)*Calculateur!V41*Calculateur!X41*VLOOKUP('Données projet'!$B$9,Paramètres!$A$1:$I$89,3,0)*0.475*44/12</f>
        <v>35.67479075231455</v>
      </c>
      <c r="AB41" s="21">
        <f>EXP(-LN(2)/2)*AB40+(1-EXP(-LN(2)/2))/(LN(2)/2)*V41*Y41*VLOOKUP('Données projet'!$B$9,Paramètres!$A$1:$I$89,3,0)*0.475*44/12</f>
        <v>2.6908208195902419E-2</v>
      </c>
      <c r="AC41" s="22">
        <f t="shared" si="3"/>
        <v>58.225016930196716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25.6</v>
      </c>
      <c r="AI41" s="13">
        <f>IF('Données projet'!$A$62&gt;35,AI40+AH41-AQ40,IF(A41&lt;'Données projet'!$A$62,$AF$205^A41,IF(A41='Données projet'!$A$62,'Données projet'!$B$62,AI40+AH41-AQ40)))</f>
        <v>512.80000000000018</v>
      </c>
      <c r="AJ41" s="13">
        <f>AI41*VLOOKUP('Données projet'!$B$10,Paramètres!$A$1:$I$89,3,0)*VLOOKUP('Données projet'!$B$10,Paramètres!$A$1:$I$89,5,0)</f>
        <v>286.65520000000009</v>
      </c>
      <c r="AK41" s="13">
        <f t="shared" si="35"/>
        <v>68.37151538584105</v>
      </c>
      <c r="AL41" s="20">
        <f t="shared" si="4"/>
        <v>618.33819596367323</v>
      </c>
      <c r="AM41" s="59">
        <f t="shared" si="5"/>
        <v>911.6715292970066</v>
      </c>
      <c r="AN41" s="59">
        <f ca="1">AVERAGE(OFFSET($AM$3,0,0,'Données projet'!$E$10+1,1))-AVERAGE(OFFSET($H$3,0,0,'Données projet'!$E$10+1,1))</f>
        <v>382.55387448074327</v>
      </c>
      <c r="AO41" s="59">
        <f t="shared" si="36"/>
        <v>476.29465646955543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26.518525561928222</v>
      </c>
      <c r="AV41" s="21">
        <f>EXP(-LN(2)/25)*AV40+(1-EXP(-LN(2)/25))/(LN(2)/25)*Calculateur!AQ41*Calculateur!AS41*VLOOKUP('Données projet'!$B$10,Paramètres!$A$1:$I$89,3,0)*0.475*44/12</f>
        <v>17.573313506690024</v>
      </c>
      <c r="AW41" s="21">
        <f>EXP(-LN(2)/2)*AW40+(1-EXP(-LN(2)/2))/(LN(2)/2)*AQ41*AT41*VLOOKUP('Données projet'!$B$10,Paramètres!$A$1:$I$89,3,0)*0.475*44/12</f>
        <v>0.37761230254651745</v>
      </c>
      <c r="AX41" s="21">
        <f t="shared" si="6"/>
        <v>44.469451371164759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8.4</v>
      </c>
      <c r="BD41" s="12">
        <f>IF('Données projet'!$A$88&gt;35,BD40+BC41-BL40,IF(A41&lt;'Données projet'!$A$88,$BA$205^A41,IF(A41='Données projet'!$A$88,'Données projet'!$B$88,BD40+BC41-BL40)))</f>
        <v>120.20000000000002</v>
      </c>
      <c r="BE41" s="13">
        <f>BD41*VLOOKUP('Données projet'!$B$11,Paramètres!$A$1:$I$89,3,0)*VLOOKUP('Données projet'!$B$11,Paramètres!$A$1:$I$89,5,0)</f>
        <v>121.88280000000002</v>
      </c>
      <c r="BF41" s="13">
        <f t="shared" si="37"/>
        <v>32.113732800054677</v>
      </c>
      <c r="BG41" s="20">
        <f t="shared" si="7"/>
        <v>268.21062796009522</v>
      </c>
      <c r="BH41" s="59">
        <f t="shared" si="8"/>
        <v>561.54396129342854</v>
      </c>
      <c r="BI41" s="59">
        <f ca="1">AVERAGE(OFFSET($BH$3,0,0,'Données projet'!$E$11+1,1))-AVERAGE(OFFSET($H$3,0,0,'Données projet'!$E$11+1,1))</f>
        <v>308.80022073574963</v>
      </c>
      <c r="BJ41" s="59">
        <f t="shared" si="38"/>
        <v>183.96267407004115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9.5382838977686486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9.5382838977686486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27.8</v>
      </c>
      <c r="N42" s="13">
        <f>IF('Données projet'!$A$36&gt;35,N41+M42-V41,IF(A42&lt;'Données projet'!$A$36,$K$205^A42,IF(A42='Données projet'!$A$36,'Données projet'!$B$36,N41+M42-V41)))</f>
        <v>459.20000000000022</v>
      </c>
      <c r="O42" s="13">
        <f>N42*VLOOKUP('Données projet'!$B$9,Paramètres!$A$1:$I$89,3,0)*VLOOKUP('Données projet'!$B$9,Paramètres!$A$1:$I$89,5,0)</f>
        <v>214.90560000000011</v>
      </c>
      <c r="P42" s="13">
        <f t="shared" si="33"/>
        <v>53.006137800892326</v>
      </c>
      <c r="Q42" s="20">
        <f t="shared" si="53"/>
        <v>466.61294333655428</v>
      </c>
      <c r="R42" s="59">
        <f t="shared" si="0"/>
        <v>759.94627666988754</v>
      </c>
      <c r="S42" s="59">
        <f ca="1">AVERAGE(OFFSET($R$3,0,0,'Données projet'!$E$9+1,1))-AVERAGE(OFFSET($H$3,0,0,'Données projet'!$E$9+1,1))</f>
        <v>379.12827535040157</v>
      </c>
      <c r="T42" s="59">
        <f t="shared" si="34"/>
        <v>317.29813413796956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22.081649442168171</v>
      </c>
      <c r="AA42" s="21">
        <f>EXP(-LN(2)/25)*AA41+(1-EXP(-LN(2)/25))/(LN(2)/25)*Calculateur!V42*Calculateur!X42*VLOOKUP('Données projet'!$B$9,Paramètres!$A$1:$I$89,3,0)*0.475*44/12</f>
        <v>34.6992617231368</v>
      </c>
      <c r="AB42" s="21">
        <f>EXP(-LN(2)/2)*AB41+(1-EXP(-LN(2)/2))/(LN(2)/2)*V42*Y42*VLOOKUP('Données projet'!$B$9,Paramètres!$A$1:$I$89,3,0)*0.475*44/12</f>
        <v>1.9026976484902036E-2</v>
      </c>
      <c r="AC42" s="22">
        <f t="shared" si="3"/>
        <v>56.799938141789873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25.6</v>
      </c>
      <c r="AI42" s="13">
        <f>IF('Données projet'!$A$62&gt;35,AI41+AH42-AQ41,IF(A42&lt;'Données projet'!$A$62,$AF$205^A42,IF(A42='Données projet'!$A$62,'Données projet'!$B$62,AI41+AH42-AQ41)))</f>
        <v>538.4000000000002</v>
      </c>
      <c r="AJ42" s="13">
        <f>AI42*VLOOKUP('Données projet'!$B$10,Paramètres!$A$1:$I$89,3,0)*VLOOKUP('Données projet'!$B$10,Paramètres!$A$1:$I$89,5,0)</f>
        <v>300.96560000000011</v>
      </c>
      <c r="AK42" s="13">
        <f t="shared" si="35"/>
        <v>71.378852450242803</v>
      </c>
      <c r="AL42" s="20">
        <f t="shared" si="4"/>
        <v>648.49992135083971</v>
      </c>
      <c r="AM42" s="59">
        <f t="shared" si="5"/>
        <v>941.83325468417297</v>
      </c>
      <c r="AN42" s="59">
        <f ca="1">AVERAGE(OFFSET($AM$3,0,0,'Données projet'!$E$10+1,1))-AVERAGE(OFFSET($H$3,0,0,'Données projet'!$E$10+1,1))</f>
        <v>382.55387448074327</v>
      </c>
      <c r="AO42" s="59">
        <f t="shared" si="36"/>
        <v>476.29465646955543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25.998513450362282</v>
      </c>
      <c r="AV42" s="21">
        <f>EXP(-LN(2)/25)*AV41+(1-EXP(-LN(2)/25))/(LN(2)/25)*Calculateur!AQ42*Calculateur!AS42*VLOOKUP('Données projet'!$B$10,Paramètres!$A$1:$I$89,3,0)*0.475*44/12</f>
        <v>17.092770324709193</v>
      </c>
      <c r="AW42" s="21">
        <f>EXP(-LN(2)/2)*AW41+(1-EXP(-LN(2)/2))/(LN(2)/2)*AQ42*AT42*VLOOKUP('Données projet'!$B$10,Paramètres!$A$1:$I$89,3,0)*0.475*44/12</f>
        <v>0.2670122197901087</v>
      </c>
      <c r="AX42" s="21">
        <f t="shared" si="6"/>
        <v>43.358295994861585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8.4</v>
      </c>
      <c r="BD42" s="12">
        <f>IF('Données projet'!$A$88&gt;35,BD41+BC42-BL41,IF(A42&lt;'Données projet'!$A$88,$BA$205^A42,IF(A42='Données projet'!$A$88,'Données projet'!$B$88,BD41+BC42-BL41)))</f>
        <v>128.60000000000002</v>
      </c>
      <c r="BE42" s="13">
        <f>BD42*VLOOKUP('Données projet'!$B$11,Paramètres!$A$1:$I$89,3,0)*VLOOKUP('Données projet'!$B$11,Paramètres!$A$1:$I$89,5,0)</f>
        <v>130.40040000000002</v>
      </c>
      <c r="BF42" s="13">
        <f t="shared" si="37"/>
        <v>34.088863450406919</v>
      </c>
      <c r="BG42" s="20">
        <f t="shared" si="7"/>
        <v>286.48546717612544</v>
      </c>
      <c r="BH42" s="59">
        <f t="shared" si="8"/>
        <v>579.8188005094587</v>
      </c>
      <c r="BI42" s="59">
        <f ca="1">AVERAGE(OFFSET($BH$3,0,0,'Données projet'!$E$11+1,1))-AVERAGE(OFFSET($H$3,0,0,'Données projet'!$E$11+1,1))</f>
        <v>308.80022073574963</v>
      </c>
      <c r="BJ42" s="59">
        <f t="shared" si="38"/>
        <v>183.96267407004115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9.3512439683121258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9.3512439683121258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487</v>
      </c>
      <c r="L43" s="12">
        <f>VLOOKUP(A43,'Données projet'!$A$35:$I$55,9,0)</f>
        <v>27.8</v>
      </c>
      <c r="M43" s="12">
        <f t="array" ref="M43">INDEX(L:L,MIN(IF(ISNUMBER(L43:L239),ROW(L43:L239),"")))</f>
        <v>27.8</v>
      </c>
      <c r="N43" s="13">
        <f>IF('Données projet'!$A$36&gt;35,N42+M43-V42,IF(A43&lt;'Données projet'!$A$36,$K$205^A43,IF(A43='Données projet'!$A$36,'Données projet'!$B$36,N42+M43-V42)))</f>
        <v>487.00000000000023</v>
      </c>
      <c r="O43" s="13">
        <f>N43*VLOOKUP('Données projet'!$B$9,Paramètres!$A$1:$I$89,3,0)*VLOOKUP('Données projet'!$B$9,Paramètres!$A$1:$I$89,5,0)</f>
        <v>227.91600000000011</v>
      </c>
      <c r="P43" s="13">
        <f t="shared" si="33"/>
        <v>55.831833576509553</v>
      </c>
      <c r="Q43" s="20">
        <f t="shared" si="53"/>
        <v>494.19414347908759</v>
      </c>
      <c r="R43" s="59">
        <f t="shared" si="0"/>
        <v>787.5274768124209</v>
      </c>
      <c r="S43" s="59">
        <f ca="1">AVERAGE(OFFSET($R$3,0,0,'Données projet'!$E$9+1,1))-AVERAGE(OFFSET($H$3,0,0,'Données projet'!$E$9+1,1))</f>
        <v>379.12827535040157</v>
      </c>
      <c r="T43" s="59">
        <f t="shared" si="34"/>
        <v>317.29813413796956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70</v>
      </c>
      <c r="W43" s="16">
        <f>IF(ISNA(VLOOKUP(A43,'Données projet'!$A$35:$I$55,5,0)),0%,VLOOKUP(A43,'Données projet'!$A$35:$I$55,5,0)*VLOOKUP('Données projet'!$B$9,Paramètres!$A$1:$I$89,7,0))</f>
        <v>0.55000000000000004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45.550680123193146</v>
      </c>
      <c r="AA43" s="21">
        <f>EXP(-LN(2)/25)*AA42+(1-EXP(-LN(2)/25))/(LN(2)/25)*Calculateur!V43*Calculateur!X43*VLOOKUP('Données projet'!$B$9,Paramètres!$A$1:$I$89,3,0)*0.475*44/12</f>
        <v>33.750408586562756</v>
      </c>
      <c r="AB43" s="21">
        <f>EXP(-LN(2)/2)*AB42+(1-EXP(-LN(2)/2))/(LN(2)/2)*V43*Y43*VLOOKUP('Données projet'!$B$9,Paramètres!$A$1:$I$89,3,0)*0.475*44/12</f>
        <v>1.3454104097951209E-2</v>
      </c>
      <c r="AC43" s="22">
        <f t="shared" si="3"/>
        <v>79.314542813853848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564</v>
      </c>
      <c r="AG43" s="12">
        <f>VLOOKUP(A43,'Données projet'!$A$61:$I$81,9,0)</f>
        <v>25.6</v>
      </c>
      <c r="AH43" s="12">
        <f t="array" ref="AH43">INDEX(AG:AG,MIN(IF(ISNUMBER(AG43:AG239),ROW(AG43:AG239),"")))</f>
        <v>25.6</v>
      </c>
      <c r="AI43" s="13">
        <f>IF('Données projet'!$A$62&gt;35,AI42+AH43-AQ42,IF(A43&lt;'Données projet'!$A$62,$AF$205^A43,IF(A43='Données projet'!$A$62,'Données projet'!$B$62,AI42+AH43-AQ42)))</f>
        <v>564.00000000000023</v>
      </c>
      <c r="AJ43" s="13">
        <f>AI43*VLOOKUP('Données projet'!$B$10,Paramètres!$A$1:$I$89,3,0)*VLOOKUP('Données projet'!$B$10,Paramètres!$A$1:$I$89,5,0)</f>
        <v>315.27600000000012</v>
      </c>
      <c r="AK43" s="13">
        <f t="shared" si="35"/>
        <v>74.36958441265493</v>
      </c>
      <c r="AL43" s="20">
        <f t="shared" si="4"/>
        <v>678.63272618537417</v>
      </c>
      <c r="AM43" s="59">
        <f t="shared" si="5"/>
        <v>971.96605951870743</v>
      </c>
      <c r="AN43" s="59">
        <f ca="1">AVERAGE(OFFSET($AM$3,0,0,'Données projet'!$E$10+1,1))-AVERAGE(OFFSET($H$3,0,0,'Données projet'!$E$10+1,1))</f>
        <v>382.55387448074327</v>
      </c>
      <c r="AO43" s="59">
        <f t="shared" si="36"/>
        <v>476.29465646955543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72</v>
      </c>
      <c r="AR43" s="16">
        <f>IF(ISNA(VLOOKUP(A43,'Données projet'!$A$61:$I$81,5,0)),0%,VLOOKUP(A43,'Données projet'!$A$61:$I$81,5,0)*VLOOKUP('Données projet'!$B$10,Paramètres!$A$1:$I$89,7,0))</f>
        <v>0.55000000000000004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54.854059870519919</v>
      </c>
      <c r="AV43" s="21">
        <f>EXP(-LN(2)/25)*AV42+(1-EXP(-LN(2)/25))/(LN(2)/25)*Calculateur!AQ43*Calculateur!AS43*VLOOKUP('Données projet'!$B$10,Paramètres!$A$1:$I$89,3,0)*0.475*44/12</f>
        <v>16.625367621310293</v>
      </c>
      <c r="AW43" s="21">
        <f>EXP(-LN(2)/2)*AW42+(1-EXP(-LN(2)/2))/(LN(2)/2)*AQ43*AT43*VLOOKUP('Données projet'!$B$10,Paramètres!$A$1:$I$89,3,0)*0.475*44/12</f>
        <v>0.18880615127325873</v>
      </c>
      <c r="AX43" s="21">
        <f t="shared" si="6"/>
        <v>71.668233643103463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137</v>
      </c>
      <c r="BB43" s="12">
        <f>VLOOKUP(A43,'Données projet'!$A$87:$I$107,9,0)</f>
        <v>8.4</v>
      </c>
      <c r="BC43" s="12">
        <f t="array" ref="BC43">INDEX(BB:BB,MIN(IF(ISNUMBER(BB43:BB239),ROW(BB43:BB239),"")))</f>
        <v>8.4</v>
      </c>
      <c r="BD43" s="12">
        <f>IF('Données projet'!$A$88&gt;35,BD42+BC43-BL42,IF(A43&lt;'Données projet'!$A$88,$BA$205^A43,IF(A43='Données projet'!$A$88,'Données projet'!$B$88,BD42+BC43-BL42)))</f>
        <v>137.00000000000003</v>
      </c>
      <c r="BE43" s="13">
        <f>BD43*VLOOKUP('Données projet'!$B$11,Paramètres!$A$1:$I$89,3,0)*VLOOKUP('Données projet'!$B$11,Paramètres!$A$1:$I$89,5,0)</f>
        <v>138.91800000000003</v>
      </c>
      <c r="BF43" s="13">
        <f t="shared" si="37"/>
        <v>36.049022673886341</v>
      </c>
      <c r="BG43" s="20">
        <f t="shared" si="7"/>
        <v>304.73423115701877</v>
      </c>
      <c r="BH43" s="59">
        <f t="shared" si="8"/>
        <v>598.06756449035208</v>
      </c>
      <c r="BI43" s="59">
        <f ca="1">AVERAGE(OFFSET($BH$3,0,0,'Données projet'!$E$11+1,1))-AVERAGE(OFFSET($H$3,0,0,'Données projet'!$E$11+1,1))</f>
        <v>308.80022073574963</v>
      </c>
      <c r="BJ43" s="59">
        <f t="shared" si="38"/>
        <v>183.96267407004115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21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19.290022870352246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19.290022870352246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26.2</v>
      </c>
      <c r="N44" s="13">
        <f>IF('Données projet'!$A$36&gt;35,N43+M44-V43,IF(A44&lt;'Données projet'!$A$36,$K$205^A44,IF(A44='Données projet'!$A$36,'Données projet'!$B$36,N43+M44-V43)))</f>
        <v>443.20000000000027</v>
      </c>
      <c r="O44" s="13">
        <f>N44*VLOOKUP('Données projet'!$B$9,Paramètres!$A$1:$I$89,3,0)*VLOOKUP('Données projet'!$B$9,Paramètres!$A$1:$I$89,5,0)</f>
        <v>207.41760000000014</v>
      </c>
      <c r="P44" s="13">
        <f t="shared" si="33"/>
        <v>51.370860585892309</v>
      </c>
      <c r="Q44" s="20">
        <f t="shared" si="53"/>
        <v>450.72323552042934</v>
      </c>
      <c r="R44" s="59">
        <f t="shared" si="0"/>
        <v>744.05656885376266</v>
      </c>
      <c r="S44" s="59">
        <f ca="1">AVERAGE(OFFSET($R$3,0,0,'Données projet'!$E$9+1,1))-AVERAGE(OFFSET($H$3,0,0,'Données projet'!$E$9+1,1))</f>
        <v>379.12827535040157</v>
      </c>
      <c r="T44" s="59">
        <f t="shared" si="34"/>
        <v>317.29813413796956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44.657459069148842</v>
      </c>
      <c r="AA44" s="21">
        <f>EXP(-LN(2)/25)*AA43+(1-EXP(-LN(2)/25))/(LN(2)/25)*Calculateur!V44*Calculateur!X44*VLOOKUP('Données projet'!$B$9,Paramètres!$A$1:$I$89,3,0)*0.475*44/12</f>
        <v>32.827501888906347</v>
      </c>
      <c r="AB44" s="21">
        <f>EXP(-LN(2)/2)*AB43+(1-EXP(-LN(2)/2))/(LN(2)/2)*V44*Y44*VLOOKUP('Données projet'!$B$9,Paramètres!$A$1:$I$89,3,0)*0.475*44/12</f>
        <v>9.5134882424510181E-3</v>
      </c>
      <c r="AC44" s="22">
        <f t="shared" si="3"/>
        <v>77.49447444629763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22.8</v>
      </c>
      <c r="AI44" s="13">
        <f>IF('Données projet'!$A$62&gt;35,AI43+AH44-AQ43,IF(A44&lt;'Données projet'!$A$62,$AF$205^A44,IF(A44='Données projet'!$A$62,'Données projet'!$B$62,AI43+AH44-AQ43)))</f>
        <v>514.80000000000018</v>
      </c>
      <c r="AJ44" s="13">
        <f>AI44*VLOOKUP('Données projet'!$B$10,Paramètres!$A$1:$I$89,3,0)*VLOOKUP('Données projet'!$B$10,Paramètres!$A$1:$I$89,5,0)</f>
        <v>287.77320000000009</v>
      </c>
      <c r="AK44" s="13">
        <f t="shared" si="35"/>
        <v>68.607082381743922</v>
      </c>
      <c r="AL44" s="20">
        <f t="shared" si="4"/>
        <v>620.69565848153741</v>
      </c>
      <c r="AM44" s="59">
        <f t="shared" si="5"/>
        <v>914.02899181487078</v>
      </c>
      <c r="AN44" s="59">
        <f ca="1">AVERAGE(OFFSET($AM$3,0,0,'Données projet'!$E$10+1,1))-AVERAGE(OFFSET($H$3,0,0,'Données projet'!$E$10+1,1))</f>
        <v>382.55387448074327</v>
      </c>
      <c r="AO44" s="59">
        <f t="shared" si="36"/>
        <v>476.29465646955543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53.778405214131872</v>
      </c>
      <c r="AV44" s="21">
        <f>EXP(-LN(2)/25)*AV43+(1-EXP(-LN(2)/25))/(LN(2)/25)*Calculateur!AQ44*Calculateur!AS44*VLOOKUP('Données projet'!$B$10,Paramètres!$A$1:$I$89,3,0)*0.475*44/12</f>
        <v>16.170746069415479</v>
      </c>
      <c r="AW44" s="21">
        <f>EXP(-LN(2)/2)*AW43+(1-EXP(-LN(2)/2))/(LN(2)/2)*AQ44*AT44*VLOOKUP('Données projet'!$B$10,Paramètres!$A$1:$I$89,3,0)*0.475*44/12</f>
        <v>0.13350610989505435</v>
      </c>
      <c r="AX44" s="21">
        <f t="shared" si="6"/>
        <v>70.082657393442403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8.4</v>
      </c>
      <c r="BD44" s="12">
        <f>IF('Données projet'!$A$88&gt;35,BD43+BC44-BL43,IF(A44&lt;'Données projet'!$A$88,$BA$205^A44,IF(A44='Données projet'!$A$88,'Données projet'!$B$88,BD43+BC44-BL43)))</f>
        <v>124.40000000000003</v>
      </c>
      <c r="BE44" s="13">
        <f>BD44*VLOOKUP('Données projet'!$B$11,Paramètres!$A$1:$I$89,3,0)*VLOOKUP('Données projet'!$B$11,Paramètres!$A$1:$I$89,5,0)</f>
        <v>126.14160000000005</v>
      </c>
      <c r="BF44" s="13">
        <f t="shared" si="37"/>
        <v>33.10323903126482</v>
      </c>
      <c r="BG44" s="20">
        <f t="shared" si="7"/>
        <v>277.35142797945298</v>
      </c>
      <c r="BH44" s="59">
        <f t="shared" si="8"/>
        <v>570.68476131278635</v>
      </c>
      <c r="BI44" s="59">
        <f ca="1">AVERAGE(OFFSET($BH$3,0,0,'Données projet'!$E$11+1,1))-AVERAGE(OFFSET($H$3,0,0,'Données projet'!$E$11+1,1))</f>
        <v>308.80022073574963</v>
      </c>
      <c r="BJ44" s="59">
        <f t="shared" si="38"/>
        <v>183.96267407004115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18.911757287616819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18.911757287616819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26.2</v>
      </c>
      <c r="N45" s="13">
        <f>IF('Données projet'!$A$36&gt;35,N44+M45-V44,IF(A45&lt;'Données projet'!$A$36,$K$205^A45,IF(A45='Données projet'!$A$36,'Données projet'!$B$36,N44+M45-V44)))</f>
        <v>469.40000000000026</v>
      </c>
      <c r="O45" s="13">
        <f>N45*VLOOKUP('Données projet'!$B$9,Paramètres!$A$1:$I$89,3,0)*VLOOKUP('Données projet'!$B$9,Paramètres!$A$1:$I$89,5,0)</f>
        <v>219.67920000000012</v>
      </c>
      <c r="P45" s="13">
        <f t="shared" si="33"/>
        <v>54.045155505158426</v>
      </c>
      <c r="Q45" s="20">
        <f t="shared" si="53"/>
        <v>476.73658583815109</v>
      </c>
      <c r="R45" s="59">
        <f t="shared" si="0"/>
        <v>770.06991917148434</v>
      </c>
      <c r="S45" s="59">
        <f ca="1">AVERAGE(OFFSET($R$3,0,0,'Données projet'!$E$9+1,1))-AVERAGE(OFFSET($H$3,0,0,'Données projet'!$E$9+1,1))</f>
        <v>379.12827535040157</v>
      </c>
      <c r="T45" s="59">
        <f t="shared" si="34"/>
        <v>317.29813413796956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43.781753535163304</v>
      </c>
      <c r="AA45" s="21">
        <f>EXP(-LN(2)/25)*AA44+(1-EXP(-LN(2)/25))/(LN(2)/25)*Calculateur!V45*Calculateur!X45*VLOOKUP('Données projet'!$B$9,Paramètres!$A$1:$I$89,3,0)*0.475*44/12</f>
        <v>31.929832123430906</v>
      </c>
      <c r="AB45" s="21">
        <f>EXP(-LN(2)/2)*AB44+(1-EXP(-LN(2)/2))/(LN(2)/2)*V45*Y45*VLOOKUP('Données projet'!$B$9,Paramètres!$A$1:$I$89,3,0)*0.475*44/12</f>
        <v>6.7270520489756047E-3</v>
      </c>
      <c r="AC45" s="22">
        <f t="shared" si="3"/>
        <v>75.718312710643175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22.8</v>
      </c>
      <c r="AI45" s="13">
        <f>IF('Données projet'!$A$62&gt;35,AI44+AH45-AQ44,IF(A45&lt;'Données projet'!$A$62,$AF$205^A45,IF(A45='Données projet'!$A$62,'Données projet'!$B$62,AI44+AH45-AQ44)))</f>
        <v>537.60000000000014</v>
      </c>
      <c r="AJ45" s="13">
        <f>AI45*VLOOKUP('Données projet'!$B$10,Paramètres!$A$1:$I$89,3,0)*VLOOKUP('Données projet'!$B$10,Paramètres!$A$1:$I$89,5,0)</f>
        <v>300.5184000000001</v>
      </c>
      <c r="AK45" s="13">
        <f t="shared" si="35"/>
        <v>71.285129105116411</v>
      </c>
      <c r="AL45" s="20">
        <f t="shared" si="4"/>
        <v>647.55781319141124</v>
      </c>
      <c r="AM45" s="59">
        <f t="shared" si="5"/>
        <v>940.8911465247445</v>
      </c>
      <c r="AN45" s="59">
        <f ca="1">AVERAGE(OFFSET($AM$3,0,0,'Données projet'!$E$10+1,1))-AVERAGE(OFFSET($H$3,0,0,'Données projet'!$E$10+1,1))</f>
        <v>382.55387448074327</v>
      </c>
      <c r="AO45" s="59">
        <f t="shared" si="36"/>
        <v>476.29465646955543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52.723843489471037</v>
      </c>
      <c r="AV45" s="21">
        <f>EXP(-LN(2)/25)*AV44+(1-EXP(-LN(2)/25))/(LN(2)/25)*Calculateur!AQ45*Calculateur!AS45*VLOOKUP('Données projet'!$B$10,Paramètres!$A$1:$I$89,3,0)*0.475*44/12</f>
        <v>15.728556167764737</v>
      </c>
      <c r="AW45" s="21">
        <f>EXP(-LN(2)/2)*AW44+(1-EXP(-LN(2)/2))/(LN(2)/2)*AQ45*AT45*VLOOKUP('Données projet'!$B$10,Paramètres!$A$1:$I$89,3,0)*0.475*44/12</f>
        <v>9.4403075636629363E-2</v>
      </c>
      <c r="AX45" s="21">
        <f t="shared" si="6"/>
        <v>68.546802732872408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8.4</v>
      </c>
      <c r="BD45" s="12">
        <f>IF('Données projet'!$A$88&gt;35,BD44+BC45-BL44,IF(A45&lt;'Données projet'!$A$88,$BA$205^A45,IF(A45='Données projet'!$A$88,'Données projet'!$B$88,BD44+BC45-BL44)))</f>
        <v>132.80000000000004</v>
      </c>
      <c r="BE45" s="13">
        <f>BD45*VLOOKUP('Données projet'!$B$11,Paramètres!$A$1:$I$89,3,0)*VLOOKUP('Données projet'!$B$11,Paramètres!$A$1:$I$89,5,0)</f>
        <v>134.65920000000006</v>
      </c>
      <c r="BF45" s="13">
        <f t="shared" si="37"/>
        <v>35.07074737441733</v>
      </c>
      <c r="BG45" s="20">
        <f t="shared" si="7"/>
        <v>295.61299167711024</v>
      </c>
      <c r="BH45" s="59">
        <f t="shared" si="8"/>
        <v>588.94632501044362</v>
      </c>
      <c r="BI45" s="59">
        <f ca="1">AVERAGE(OFFSET($BH$3,0,0,'Données projet'!$E$11+1,1))-AVERAGE(OFFSET($H$3,0,0,'Données projet'!$E$11+1,1))</f>
        <v>308.80022073574963</v>
      </c>
      <c r="BJ45" s="59">
        <f t="shared" si="38"/>
        <v>183.96267407004115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18.540909262239609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18.540909262239609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26.2</v>
      </c>
      <c r="N46" s="13">
        <f>IF('Données projet'!$A$36&gt;35,N45+M46-V45,IF(A46&lt;'Données projet'!$A$36,$K$205^A46,IF(A46='Données projet'!$A$36,'Données projet'!$B$36,N45+M46-V45)))</f>
        <v>495.60000000000025</v>
      </c>
      <c r="O46" s="13">
        <f>N46*VLOOKUP('Données projet'!$B$9,Paramètres!$A$1:$I$89,3,0)*VLOOKUP('Données projet'!$B$9,Paramètres!$A$1:$I$89,5,0)</f>
        <v>231.94080000000011</v>
      </c>
      <c r="P46" s="13">
        <f t="shared" si="33"/>
        <v>56.702122420175506</v>
      </c>
      <c r="Q46" s="20">
        <f t="shared" si="53"/>
        <v>502.71975654847256</v>
      </c>
      <c r="R46" s="59">
        <f t="shared" si="0"/>
        <v>796.05308988180582</v>
      </c>
      <c r="S46" s="59">
        <f ca="1">AVERAGE(OFFSET($R$3,0,0,'Données projet'!$E$9+1,1))-AVERAGE(OFFSET($H$3,0,0,'Données projet'!$E$9+1,1))</f>
        <v>379.12827535040157</v>
      </c>
      <c r="T46" s="59">
        <f t="shared" si="34"/>
        <v>317.29813413796956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42.923220052571587</v>
      </c>
      <c r="AA46" s="21">
        <f>EXP(-LN(2)/25)*AA45+(1-EXP(-LN(2)/25))/(LN(2)/25)*Calculateur!V46*Calculateur!X46*VLOOKUP('Données projet'!$B$9,Paramètres!$A$1:$I$89,3,0)*0.475*44/12</f>
        <v>31.056709184898793</v>
      </c>
      <c r="AB46" s="21">
        <f>EXP(-LN(2)/2)*AB45+(1-EXP(-LN(2)/2))/(LN(2)/2)*V46*Y46*VLOOKUP('Données projet'!$B$9,Paramètres!$A$1:$I$89,3,0)*0.475*44/12</f>
        <v>4.756744121225509E-3</v>
      </c>
      <c r="AC46" s="22">
        <f t="shared" si="3"/>
        <v>73.984685981591596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22.8</v>
      </c>
      <c r="AI46" s="13">
        <f>IF('Données projet'!$A$62&gt;35,AI45+AH46-AQ45,IF(A46&lt;'Données projet'!$A$62,$AF$205^A46,IF(A46='Données projet'!$A$62,'Données projet'!$B$62,AI45+AH46-AQ45)))</f>
        <v>560.40000000000009</v>
      </c>
      <c r="AJ46" s="13">
        <f>AI46*VLOOKUP('Données projet'!$B$10,Paramètres!$A$1:$I$89,3,0)*VLOOKUP('Données projet'!$B$10,Paramètres!$A$1:$I$89,5,0)</f>
        <v>313.26360000000005</v>
      </c>
      <c r="AK46" s="13">
        <f t="shared" si="35"/>
        <v>73.949983766039026</v>
      </c>
      <c r="AL46" s="20">
        <f t="shared" si="4"/>
        <v>674.39699172585131</v>
      </c>
      <c r="AM46" s="59">
        <f t="shared" si="5"/>
        <v>967.73032505918468</v>
      </c>
      <c r="AN46" s="59">
        <f ca="1">AVERAGE(OFFSET($AM$3,0,0,'Données projet'!$E$10+1,1))-AVERAGE(OFFSET($H$3,0,0,'Données projet'!$E$10+1,1))</f>
        <v>382.55387448074327</v>
      </c>
      <c r="AO46" s="59">
        <f t="shared" si="36"/>
        <v>476.29465646955543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51.68996107701166</v>
      </c>
      <c r="AV46" s="21">
        <f>EXP(-LN(2)/25)*AV45+(1-EXP(-LN(2)/25))/(LN(2)/25)*Calculateur!AQ46*Calculateur!AS46*VLOOKUP('Données projet'!$B$10,Paramètres!$A$1:$I$89,3,0)*0.475*44/12</f>
        <v>15.298457972228389</v>
      </c>
      <c r="AW46" s="21">
        <f>EXP(-LN(2)/2)*AW45+(1-EXP(-LN(2)/2))/(LN(2)/2)*AQ46*AT46*VLOOKUP('Données projet'!$B$10,Paramètres!$A$1:$I$89,3,0)*0.475*44/12</f>
        <v>6.6753054947527174E-2</v>
      </c>
      <c r="AX46" s="21">
        <f t="shared" si="6"/>
        <v>67.055172104187577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8.4</v>
      </c>
      <c r="BD46" s="12">
        <f>IF('Données projet'!$A$88&gt;35,BD45+BC46-BL45,IF(A46&lt;'Données projet'!$A$88,$BA$205^A46,IF(A46='Données projet'!$A$88,'Données projet'!$B$88,BD45+BC46-BL45)))</f>
        <v>141.20000000000005</v>
      </c>
      <c r="BE46" s="13">
        <f>BD46*VLOOKUP('Données projet'!$B$11,Paramètres!$A$1:$I$89,3,0)*VLOOKUP('Données projet'!$B$11,Paramètres!$A$1:$I$89,5,0)</f>
        <v>143.17680000000004</v>
      </c>
      <c r="BF46" s="13">
        <f t="shared" si="37"/>
        <v>37.023812674521515</v>
      </c>
      <c r="BG46" s="20">
        <f t="shared" si="7"/>
        <v>313.84940040812506</v>
      </c>
      <c r="BH46" s="59">
        <f t="shared" si="8"/>
        <v>607.18273374145838</v>
      </c>
      <c r="BI46" s="59">
        <f ca="1">AVERAGE(OFFSET($BH$3,0,0,'Données projet'!$E$11+1,1))-AVERAGE(OFFSET($H$3,0,0,'Données projet'!$E$11+1,1))</f>
        <v>308.80022073574963</v>
      </c>
      <c r="BJ46" s="59">
        <f t="shared" si="38"/>
        <v>183.96267407004115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18.177333340445085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18.177333340445085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26.2</v>
      </c>
      <c r="N47" s="13">
        <f>IF('Données projet'!$A$36&gt;35,N46+M47-V46,IF(A47&lt;'Données projet'!$A$36,$K$205^A47,IF(A47='Données projet'!$A$36,'Données projet'!$B$36,N46+M47-V46)))</f>
        <v>521.8000000000003</v>
      </c>
      <c r="O47" s="13">
        <f>N47*VLOOKUP('Données projet'!$B$9,Paramètres!$A$1:$I$89,3,0)*VLOOKUP('Données projet'!$B$9,Paramètres!$A$1:$I$89,5,0)</f>
        <v>244.20240000000013</v>
      </c>
      <c r="P47" s="13">
        <f t="shared" si="33"/>
        <v>59.342781842608709</v>
      </c>
      <c r="Q47" s="20">
        <f t="shared" si="53"/>
        <v>528.67452504254368</v>
      </c>
      <c r="R47" s="59">
        <f t="shared" si="0"/>
        <v>822.00785837587705</v>
      </c>
      <c r="S47" s="59">
        <f ca="1">AVERAGE(OFFSET($R$3,0,0,'Données projet'!$E$9+1,1))-AVERAGE(OFFSET($H$3,0,0,'Données projet'!$E$9+1,1))</f>
        <v>379.12827535040157</v>
      </c>
      <c r="T47" s="59">
        <f t="shared" si="34"/>
        <v>317.29813413796956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42.08152188791977</v>
      </c>
      <c r="AA47" s="21">
        <f>EXP(-LN(2)/25)*AA46+(1-EXP(-LN(2)/25))/(LN(2)/25)*Calculateur!V47*Calculateur!X47*VLOOKUP('Données projet'!$B$9,Paramètres!$A$1:$I$89,3,0)*0.475*44/12</f>
        <v>30.20746183903638</v>
      </c>
      <c r="AB47" s="21">
        <f>EXP(-LN(2)/2)*AB46+(1-EXP(-LN(2)/2))/(LN(2)/2)*V47*Y47*VLOOKUP('Données projet'!$B$9,Paramètres!$A$1:$I$89,3,0)*0.475*44/12</f>
        <v>3.3635260244878023E-3</v>
      </c>
      <c r="AC47" s="22">
        <f t="shared" si="3"/>
        <v>72.292347252980633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22.8</v>
      </c>
      <c r="AI47" s="13">
        <f>IF('Données projet'!$A$62&gt;35,AI46+AH47-AQ46,IF(A47&lt;'Données projet'!$A$62,$AF$205^A47,IF(A47='Données projet'!$A$62,'Données projet'!$B$62,AI46+AH47-AQ46)))</f>
        <v>583.20000000000005</v>
      </c>
      <c r="AJ47" s="13">
        <f>AI47*VLOOKUP('Données projet'!$B$10,Paramètres!$A$1:$I$89,3,0)*VLOOKUP('Données projet'!$B$10,Paramètres!$A$1:$I$89,5,0)</f>
        <v>326.00880000000001</v>
      </c>
      <c r="AK47" s="13">
        <f t="shared" si="35"/>
        <v>76.602244480772981</v>
      </c>
      <c r="AL47" s="20">
        <f t="shared" si="4"/>
        <v>701.2142358040129</v>
      </c>
      <c r="AM47" s="59">
        <f t="shared" si="5"/>
        <v>994.54756913734627</v>
      </c>
      <c r="AN47" s="59">
        <f ca="1">AVERAGE(OFFSET($AM$3,0,0,'Données projet'!$E$10+1,1))-AVERAGE(OFFSET($H$3,0,0,'Données projet'!$E$10+1,1))</f>
        <v>382.55387448074327</v>
      </c>
      <c r="AO47" s="59">
        <f t="shared" si="36"/>
        <v>476.29465646955543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50.67635246805461</v>
      </c>
      <c r="AV47" s="21">
        <f>EXP(-LN(2)/25)*AV46+(1-EXP(-LN(2)/25))/(LN(2)/25)*Calculateur!AQ47*Calculateur!AS47*VLOOKUP('Données projet'!$B$10,Paramètres!$A$1:$I$89,3,0)*0.475*44/12</f>
        <v>14.880120834466865</v>
      </c>
      <c r="AW47" s="21">
        <f>EXP(-LN(2)/2)*AW46+(1-EXP(-LN(2)/2))/(LN(2)/2)*AQ47*AT47*VLOOKUP('Données projet'!$B$10,Paramètres!$A$1:$I$89,3,0)*0.475*44/12</f>
        <v>4.7201537818314682E-2</v>
      </c>
      <c r="AX47" s="21">
        <f t="shared" si="6"/>
        <v>65.603674840339792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8.4</v>
      </c>
      <c r="BD47" s="12">
        <f>IF('Données projet'!$A$88&gt;35,BD46+BC47-BL46,IF(A47&lt;'Données projet'!$A$88,$BA$205^A47,IF(A47='Données projet'!$A$88,'Données projet'!$B$88,BD46+BC47-BL46)))</f>
        <v>149.60000000000005</v>
      </c>
      <c r="BE47" s="13">
        <f>BD47*VLOOKUP('Données projet'!$B$11,Paramètres!$A$1:$I$89,3,0)*VLOOKUP('Données projet'!$B$11,Paramètres!$A$1:$I$89,5,0)</f>
        <v>151.69440000000006</v>
      </c>
      <c r="BF47" s="13">
        <f t="shared" si="37"/>
        <v>38.963392010880654</v>
      </c>
      <c r="BG47" s="20">
        <f t="shared" si="7"/>
        <v>332.06232108561721</v>
      </c>
      <c r="BH47" s="59">
        <f t="shared" si="8"/>
        <v>625.39565441895047</v>
      </c>
      <c r="BI47" s="59">
        <f ca="1">AVERAGE(OFFSET($BH$3,0,0,'Données projet'!$E$11+1,1))-AVERAGE(OFFSET($H$3,0,0,'Données projet'!$E$11+1,1))</f>
        <v>308.80022073574963</v>
      </c>
      <c r="BJ47" s="59">
        <f t="shared" si="38"/>
        <v>183.96267407004115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17.820886920717538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17.820886920717538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548</v>
      </c>
      <c r="L48" s="12">
        <f>VLOOKUP(A48,'Données projet'!$A$35:$I$55,9,0)</f>
        <v>26.2</v>
      </c>
      <c r="M48" s="12">
        <f t="array" ref="M48">INDEX(L:L,MIN(IF(ISNUMBER(L48:L244),ROW(L48:L244),"")))</f>
        <v>26.2</v>
      </c>
      <c r="N48" s="13">
        <f>IF('Données projet'!$A$36&gt;35,N47+M48-V47,IF(A48&lt;'Données projet'!$A$36,$K$205^A48,IF(A48='Données projet'!$A$36,'Données projet'!$B$36,N47+M48-V47)))</f>
        <v>548.00000000000034</v>
      </c>
      <c r="O48" s="13">
        <f>N48*VLOOKUP('Données projet'!$B$9,Paramètres!$A$1:$I$89,3,0)*VLOOKUP('Données projet'!$B$9,Paramètres!$A$1:$I$89,5,0)</f>
        <v>256.46400000000017</v>
      </c>
      <c r="P48" s="13">
        <f t="shared" si="33"/>
        <v>61.968046013679235</v>
      </c>
      <c r="Q48" s="20">
        <f t="shared" si="53"/>
        <v>554.60248014049159</v>
      </c>
      <c r="R48" s="59">
        <f t="shared" si="0"/>
        <v>847.93581347382496</v>
      </c>
      <c r="S48" s="59">
        <f ca="1">AVERAGE(OFFSET($R$3,0,0,'Données projet'!$E$9+1,1))-AVERAGE(OFFSET($H$3,0,0,'Données projet'!$E$9+1,1))</f>
        <v>379.12827535040157</v>
      </c>
      <c r="T48" s="59">
        <f t="shared" si="34"/>
        <v>317.29813413796956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70</v>
      </c>
      <c r="W48" s="16">
        <f>IF(ISNA(VLOOKUP(A48,'Données projet'!$A$35:$I$55,5,0)),0%,VLOOKUP(A48,'Données projet'!$A$35:$I$55,5,0)*VLOOKUP('Données projet'!$B$9,Paramètres!$A$1:$I$89,7,0))</f>
        <v>0.55000000000000004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65.158367269001218</v>
      </c>
      <c r="AA48" s="21">
        <f>EXP(-LN(2)/25)*AA47+(1-EXP(-LN(2)/25))/(LN(2)/25)*Calculateur!V48*Calculateur!X48*VLOOKUP('Données projet'!$B$9,Paramètres!$A$1:$I$89,3,0)*0.475*44/12</f>
        <v>29.381437206506554</v>
      </c>
      <c r="AB48" s="21">
        <f>EXP(-LN(2)/2)*AB47+(1-EXP(-LN(2)/2))/(LN(2)/2)*V48*Y48*VLOOKUP('Données projet'!$B$9,Paramètres!$A$1:$I$89,3,0)*0.475*44/12</f>
        <v>2.3783720606127545E-3</v>
      </c>
      <c r="AC48" s="22">
        <f t="shared" si="3"/>
        <v>94.542182847568384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606</v>
      </c>
      <c r="AG48" s="12">
        <f>VLOOKUP(A48,'Données projet'!$A$61:$I$81,9,0)</f>
        <v>22.8</v>
      </c>
      <c r="AH48" s="12">
        <f t="array" ref="AH48">INDEX(AG:AG,MIN(IF(ISNUMBER(AG48:AG244),ROW(AG48:AG244),"")))</f>
        <v>22.8</v>
      </c>
      <c r="AI48" s="13">
        <f>IF('Données projet'!$A$62&gt;35,AI47+AH48-AQ47,IF(A48&lt;'Données projet'!$A$62,$AF$205^A48,IF(A48='Données projet'!$A$62,'Données projet'!$B$62,AI47+AH48-AQ47)))</f>
        <v>606</v>
      </c>
      <c r="AJ48" s="13">
        <f>AI48*VLOOKUP('Données projet'!$B$10,Paramètres!$A$1:$I$89,3,0)*VLOOKUP('Données projet'!$B$10,Paramètres!$A$1:$I$89,5,0)</f>
        <v>338.75400000000002</v>
      </c>
      <c r="AK48" s="13">
        <f t="shared" si="35"/>
        <v>79.242459951408904</v>
      </c>
      <c r="AL48" s="20">
        <f t="shared" si="4"/>
        <v>728.01050108203719</v>
      </c>
      <c r="AM48" s="59">
        <f t="shared" si="5"/>
        <v>1021.3438344153706</v>
      </c>
      <c r="AN48" s="59">
        <f ca="1">AVERAGE(OFFSET($AM$3,0,0,'Données projet'!$E$10+1,1))-AVERAGE(OFFSET($H$3,0,0,'Données projet'!$E$10+1,1))</f>
        <v>382.55387448074327</v>
      </c>
      <c r="AO48" s="59">
        <f t="shared" si="36"/>
        <v>476.29465646955543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66</v>
      </c>
      <c r="AR48" s="16">
        <f>IF(ISNA(VLOOKUP(A48,'Données projet'!$A$61:$I$81,5,0)),0%,VLOOKUP(A48,'Données projet'!$A$61:$I$81,5,0)*VLOOKUP('Données projet'!$B$10,Paramètres!$A$1:$I$89,7,0))</f>
        <v>0.55000000000000004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76.600868066121521</v>
      </c>
      <c r="AV48" s="21">
        <f>EXP(-LN(2)/25)*AV47+(1-EXP(-LN(2)/25))/(LN(2)/25)*Calculateur!AQ48*Calculateur!AS48*VLOOKUP('Données projet'!$B$10,Paramètres!$A$1:$I$89,3,0)*0.475*44/12</f>
        <v>14.473223147736823</v>
      </c>
      <c r="AW48" s="21">
        <f>EXP(-LN(2)/2)*AW47+(1-EXP(-LN(2)/2))/(LN(2)/2)*AQ48*AT48*VLOOKUP('Données projet'!$B$10,Paramètres!$A$1:$I$89,3,0)*0.475*44/12</f>
        <v>3.3376527473763587E-2</v>
      </c>
      <c r="AX48" s="21">
        <f t="shared" si="6"/>
        <v>91.107467741332101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158</v>
      </c>
      <c r="BB48" s="12">
        <f>VLOOKUP(A48,'Données projet'!$A$87:$I$107,9,0)</f>
        <v>8.4</v>
      </c>
      <c r="BC48" s="12">
        <f t="array" ref="BC48">INDEX(BB:BB,MIN(IF(ISNUMBER(BB48:BB244),ROW(BB48:BB244),"")))</f>
        <v>8.4</v>
      </c>
      <c r="BD48" s="12">
        <f>IF('Données projet'!$A$88&gt;35,BD47+BC48-BL47,IF(A48&lt;'Données projet'!$A$88,$BA$205^A48,IF(A48='Données projet'!$A$88,'Données projet'!$B$88,BD47+BC48-BL47)))</f>
        <v>158.00000000000006</v>
      </c>
      <c r="BE48" s="13">
        <f>BD48*VLOOKUP('Données projet'!$B$11,Paramètres!$A$1:$I$89,3,0)*VLOOKUP('Données projet'!$B$11,Paramètres!$A$1:$I$89,5,0)</f>
        <v>160.21200000000007</v>
      </c>
      <c r="BF48" s="13">
        <f t="shared" si="37"/>
        <v>40.890328912852731</v>
      </c>
      <c r="BG48" s="20">
        <f t="shared" si="7"/>
        <v>350.25322285655193</v>
      </c>
      <c r="BH48" s="59">
        <f t="shared" si="8"/>
        <v>643.58655618988519</v>
      </c>
      <c r="BI48" s="59">
        <f ca="1">AVERAGE(OFFSET($BH$3,0,0,'Données projet'!$E$11+1,1))-AVERAGE(OFFSET($H$3,0,0,'Données projet'!$E$11+1,1))</f>
        <v>308.80022073574963</v>
      </c>
      <c r="BJ48" s="59">
        <f t="shared" si="38"/>
        <v>183.96267407004115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21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27.593581290433093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27.593581290433093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24.6</v>
      </c>
      <c r="N49" s="13">
        <f>IF('Données projet'!$A$36&gt;35,N48+M49-V48,IF(A49&lt;'Données projet'!$A$36,$K$205^A49,IF(A49='Données projet'!$A$36,'Données projet'!$B$36,N48+M49-V48)))</f>
        <v>502.60000000000036</v>
      </c>
      <c r="O49" s="13">
        <f>N49*VLOOKUP('Données projet'!$B$9,Paramètres!$A$1:$I$89,3,0)*VLOOKUP('Données projet'!$B$9,Paramètres!$A$1:$I$89,5,0)</f>
        <v>235.21680000000018</v>
      </c>
      <c r="P49" s="13">
        <f t="shared" si="33"/>
        <v>57.409199040294112</v>
      </c>
      <c r="Q49" s="20">
        <f t="shared" si="53"/>
        <v>509.6569483285125</v>
      </c>
      <c r="R49" s="59">
        <f t="shared" si="0"/>
        <v>802.99028166184576</v>
      </c>
      <c r="S49" s="59">
        <f ca="1">AVERAGE(OFFSET($R$3,0,0,'Données projet'!$E$9+1,1))-AVERAGE(OFFSET($H$3,0,0,'Données projet'!$E$9+1,1))</f>
        <v>379.12827535040157</v>
      </c>
      <c r="T49" s="59">
        <f t="shared" si="34"/>
        <v>317.29813413796956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63.880651429535874</v>
      </c>
      <c r="AA49" s="21">
        <f>EXP(-LN(2)/25)*AA48+(1-EXP(-LN(2)/25))/(LN(2)/25)*Calculateur!V49*Calculateur!X49*VLOOKUP('Données projet'!$B$9,Paramètres!$A$1:$I$89,3,0)*0.475*44/12</f>
        <v>28.578000260992003</v>
      </c>
      <c r="AB49" s="21">
        <f>EXP(-LN(2)/2)*AB48+(1-EXP(-LN(2)/2))/(LN(2)/2)*V49*Y49*VLOOKUP('Données projet'!$B$9,Paramètres!$A$1:$I$89,3,0)*0.475*44/12</f>
        <v>1.6817630122439012E-3</v>
      </c>
      <c r="AC49" s="22">
        <f t="shared" si="3"/>
        <v>92.460333453540116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17.8</v>
      </c>
      <c r="AI49" s="13">
        <f>IF('Données projet'!$A$62&gt;35,AI48+AH49-AQ48,IF(A49&lt;'Données projet'!$A$62,$AF$205^A49,IF(A49='Données projet'!$A$62,'Données projet'!$B$62,AI48+AH49-AQ48)))</f>
        <v>557.79999999999995</v>
      </c>
      <c r="AJ49" s="13">
        <f>AI49*VLOOKUP('Données projet'!$B$10,Paramètres!$A$1:$I$89,3,0)*VLOOKUP('Données projet'!$B$10,Paramètres!$A$1:$I$89,5,0)</f>
        <v>311.81020000000001</v>
      </c>
      <c r="AK49" s="13">
        <f t="shared" si="35"/>
        <v>73.646743780370684</v>
      </c>
      <c r="AL49" s="20">
        <f t="shared" si="4"/>
        <v>671.33751041747894</v>
      </c>
      <c r="AM49" s="59">
        <f t="shared" si="5"/>
        <v>964.67084375081231</v>
      </c>
      <c r="AN49" s="59">
        <f ca="1">AVERAGE(OFFSET($AM$3,0,0,'Données projet'!$E$10+1,1))-AVERAGE(OFFSET($H$3,0,0,'Données projet'!$E$10+1,1))</f>
        <v>382.55387448074327</v>
      </c>
      <c r="AO49" s="59">
        <f t="shared" si="36"/>
        <v>476.29465646955543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75.098771765260992</v>
      </c>
      <c r="AV49" s="21">
        <f>EXP(-LN(2)/25)*AV48+(1-EXP(-LN(2)/25))/(LN(2)/25)*Calculateur!AQ49*Calculateur!AS49*VLOOKUP('Données projet'!$B$10,Paramètres!$A$1:$I$89,3,0)*0.475*44/12</f>
        <v>14.077452099648234</v>
      </c>
      <c r="AW49" s="21">
        <f>EXP(-LN(2)/2)*AW48+(1-EXP(-LN(2)/2))/(LN(2)/2)*AQ49*AT49*VLOOKUP('Données projet'!$B$10,Paramètres!$A$1:$I$89,3,0)*0.475*44/12</f>
        <v>2.3600768909157341E-2</v>
      </c>
      <c r="AX49" s="21">
        <f t="shared" si="6"/>
        <v>89.19982463381838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8.1999999999999993</v>
      </c>
      <c r="BD49" s="12">
        <f>IF('Données projet'!$A$88&gt;35,BD48+BC49-BL48,IF(A49&lt;'Données projet'!$A$88,$BA$205^A49,IF(A49='Données projet'!$A$88,'Données projet'!$B$88,BD48+BC49-BL48)))</f>
        <v>145.20000000000005</v>
      </c>
      <c r="BE49" s="13">
        <f>BD49*VLOOKUP('Données projet'!$B$11,Paramètres!$A$1:$I$89,3,0)*VLOOKUP('Données projet'!$B$11,Paramètres!$A$1:$I$89,5,0)</f>
        <v>147.23280000000005</v>
      </c>
      <c r="BF49" s="13">
        <f t="shared" si="37"/>
        <v>37.949049623906205</v>
      </c>
      <c r="BG49" s="20">
        <f t="shared" si="7"/>
        <v>322.52505476163668</v>
      </c>
      <c r="BH49" s="59">
        <f t="shared" si="8"/>
        <v>615.85838809497</v>
      </c>
      <c r="BI49" s="59">
        <f ca="1">AVERAGE(OFFSET($BH$3,0,0,'Données projet'!$E$11+1,1))-AVERAGE(OFFSET($H$3,0,0,'Données projet'!$E$11+1,1))</f>
        <v>308.80022073574963</v>
      </c>
      <c r="BJ49" s="59">
        <f t="shared" si="38"/>
        <v>183.96267407004115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27.052487991750422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27.052487991750422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24.6</v>
      </c>
      <c r="N50" s="13">
        <f>IF('Données projet'!$A$36&gt;35,N49+M50-V49,IF(A50&lt;'Données projet'!$A$36,$K$205^A50,IF(A50='Données projet'!$A$36,'Données projet'!$B$36,N49+M50-V49)))</f>
        <v>527.20000000000039</v>
      </c>
      <c r="O50" s="13">
        <f>N50*VLOOKUP('Données projet'!$B$9,Paramètres!$A$1:$I$89,3,0)*VLOOKUP('Données projet'!$B$9,Paramètres!$A$1:$I$89,5,0)</f>
        <v>246.7296000000002</v>
      </c>
      <c r="P50" s="13">
        <f t="shared" si="33"/>
        <v>59.885098122247328</v>
      </c>
      <c r="Q50" s="20">
        <f t="shared" si="53"/>
        <v>534.02059922958108</v>
      </c>
      <c r="R50" s="59">
        <f t="shared" si="0"/>
        <v>827.35393256291445</v>
      </c>
      <c r="S50" s="59">
        <f ca="1">AVERAGE(OFFSET($R$3,0,0,'Données projet'!$E$9+1,1))-AVERAGE(OFFSET($H$3,0,0,'Données projet'!$E$9+1,1))</f>
        <v>379.12827535040157</v>
      </c>
      <c r="T50" s="59">
        <f t="shared" si="34"/>
        <v>317.29813413796956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62.627990818352735</v>
      </c>
      <c r="AA50" s="21">
        <f>EXP(-LN(2)/25)*AA49+(1-EXP(-LN(2)/25))/(LN(2)/25)*Calculateur!V50*Calculateur!X50*VLOOKUP('Données projet'!$B$9,Paramètres!$A$1:$I$89,3,0)*0.475*44/12</f>
        <v>27.796533341003457</v>
      </c>
      <c r="AB50" s="21">
        <f>EXP(-LN(2)/2)*AB49+(1-EXP(-LN(2)/2))/(LN(2)/2)*V50*Y50*VLOOKUP('Données projet'!$B$9,Paramètres!$A$1:$I$89,3,0)*0.475*44/12</f>
        <v>1.1891860303063773E-3</v>
      </c>
      <c r="AC50" s="22">
        <f t="shared" si="3"/>
        <v>90.425713345386498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17.8</v>
      </c>
      <c r="AI50" s="13">
        <f>IF('Données projet'!$A$62&gt;35,AI49+AH50-AQ49,IF(A50&lt;'Données projet'!$A$62,$AF$205^A50,IF(A50='Données projet'!$A$62,'Données projet'!$B$62,AI49+AH50-AQ49)))</f>
        <v>575.59999999999991</v>
      </c>
      <c r="AJ50" s="13">
        <f>AI50*VLOOKUP('Données projet'!$B$10,Paramètres!$A$1:$I$89,3,0)*VLOOKUP('Données projet'!$B$10,Paramètres!$A$1:$I$89,5,0)</f>
        <v>321.76039999999995</v>
      </c>
      <c r="AK50" s="13">
        <f t="shared" si="35"/>
        <v>75.719522083505169</v>
      </c>
      <c r="AL50" s="20">
        <f t="shared" si="4"/>
        <v>692.27753096210472</v>
      </c>
      <c r="AM50" s="59">
        <f t="shared" si="5"/>
        <v>985.61086429543798</v>
      </c>
      <c r="AN50" s="59">
        <f ca="1">AVERAGE(OFFSET($AM$3,0,0,'Données projet'!$E$10+1,1))-AVERAGE(OFFSET($H$3,0,0,'Données projet'!$E$10+1,1))</f>
        <v>382.55387448074327</v>
      </c>
      <c r="AO50" s="59">
        <f t="shared" si="36"/>
        <v>476.29465646955543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73.626130656672061</v>
      </c>
      <c r="AV50" s="21">
        <f>EXP(-LN(2)/25)*AV49+(1-EXP(-LN(2)/25))/(LN(2)/25)*Calculateur!AQ50*Calculateur!AS50*VLOOKUP('Données projet'!$B$10,Paramètres!$A$1:$I$89,3,0)*0.475*44/12</f>
        <v>13.692503431682322</v>
      </c>
      <c r="AW50" s="21">
        <f>EXP(-LN(2)/2)*AW49+(1-EXP(-LN(2)/2))/(LN(2)/2)*AQ50*AT50*VLOOKUP('Données projet'!$B$10,Paramètres!$A$1:$I$89,3,0)*0.475*44/12</f>
        <v>1.6688263736881793E-2</v>
      </c>
      <c r="AX50" s="21">
        <f t="shared" si="6"/>
        <v>87.335322352091268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8.1999999999999993</v>
      </c>
      <c r="BD50" s="12">
        <f>IF('Données projet'!$A$88&gt;35,BD49+BC50-BL49,IF(A50&lt;'Données projet'!$A$88,$BA$205^A50,IF(A50='Données projet'!$A$88,'Données projet'!$B$88,BD49+BC50-BL49)))</f>
        <v>153.40000000000003</v>
      </c>
      <c r="BE50" s="13">
        <f>BD50*VLOOKUP('Données projet'!$B$11,Paramètres!$A$1:$I$89,3,0)*VLOOKUP('Données projet'!$B$11,Paramètres!$A$1:$I$89,5,0)</f>
        <v>155.54760000000005</v>
      </c>
      <c r="BF50" s="13">
        <f t="shared" si="37"/>
        <v>39.836620617816237</v>
      </c>
      <c r="BG50" s="20">
        <f t="shared" si="7"/>
        <v>340.29418424269664</v>
      </c>
      <c r="BH50" s="59">
        <f t="shared" si="8"/>
        <v>633.62751757602996</v>
      </c>
      <c r="BI50" s="59">
        <f ca="1">AVERAGE(OFFSET($BH$3,0,0,'Données projet'!$E$11+1,1))-AVERAGE(OFFSET($H$3,0,0,'Données projet'!$E$11+1,1))</f>
        <v>308.80022073574963</v>
      </c>
      <c r="BJ50" s="59">
        <f t="shared" si="38"/>
        <v>183.96267407004115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26.522005202620594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26.522005202620594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24.6</v>
      </c>
      <c r="N51" s="13">
        <f>IF('Données projet'!$A$36&gt;35,N50+M51-V50,IF(A51&lt;'Données projet'!$A$36,$K$205^A51,IF(A51='Données projet'!$A$36,'Données projet'!$B$36,N50+M51-V50)))</f>
        <v>551.80000000000041</v>
      </c>
      <c r="O51" s="13">
        <f>N51*VLOOKUP('Données projet'!$B$9,Paramètres!$A$1:$I$89,3,0)*VLOOKUP('Données projet'!$B$9,Paramètres!$A$1:$I$89,5,0)</f>
        <v>258.2424000000002</v>
      </c>
      <c r="P51" s="13">
        <f t="shared" si="33"/>
        <v>62.347580891234266</v>
      </c>
      <c r="Q51" s="20">
        <f t="shared" si="53"/>
        <v>558.36088338556658</v>
      </c>
      <c r="R51" s="59">
        <f t="shared" si="0"/>
        <v>851.69421671889995</v>
      </c>
      <c r="S51" s="59">
        <f ca="1">AVERAGE(OFFSET($R$3,0,0,'Données projet'!$E$9+1,1))-AVERAGE(OFFSET($H$3,0,0,'Données projet'!$E$9+1,1))</f>
        <v>379.12827535040157</v>
      </c>
      <c r="T51" s="59">
        <f t="shared" si="34"/>
        <v>317.29813413796956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61.399894117707369</v>
      </c>
      <c r="AA51" s="21">
        <f>EXP(-LN(2)/25)*AA50+(1-EXP(-LN(2)/25))/(LN(2)/25)*Calculateur!V51*Calculateur!X51*VLOOKUP('Données projet'!$B$9,Paramètres!$A$1:$I$89,3,0)*0.475*44/12</f>
        <v>27.036435675037559</v>
      </c>
      <c r="AB51" s="21">
        <f>EXP(-LN(2)/2)*AB50+(1-EXP(-LN(2)/2))/(LN(2)/2)*V51*Y51*VLOOKUP('Données projet'!$B$9,Paramètres!$A$1:$I$89,3,0)*0.475*44/12</f>
        <v>8.4088150612195058E-4</v>
      </c>
      <c r="AC51" s="22">
        <f t="shared" si="3"/>
        <v>88.43717067425105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17.8</v>
      </c>
      <c r="AI51" s="13">
        <f>IF('Données projet'!$A$62&gt;35,AI50+AH51-AQ50,IF(A51&lt;'Données projet'!$A$62,$AF$205^A51,IF(A51='Données projet'!$A$62,'Données projet'!$B$62,AI50+AH51-AQ50)))</f>
        <v>593.39999999999986</v>
      </c>
      <c r="AJ51" s="13">
        <f>AI51*VLOOKUP('Données projet'!$B$10,Paramètres!$A$1:$I$89,3,0)*VLOOKUP('Données projet'!$B$10,Paramètres!$A$1:$I$89,5,0)</f>
        <v>331.71059999999994</v>
      </c>
      <c r="AK51" s="13">
        <f t="shared" si="35"/>
        <v>77.784851407016433</v>
      </c>
      <c r="AL51" s="20">
        <f t="shared" si="4"/>
        <v>713.20457786722011</v>
      </c>
      <c r="AM51" s="59">
        <f t="shared" si="5"/>
        <v>1006.5379112005535</v>
      </c>
      <c r="AN51" s="59">
        <f ca="1">AVERAGE(OFFSET($AM$3,0,0,'Données projet'!$E$10+1,1))-AVERAGE(OFFSET($H$3,0,0,'Données projet'!$E$10+1,1))</f>
        <v>382.55387448074327</v>
      </c>
      <c r="AO51" s="59">
        <f t="shared" si="36"/>
        <v>476.29465646955543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72.182367142000174</v>
      </c>
      <c r="AV51" s="21">
        <f>EXP(-LN(2)/25)*AV50+(1-EXP(-LN(2)/25))/(LN(2)/25)*Calculateur!AQ51*Calculateur!AS51*VLOOKUP('Données projet'!$B$10,Paramètres!$A$1:$I$89,3,0)*0.475*44/12</f>
        <v>13.318081205285509</v>
      </c>
      <c r="AW51" s="21">
        <f>EXP(-LN(2)/2)*AW50+(1-EXP(-LN(2)/2))/(LN(2)/2)*AQ51*AT51*VLOOKUP('Données projet'!$B$10,Paramètres!$A$1:$I$89,3,0)*0.475*44/12</f>
        <v>1.180038445457867E-2</v>
      </c>
      <c r="AX51" s="21">
        <f t="shared" si="6"/>
        <v>85.512248731740257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8.1999999999999993</v>
      </c>
      <c r="BD51" s="12">
        <f>IF('Données projet'!$A$88&gt;35,BD50+BC51-BL50,IF(A51&lt;'Données projet'!$A$88,$BA$205^A51,IF(A51='Données projet'!$A$88,'Données projet'!$B$88,BD50+BC51-BL50)))</f>
        <v>161.60000000000002</v>
      </c>
      <c r="BE51" s="13">
        <f>BD51*VLOOKUP('Données projet'!$B$11,Paramètres!$A$1:$I$89,3,0)*VLOOKUP('Données projet'!$B$11,Paramètres!$A$1:$I$89,5,0)</f>
        <v>163.86240000000004</v>
      </c>
      <c r="BF51" s="13">
        <f t="shared" si="37"/>
        <v>41.712477409029084</v>
      </c>
      <c r="BG51" s="20">
        <f t="shared" si="7"/>
        <v>358.0429114873923</v>
      </c>
      <c r="BH51" s="59">
        <f t="shared" si="8"/>
        <v>651.37624482072556</v>
      </c>
      <c r="BI51" s="59">
        <f ca="1">AVERAGE(OFFSET($BH$3,0,0,'Données projet'!$E$11+1,1))-AVERAGE(OFFSET($H$3,0,0,'Données projet'!$E$11+1,1))</f>
        <v>308.80022073574963</v>
      </c>
      <c r="BJ51" s="59">
        <f t="shared" si="38"/>
        <v>183.96267407004115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26.001924857423049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26.001924857423049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24.6</v>
      </c>
      <c r="N52" s="13">
        <f>IF('Données projet'!$A$36&gt;35,N51+M52-V51,IF(A52&lt;'Données projet'!$A$36,$K$205^A52,IF(A52='Données projet'!$A$36,'Données projet'!$B$36,N51+M52-V51)))</f>
        <v>576.40000000000043</v>
      </c>
      <c r="O52" s="13">
        <f>N52*VLOOKUP('Données projet'!$B$9,Paramètres!$A$1:$I$89,3,0)*VLOOKUP('Données projet'!$B$9,Paramètres!$A$1:$I$89,5,0)</f>
        <v>269.75520000000023</v>
      </c>
      <c r="P52" s="13">
        <f t="shared" si="33"/>
        <v>64.797313807133861</v>
      </c>
      <c r="Q52" s="20">
        <f t="shared" si="53"/>
        <v>582.67896154742527</v>
      </c>
      <c r="R52" s="59">
        <f t="shared" si="0"/>
        <v>876.01229488075865</v>
      </c>
      <c r="S52" s="59">
        <f ca="1">AVERAGE(OFFSET($R$3,0,0,'Données projet'!$E$9+1,1))-AVERAGE(OFFSET($H$3,0,0,'Données projet'!$E$9+1,1))</f>
        <v>379.12827535040157</v>
      </c>
      <c r="T52" s="59">
        <f t="shared" si="34"/>
        <v>317.29813413796956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60.195879644296639</v>
      </c>
      <c r="AA52" s="21">
        <f>EXP(-LN(2)/25)*AA51+(1-EXP(-LN(2)/25))/(LN(2)/25)*Calculateur!V52*Calculateur!X52*VLOOKUP('Données projet'!$B$9,Paramètres!$A$1:$I$89,3,0)*0.475*44/12</f>
        <v>26.297122919719296</v>
      </c>
      <c r="AB52" s="21">
        <f>EXP(-LN(2)/2)*AB51+(1-EXP(-LN(2)/2))/(LN(2)/2)*V52*Y52*VLOOKUP('Données projet'!$B$9,Paramètres!$A$1:$I$89,3,0)*0.475*44/12</f>
        <v>5.9459301515318863E-4</v>
      </c>
      <c r="AC52" s="22">
        <f t="shared" si="3"/>
        <v>86.49359715703109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17.8</v>
      </c>
      <c r="AI52" s="13">
        <f>IF('Données projet'!$A$62&gt;35,AI51+AH52-AQ51,IF(A52&lt;'Données projet'!$A$62,$AF$205^A52,IF(A52='Données projet'!$A$62,'Données projet'!$B$62,AI51+AH52-AQ51)))</f>
        <v>611.19999999999982</v>
      </c>
      <c r="AJ52" s="13">
        <f>AI52*VLOOKUP('Données projet'!$B$10,Paramètres!$A$1:$I$89,3,0)*VLOOKUP('Données projet'!$B$10,Paramètres!$A$1:$I$89,5,0)</f>
        <v>341.66079999999988</v>
      </c>
      <c r="AK52" s="13">
        <f t="shared" si="35"/>
        <v>79.842980844864144</v>
      </c>
      <c r="AL52" s="20">
        <f t="shared" si="4"/>
        <v>734.11908497147158</v>
      </c>
      <c r="AM52" s="59">
        <f t="shared" si="5"/>
        <v>1027.452418304805</v>
      </c>
      <c r="AN52" s="59">
        <f ca="1">AVERAGE(OFFSET($AM$3,0,0,'Données projet'!$E$10+1,1))-AVERAGE(OFFSET($H$3,0,0,'Données projet'!$E$10+1,1))</f>
        <v>382.55387448074327</v>
      </c>
      <c r="AO52" s="59">
        <f t="shared" si="36"/>
        <v>476.29465646955543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70.766914949242206</v>
      </c>
      <c r="AV52" s="21">
        <f>EXP(-LN(2)/25)*AV51+(1-EXP(-LN(2)/25))/(LN(2)/25)*Calculateur!AQ52*Calculateur!AS52*VLOOKUP('Données projet'!$B$10,Paramètres!$A$1:$I$89,3,0)*0.475*44/12</f>
        <v>12.953897574359525</v>
      </c>
      <c r="AW52" s="21">
        <f>EXP(-LN(2)/2)*AW51+(1-EXP(-LN(2)/2))/(LN(2)/2)*AQ52*AT52*VLOOKUP('Données projet'!$B$10,Paramètres!$A$1:$I$89,3,0)*0.475*44/12</f>
        <v>8.3441318684408967E-3</v>
      </c>
      <c r="AX52" s="21">
        <f t="shared" si="6"/>
        <v>83.729156655470177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8.1999999999999993</v>
      </c>
      <c r="BD52" s="12">
        <f>IF('Données projet'!$A$88&gt;35,BD51+BC52-BL51,IF(A52&lt;'Données projet'!$A$88,$BA$205^A52,IF(A52='Données projet'!$A$88,'Données projet'!$B$88,BD51+BC52-BL51)))</f>
        <v>169.8</v>
      </c>
      <c r="BE52" s="13">
        <f>BD52*VLOOKUP('Données projet'!$B$11,Paramètres!$A$1:$I$89,3,0)*VLOOKUP('Données projet'!$B$11,Paramètres!$A$1:$I$89,5,0)</f>
        <v>172.1772</v>
      </c>
      <c r="BF52" s="13">
        <f t="shared" si="37"/>
        <v>43.577282221917017</v>
      </c>
      <c r="BG52" s="20">
        <f t="shared" si="7"/>
        <v>375.77238986983883</v>
      </c>
      <c r="BH52" s="59">
        <f t="shared" si="8"/>
        <v>669.10572320317215</v>
      </c>
      <c r="BI52" s="59">
        <f ca="1">AVERAGE(OFFSET($BH$3,0,0,'Données projet'!$E$11+1,1))-AVERAGE(OFFSET($H$3,0,0,'Données projet'!$E$11+1,1))</f>
        <v>308.80022073574963</v>
      </c>
      <c r="BJ52" s="59">
        <f t="shared" si="38"/>
        <v>183.96267407004115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25.492042970577138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25.492042970577138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601</v>
      </c>
      <c r="L53" s="12">
        <f>VLOOKUP(A53,'Données projet'!$A$35:$I$55,9,0)</f>
        <v>24.6</v>
      </c>
      <c r="M53" s="12">
        <f t="array" ref="M53">INDEX(L:L,MIN(IF(ISNUMBER(L53:L249),ROW(L53:L249),"")))</f>
        <v>24.6</v>
      </c>
      <c r="N53" s="13">
        <f>IF('Données projet'!$A$36&gt;35,N52+M53-V52,IF(A53&lt;'Données projet'!$A$36,$K$205^A53,IF(A53='Données projet'!$A$36,'Données projet'!$B$36,N52+M53-V52)))</f>
        <v>601.00000000000045</v>
      </c>
      <c r="O53" s="13">
        <f>N53*VLOOKUP('Données projet'!$B$9,Paramètres!$A$1:$I$89,3,0)*VLOOKUP('Données projet'!$B$9,Paramètres!$A$1:$I$89,5,0)</f>
        <v>281.2680000000002</v>
      </c>
      <c r="P53" s="13">
        <f t="shared" si="33"/>
        <v>67.23490322494834</v>
      </c>
      <c r="Q53" s="20">
        <f t="shared" si="53"/>
        <v>606.97588978345209</v>
      </c>
      <c r="R53" s="59">
        <f t="shared" si="0"/>
        <v>900.30922311678546</v>
      </c>
      <c r="S53" s="59">
        <f ca="1">AVERAGE(OFFSET($R$3,0,0,'Données projet'!$E$9+1,1))-AVERAGE(OFFSET($H$3,0,0,'Données projet'!$E$9+1,1))</f>
        <v>379.12827535040157</v>
      </c>
      <c r="T53" s="59">
        <f t="shared" si="34"/>
        <v>317.29813413796956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70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82.917513518442803</v>
      </c>
      <c r="AA53" s="21">
        <f>EXP(-LN(2)/25)*AA52+(1-EXP(-LN(2)/25))/(LN(2)/25)*Calculateur!V53*Calculateur!X53*VLOOKUP('Données projet'!$B$9,Paramètres!$A$1:$I$89,3,0)*0.475*44/12</f>
        <v>25.57802671057398</v>
      </c>
      <c r="AB53" s="21">
        <f>EXP(-LN(2)/2)*AB52+(1-EXP(-LN(2)/2))/(LN(2)/2)*V53*Y53*VLOOKUP('Données projet'!$B$9,Paramètres!$A$1:$I$89,3,0)*0.475*44/12</f>
        <v>4.2044075306097529E-4</v>
      </c>
      <c r="AC53" s="22">
        <f t="shared" si="3"/>
        <v>108.49596066976984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629</v>
      </c>
      <c r="AG53" s="12">
        <f>VLOOKUP(A53,'Données projet'!$A$61:$I$81,9,0)</f>
        <v>17.8</v>
      </c>
      <c r="AH53" s="12">
        <f t="array" ref="AH53">INDEX(AG:AG,MIN(IF(ISNUMBER(AG53:AG249),ROW(AG53:AG249),"")))</f>
        <v>17.8</v>
      </c>
      <c r="AI53" s="13">
        <f>IF('Données projet'!$A$62&gt;35,AI52+AH53-AQ52,IF(A53&lt;'Données projet'!$A$62,$AF$205^A53,IF(A53='Données projet'!$A$62,'Données projet'!$B$62,AI52+AH53-AQ52)))</f>
        <v>628.99999999999977</v>
      </c>
      <c r="AJ53" s="13">
        <f>AI53*VLOOKUP('Données projet'!$B$10,Paramètres!$A$1:$I$89,3,0)*VLOOKUP('Données projet'!$B$10,Paramètres!$A$1:$I$89,5,0)</f>
        <v>351.61099999999988</v>
      </c>
      <c r="AK53" s="13">
        <f t="shared" si="35"/>
        <v>81.89414415728541</v>
      </c>
      <c r="AL53" s="20">
        <f t="shared" si="4"/>
        <v>755.02145940727178</v>
      </c>
      <c r="AM53" s="59">
        <f t="shared" si="5"/>
        <v>1048.354792740605</v>
      </c>
      <c r="AN53" s="59">
        <f ca="1">AVERAGE(OFFSET($AM$3,0,0,'Données projet'!$E$10+1,1))-AVERAGE(OFFSET($H$3,0,0,'Données projet'!$E$10+1,1))</f>
        <v>382.55387448074327</v>
      </c>
      <c r="AO53" s="59">
        <f t="shared" si="36"/>
        <v>476.29465646955543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48</v>
      </c>
      <c r="AR53" s="16">
        <f>IF(ISNA(VLOOKUP(A53,'Données projet'!$A$61:$I$81,5,0)),0%,VLOOKUP(A53,'Données projet'!$A$61:$I$81,5,0)*VLOOKUP('Données projet'!$B$10,Paramètres!$A$1:$I$89,7,0))</f>
        <v>0.55000000000000004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88.956126518238207</v>
      </c>
      <c r="AV53" s="21">
        <f>EXP(-LN(2)/25)*AV52+(1-EXP(-LN(2)/25))/(LN(2)/25)*Calculateur!AQ53*Calculateur!AS53*VLOOKUP('Données projet'!$B$10,Paramètres!$A$1:$I$89,3,0)*0.475*44/12</f>
        <v>12.599672563972797</v>
      </c>
      <c r="AW53" s="21">
        <f>EXP(-LN(2)/2)*AW52+(1-EXP(-LN(2)/2))/(LN(2)/2)*AQ53*AT53*VLOOKUP('Données projet'!$B$10,Paramètres!$A$1:$I$89,3,0)*0.475*44/12</f>
        <v>5.9001922272893352E-3</v>
      </c>
      <c r="AX53" s="21">
        <f t="shared" si="6"/>
        <v>101.5616992744383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178</v>
      </c>
      <c r="BB53" s="12">
        <f>VLOOKUP(A53,'Données projet'!$A$87:$I$107,9,0)</f>
        <v>8.1999999999999993</v>
      </c>
      <c r="BC53" s="12">
        <f t="array" ref="BC53">INDEX(BB:BB,MIN(IF(ISNUMBER(BB53:BB249),ROW(BB53:BB249),"")))</f>
        <v>8.1999999999999993</v>
      </c>
      <c r="BD53" s="12">
        <f>IF('Données projet'!$A$88&gt;35,BD52+BC53-BL52,IF(A53&lt;'Données projet'!$A$88,$BA$205^A53,IF(A53='Données projet'!$A$88,'Données projet'!$B$88,BD52+BC53-BL52)))</f>
        <v>178</v>
      </c>
      <c r="BE53" s="13">
        <f>BD53*VLOOKUP('Données projet'!$B$11,Paramètres!$A$1:$I$89,3,0)*VLOOKUP('Données projet'!$B$11,Paramètres!$A$1:$I$89,5,0)</f>
        <v>180.49200000000002</v>
      </c>
      <c r="BF53" s="13">
        <f t="shared" si="37"/>
        <v>45.431629706642653</v>
      </c>
      <c r="BG53" s="20">
        <f t="shared" si="7"/>
        <v>393.4836550724026</v>
      </c>
      <c r="BH53" s="59">
        <f t="shared" si="8"/>
        <v>686.81698840573586</v>
      </c>
      <c r="BI53" s="59">
        <f ca="1">AVERAGE(OFFSET($BH$3,0,0,'Données projet'!$E$11+1,1))-AVERAGE(OFFSET($H$3,0,0,'Données projet'!$E$11+1,1))</f>
        <v>308.80022073574963</v>
      </c>
      <c r="BJ53" s="59">
        <f t="shared" si="38"/>
        <v>183.96267407004115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35.11431064909813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35.11431064909813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23</v>
      </c>
      <c r="N54" s="13">
        <f>IF('Données projet'!$A$36&gt;35,N53+M54-V53,IF(A54&lt;'Données projet'!$A$36,$K$205^A54,IF(A54='Données projet'!$A$36,'Données projet'!$B$36,N53+M54-V53)))</f>
        <v>554.00000000000045</v>
      </c>
      <c r="O54" s="13">
        <f>N54*VLOOKUP('Données projet'!$B$9,Paramètres!$A$1:$I$89,3,0)*VLOOKUP('Données projet'!$B$9,Paramètres!$A$1:$I$89,5,0)</f>
        <v>259.27200000000022</v>
      </c>
      <c r="P54" s="13">
        <f t="shared" si="33"/>
        <v>62.567172460757995</v>
      </c>
      <c r="Q54" s="20">
        <f t="shared" si="53"/>
        <v>560.53655870248713</v>
      </c>
      <c r="R54" s="59">
        <f t="shared" si="0"/>
        <v>853.86989203582038</v>
      </c>
      <c r="S54" s="59">
        <f ca="1">AVERAGE(OFFSET($R$3,0,0,'Données projet'!$E$9+1,1))-AVERAGE(OFFSET($H$3,0,0,'Données projet'!$E$9+1,1))</f>
        <v>379.12827535040157</v>
      </c>
      <c r="T54" s="59">
        <f t="shared" si="34"/>
        <v>317.29813413796956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81.291551653035555</v>
      </c>
      <c r="AA54" s="21">
        <f>EXP(-LN(2)/25)*AA53+(1-EXP(-LN(2)/25))/(LN(2)/25)*Calculateur!V54*Calculateur!X54*VLOOKUP('Données projet'!$B$9,Paramètres!$A$1:$I$89,3,0)*0.475*44/12</f>
        <v>24.878594225083368</v>
      </c>
      <c r="AB54" s="21">
        <f>EXP(-LN(2)/2)*AB53+(1-EXP(-LN(2)/2))/(LN(2)/2)*V54*Y54*VLOOKUP('Données projet'!$B$9,Paramètres!$A$1:$I$89,3,0)*0.475*44/12</f>
        <v>2.9729650757659432E-4</v>
      </c>
      <c r="AC54" s="22">
        <f t="shared" si="3"/>
        <v>106.1704431746265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13.8</v>
      </c>
      <c r="AI54" s="13">
        <f>IF('Données projet'!$A$62&gt;35,AI53+AH54-AQ53,IF(A54&lt;'Données projet'!$A$62,$AF$205^A54,IF(A54='Données projet'!$A$62,'Données projet'!$B$62,AI53+AH54-AQ53)))</f>
        <v>594.79999999999973</v>
      </c>
      <c r="AJ54" s="13">
        <f>AI54*VLOOKUP('Données projet'!$B$10,Paramètres!$A$1:$I$89,3,0)*VLOOKUP('Données projet'!$B$10,Paramètres!$A$1:$I$89,5,0)</f>
        <v>332.49319999999983</v>
      </c>
      <c r="AK54" s="13">
        <f t="shared" si="35"/>
        <v>77.946984490524827</v>
      </c>
      <c r="AL54" s="20">
        <f t="shared" si="4"/>
        <v>714.84998798766367</v>
      </c>
      <c r="AM54" s="59">
        <f t="shared" si="5"/>
        <v>1008.183321320997</v>
      </c>
      <c r="AN54" s="59">
        <f ca="1">AVERAGE(OFFSET($AM$3,0,0,'Données projet'!$E$10+1,1))-AVERAGE(OFFSET($H$3,0,0,'Données projet'!$E$10+1,1))</f>
        <v>382.55387448074327</v>
      </c>
      <c r="AO54" s="59">
        <f t="shared" si="36"/>
        <v>476.29465646955543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87.211751135095213</v>
      </c>
      <c r="AV54" s="21">
        <f>EXP(-LN(2)/25)*AV53+(1-EXP(-LN(2)/25))/(LN(2)/25)*Calculateur!AQ54*Calculateur!AS54*VLOOKUP('Données projet'!$B$10,Paramètres!$A$1:$I$89,3,0)*0.475*44/12</f>
        <v>12.255133855122978</v>
      </c>
      <c r="AW54" s="21">
        <f>EXP(-LN(2)/2)*AW53+(1-EXP(-LN(2)/2))/(LN(2)/2)*AQ54*AT54*VLOOKUP('Données projet'!$B$10,Paramètres!$A$1:$I$89,3,0)*0.475*44/12</f>
        <v>4.1720659342204484E-3</v>
      </c>
      <c r="AX54" s="21">
        <f t="shared" si="6"/>
        <v>99.471057056152418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</v>
      </c>
      <c r="BD54" s="12">
        <f>IF('Données projet'!$A$88&gt;35,BD53+BC54-BL53,IF(A54&lt;'Données projet'!$A$88,$BA$205^A54,IF(A54='Données projet'!$A$88,'Données projet'!$B$88,BD53+BC54-BL53)))</f>
        <v>165</v>
      </c>
      <c r="BE54" s="13">
        <f>BD54*VLOOKUP('Données projet'!$B$11,Paramètres!$A$1:$I$89,3,0)*VLOOKUP('Données projet'!$B$11,Paramètres!$A$1:$I$89,5,0)</f>
        <v>167.31</v>
      </c>
      <c r="BF54" s="13">
        <f t="shared" si="37"/>
        <v>42.486994942347515</v>
      </c>
      <c r="BG54" s="20">
        <f t="shared" si="7"/>
        <v>365.39643285792187</v>
      </c>
      <c r="BH54" s="59">
        <f t="shared" si="8"/>
        <v>658.72976619125518</v>
      </c>
      <c r="BI54" s="59">
        <f ca="1">AVERAGE(OFFSET($BH$3,0,0,'Données projet'!$E$11+1,1))-AVERAGE(OFFSET($H$3,0,0,'Données projet'!$E$11+1,1))</f>
        <v>308.80022073574963</v>
      </c>
      <c r="BJ54" s="59">
        <f t="shared" si="38"/>
        <v>183.96267407004115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34.425740434883998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34.425740434883998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23</v>
      </c>
      <c r="N55" s="13">
        <f>IF('Données projet'!$A$36&gt;35,N54+M55-V54,IF(A55&lt;'Données projet'!$A$36,$K$205^A55,IF(A55='Données projet'!$A$36,'Données projet'!$B$36,N54+M55-V54)))</f>
        <v>577.00000000000045</v>
      </c>
      <c r="O55" s="13">
        <f>N55*VLOOKUP('Données projet'!$B$9,Paramètres!$A$1:$I$89,3,0)*VLOOKUP('Données projet'!$B$9,Paramètres!$A$1:$I$89,5,0)</f>
        <v>270.03600000000023</v>
      </c>
      <c r="P55" s="13">
        <f t="shared" si="33"/>
        <v>64.856909337133487</v>
      </c>
      <c r="Q55" s="20">
        <f t="shared" si="53"/>
        <v>583.2718170955078</v>
      </c>
      <c r="R55" s="59">
        <f t="shared" si="0"/>
        <v>876.60515042884117</v>
      </c>
      <c r="S55" s="59">
        <f ca="1">AVERAGE(OFFSET($R$3,0,0,'Données projet'!$E$9+1,1))-AVERAGE(OFFSET($H$3,0,0,'Données projet'!$E$9+1,1))</f>
        <v>379.12827535040157</v>
      </c>
      <c r="T55" s="59">
        <f t="shared" si="34"/>
        <v>317.29813413796956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79.697473908070123</v>
      </c>
      <c r="AA55" s="21">
        <f>EXP(-LN(2)/25)*AA54+(1-EXP(-LN(2)/25))/(LN(2)/25)*Calculateur!V55*Calculateur!X55*VLOOKUP('Données projet'!$B$9,Paramètres!$A$1:$I$89,3,0)*0.475*44/12</f>
        <v>24.198287757690053</v>
      </c>
      <c r="AB55" s="21">
        <f>EXP(-LN(2)/2)*AB54+(1-EXP(-LN(2)/2))/(LN(2)/2)*V55*Y55*VLOOKUP('Données projet'!$B$9,Paramètres!$A$1:$I$89,3,0)*0.475*44/12</f>
        <v>2.1022037653048765E-4</v>
      </c>
      <c r="AC55" s="22">
        <f t="shared" si="3"/>
        <v>103.89597188613671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13.8</v>
      </c>
      <c r="AI55" s="13">
        <f>IF('Données projet'!$A$62&gt;35,AI54+AH55-AQ54,IF(A55&lt;'Données projet'!$A$62,$AF$205^A55,IF(A55='Données projet'!$A$62,'Données projet'!$B$62,AI54+AH55-AQ54)))</f>
        <v>608.59999999999968</v>
      </c>
      <c r="AJ55" s="13">
        <f>AI55*VLOOKUP('Données projet'!$B$10,Paramètres!$A$1:$I$89,3,0)*VLOOKUP('Données projet'!$B$10,Paramètres!$A$1:$I$89,5,0)</f>
        <v>340.20739999999984</v>
      </c>
      <c r="AK55" s="13">
        <f t="shared" si="35"/>
        <v>79.542795053996059</v>
      </c>
      <c r="AL55" s="20">
        <f t="shared" si="4"/>
        <v>731.06492305237623</v>
      </c>
      <c r="AM55" s="59">
        <f t="shared" si="5"/>
        <v>1024.3982563857096</v>
      </c>
      <c r="AN55" s="59">
        <f ca="1">AVERAGE(OFFSET($AM$3,0,0,'Données projet'!$E$10+1,1))-AVERAGE(OFFSET($H$3,0,0,'Données projet'!$E$10+1,1))</f>
        <v>382.55387448074327</v>
      </c>
      <c r="AO55" s="59">
        <f t="shared" si="36"/>
        <v>476.29465646955543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85.501581889251725</v>
      </c>
      <c r="AV55" s="21">
        <f>EXP(-LN(2)/25)*AV54+(1-EXP(-LN(2)/25))/(LN(2)/25)*Calculateur!AQ55*Calculateur!AS55*VLOOKUP('Données projet'!$B$10,Paramètres!$A$1:$I$89,3,0)*0.475*44/12</f>
        <v>11.92001657538516</v>
      </c>
      <c r="AW55" s="21">
        <f>EXP(-LN(2)/2)*AW54+(1-EXP(-LN(2)/2))/(LN(2)/2)*AQ55*AT55*VLOOKUP('Données projet'!$B$10,Paramètres!$A$1:$I$89,3,0)*0.475*44/12</f>
        <v>2.9500961136446676E-3</v>
      </c>
      <c r="AX55" s="21">
        <f t="shared" si="6"/>
        <v>97.424548560750537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</v>
      </c>
      <c r="BD55" s="12">
        <f>IF('Données projet'!$A$88&gt;35,BD54+BC55-BL54,IF(A55&lt;'Données projet'!$A$88,$BA$205^A55,IF(A55='Données projet'!$A$88,'Données projet'!$B$88,BD54+BC55-BL54)))</f>
        <v>173</v>
      </c>
      <c r="BE55" s="13">
        <f>BD55*VLOOKUP('Données projet'!$B$11,Paramètres!$A$1:$I$89,3,0)*VLOOKUP('Données projet'!$B$11,Paramètres!$A$1:$I$89,5,0)</f>
        <v>175.422</v>
      </c>
      <c r="BF55" s="13">
        <f t="shared" si="37"/>
        <v>44.302143412304737</v>
      </c>
      <c r="BG55" s="20">
        <f t="shared" si="7"/>
        <v>382.68621644309741</v>
      </c>
      <c r="BH55" s="59">
        <f t="shared" si="8"/>
        <v>676.01954977643072</v>
      </c>
      <c r="BI55" s="59">
        <f ca="1">AVERAGE(OFFSET($BH$3,0,0,'Données projet'!$E$11+1,1))-AVERAGE(OFFSET($H$3,0,0,'Données projet'!$E$11+1,1))</f>
        <v>308.80022073574963</v>
      </c>
      <c r="BJ55" s="59">
        <f t="shared" si="38"/>
        <v>183.96267407004115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33.750672662584243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33.750672662584243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23</v>
      </c>
      <c r="N56" s="13">
        <f>IF('Données projet'!$A$36&gt;35,N55+M56-V55,IF(A56&lt;'Données projet'!$A$36,$K$205^A56,IF(A56='Données projet'!$A$36,'Données projet'!$B$36,N55+M56-V55)))</f>
        <v>600.00000000000045</v>
      </c>
      <c r="O56" s="13">
        <f>N56*VLOOKUP('Données projet'!$B$9,Paramètres!$A$1:$I$89,3,0)*VLOOKUP('Données projet'!$B$9,Paramètres!$A$1:$I$89,5,0)</f>
        <v>280.80000000000018</v>
      </c>
      <c r="P56" s="13">
        <f t="shared" si="33"/>
        <v>67.136043795470343</v>
      </c>
      <c r="Q56" s="20">
        <f t="shared" si="53"/>
        <v>605.98860961044454</v>
      </c>
      <c r="R56" s="59">
        <f t="shared" si="0"/>
        <v>899.32194294377791</v>
      </c>
      <c r="S56" s="59">
        <f ca="1">AVERAGE(OFFSET($R$3,0,0,'Données projet'!$E$9+1,1))-AVERAGE(OFFSET($H$3,0,0,'Données projet'!$E$9+1,1))</f>
        <v>379.12827535040157</v>
      </c>
      <c r="T56" s="59">
        <f t="shared" si="34"/>
        <v>317.29813413796956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78.134655055392045</v>
      </c>
      <c r="AA56" s="21">
        <f>EXP(-LN(2)/25)*AA55+(1-EXP(-LN(2)/25))/(LN(2)/25)*Calculateur!V56*Calculateur!X56*VLOOKUP('Données projet'!$B$9,Paramètres!$A$1:$I$89,3,0)*0.475*44/12</f>
        <v>23.536584306423372</v>
      </c>
      <c r="AB56" s="21">
        <f>EXP(-LN(2)/2)*AB55+(1-EXP(-LN(2)/2))/(LN(2)/2)*V56*Y56*VLOOKUP('Données projet'!$B$9,Paramètres!$A$1:$I$89,3,0)*0.475*44/12</f>
        <v>1.4864825378829716E-4</v>
      </c>
      <c r="AC56" s="22">
        <f t="shared" si="3"/>
        <v>101.67138801006921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13.8</v>
      </c>
      <c r="AI56" s="13">
        <f>IF('Données projet'!$A$62&gt;35,AI55+AH56-AQ55,IF(A56&lt;'Données projet'!$A$62,$AF$205^A56,IF(A56='Données projet'!$A$62,'Données projet'!$B$62,AI55+AH56-AQ55)))</f>
        <v>622.39999999999964</v>
      </c>
      <c r="AJ56" s="13">
        <f>AI56*VLOOKUP('Données projet'!$B$10,Paramètres!$A$1:$I$89,3,0)*VLOOKUP('Données projet'!$B$10,Paramètres!$A$1:$I$89,5,0)</f>
        <v>347.92159999999978</v>
      </c>
      <c r="AK56" s="13">
        <f t="shared" si="35"/>
        <v>81.134398856989449</v>
      </c>
      <c r="AL56" s="20">
        <f t="shared" si="4"/>
        <v>747.27253134258956</v>
      </c>
      <c r="AM56" s="59">
        <f t="shared" si="5"/>
        <v>1040.6058646759229</v>
      </c>
      <c r="AN56" s="59">
        <f ca="1">AVERAGE(OFFSET($AM$3,0,0,'Données projet'!$E$10+1,1))-AVERAGE(OFFSET($H$3,0,0,'Données projet'!$E$10+1,1))</f>
        <v>382.55387448074327</v>
      </c>
      <c r="AO56" s="59">
        <f t="shared" si="36"/>
        <v>476.29465646955543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83.824948019218979</v>
      </c>
      <c r="AV56" s="21">
        <f>EXP(-LN(2)/25)*AV55+(1-EXP(-LN(2)/25))/(LN(2)/25)*Calculateur!AQ56*Calculateur!AS56*VLOOKUP('Données projet'!$B$10,Paramètres!$A$1:$I$89,3,0)*0.475*44/12</f>
        <v>11.594063095284826</v>
      </c>
      <c r="AW56" s="21">
        <f>EXP(-LN(2)/2)*AW55+(1-EXP(-LN(2)/2))/(LN(2)/2)*AQ56*AT56*VLOOKUP('Données projet'!$B$10,Paramètres!$A$1:$I$89,3,0)*0.475*44/12</f>
        <v>2.0860329671102242E-3</v>
      </c>
      <c r="AX56" s="21">
        <f t="shared" si="6"/>
        <v>95.421097147470917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</v>
      </c>
      <c r="BD56" s="12">
        <f>IF('Données projet'!$A$88&gt;35,BD55+BC56-BL55,IF(A56&lt;'Données projet'!$A$88,$BA$205^A56,IF(A56='Données projet'!$A$88,'Données projet'!$B$88,BD55+BC56-BL55)))</f>
        <v>181</v>
      </c>
      <c r="BE56" s="13">
        <f>BD56*VLOOKUP('Données projet'!$B$11,Paramètres!$A$1:$I$89,3,0)*VLOOKUP('Données projet'!$B$11,Paramètres!$A$1:$I$89,5,0)</f>
        <v>183.53400000000002</v>
      </c>
      <c r="BF56" s="13">
        <f t="shared" si="37"/>
        <v>46.107544136839593</v>
      </c>
      <c r="BG56" s="20">
        <f t="shared" si="7"/>
        <v>399.95902270499568</v>
      </c>
      <c r="BH56" s="59">
        <f t="shared" si="8"/>
        <v>693.29235603832899</v>
      </c>
      <c r="BI56" s="59">
        <f ca="1">AVERAGE(OFFSET($BH$3,0,0,'Données projet'!$E$11+1,1))-AVERAGE(OFFSET($H$3,0,0,'Données projet'!$E$11+1,1))</f>
        <v>308.80022073574963</v>
      </c>
      <c r="BJ56" s="59">
        <f t="shared" si="38"/>
        <v>183.96267407004115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33.088842557548602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33.088842557548602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23</v>
      </c>
      <c r="N57" s="13">
        <f>IF('Données projet'!$A$36&gt;35,N56+M57-V56,IF(A57&lt;'Données projet'!$A$36,$K$205^A57,IF(A57='Données projet'!$A$36,'Données projet'!$B$36,N56+M57-V56)))</f>
        <v>623.00000000000045</v>
      </c>
      <c r="O57" s="13">
        <f>N57*VLOOKUP('Données projet'!$B$9,Paramètres!$A$1:$I$89,3,0)*VLOOKUP('Données projet'!$B$9,Paramètres!$A$1:$I$89,5,0)</f>
        <v>291.56400000000019</v>
      </c>
      <c r="P57" s="13">
        <f t="shared" si="33"/>
        <v>69.405028784878667</v>
      </c>
      <c r="Q57" s="20">
        <f t="shared" si="53"/>
        <v>628.687725133664</v>
      </c>
      <c r="R57" s="59">
        <f t="shared" si="0"/>
        <v>922.02105846699737</v>
      </c>
      <c r="S57" s="59">
        <f ca="1">AVERAGE(OFFSET($R$3,0,0,'Données projet'!$E$9+1,1))-AVERAGE(OFFSET($H$3,0,0,'Données projet'!$E$9+1,1))</f>
        <v>379.12827535040157</v>
      </c>
      <c r="T57" s="59">
        <f t="shared" si="34"/>
        <v>317.29813413796956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76.602482127189617</v>
      </c>
      <c r="AA57" s="21">
        <f>EXP(-LN(2)/25)*AA56+(1-EXP(-LN(2)/25))/(LN(2)/25)*Calculateur!V57*Calculateur!X57*VLOOKUP('Données projet'!$B$9,Paramètres!$A$1:$I$89,3,0)*0.475*44/12</f>
        <v>22.89297517082905</v>
      </c>
      <c r="AB57" s="21">
        <f>EXP(-LN(2)/2)*AB56+(1-EXP(-LN(2)/2))/(LN(2)/2)*V57*Y57*VLOOKUP('Données projet'!$B$9,Paramètres!$A$1:$I$89,3,0)*0.475*44/12</f>
        <v>1.0511018826524382E-4</v>
      </c>
      <c r="AC57" s="22">
        <f t="shared" si="3"/>
        <v>99.495562408206936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13.8</v>
      </c>
      <c r="AI57" s="13">
        <f>IF('Données projet'!$A$62&gt;35,AI56+AH57-AQ56,IF(A57&lt;'Données projet'!$A$62,$AF$205^A57,IF(A57='Données projet'!$A$62,'Données projet'!$B$62,AI56+AH57-AQ56)))</f>
        <v>636.19999999999959</v>
      </c>
      <c r="AJ57" s="13">
        <f>AI57*VLOOKUP('Données projet'!$B$10,Paramètres!$A$1:$I$89,3,0)*VLOOKUP('Données projet'!$B$10,Paramètres!$A$1:$I$89,5,0)</f>
        <v>355.63579999999973</v>
      </c>
      <c r="AK57" s="13">
        <f t="shared" si="35"/>
        <v>82.721899912765039</v>
      </c>
      <c r="AL57" s="20">
        <f t="shared" si="4"/>
        <v>763.47299401473185</v>
      </c>
      <c r="AM57" s="59">
        <f t="shared" si="5"/>
        <v>1056.8063273480652</v>
      </c>
      <c r="AN57" s="59">
        <f ca="1">AVERAGE(OFFSET($AM$3,0,0,'Données projet'!$E$10+1,1))-AVERAGE(OFFSET($H$3,0,0,'Données projet'!$E$10+1,1))</f>
        <v>382.55387448074327</v>
      </c>
      <c r="AO57" s="59">
        <f t="shared" si="36"/>
        <v>476.29465646955543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82.181191916731905</v>
      </c>
      <c r="AV57" s="21">
        <f>EXP(-LN(2)/25)*AV56+(1-EXP(-LN(2)/25))/(LN(2)/25)*Calculateur!AQ57*Calculateur!AS57*VLOOKUP('Données projet'!$B$10,Paramètres!$A$1:$I$89,3,0)*0.475*44/12</f>
        <v>11.277022830238982</v>
      </c>
      <c r="AW57" s="21">
        <f>EXP(-LN(2)/2)*AW56+(1-EXP(-LN(2)/2))/(LN(2)/2)*AQ57*AT57*VLOOKUP('Données projet'!$B$10,Paramètres!$A$1:$I$89,3,0)*0.475*44/12</f>
        <v>1.4750480568223338E-3</v>
      </c>
      <c r="AX57" s="21">
        <f t="shared" si="6"/>
        <v>93.4596897950277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</v>
      </c>
      <c r="BD57" s="12">
        <f>IF('Données projet'!$A$88&gt;35,BD56+BC57-BL56,IF(A57&lt;'Données projet'!$A$88,$BA$205^A57,IF(A57='Données projet'!$A$88,'Données projet'!$B$88,BD56+BC57-BL56)))</f>
        <v>189</v>
      </c>
      <c r="BE57" s="13">
        <f>BD57*VLOOKUP('Données projet'!$B$11,Paramètres!$A$1:$I$89,3,0)*VLOOKUP('Données projet'!$B$11,Paramètres!$A$1:$I$89,5,0)</f>
        <v>191.64600000000002</v>
      </c>
      <c r="BF57" s="13">
        <f t="shared" si="37"/>
        <v>47.903677189291635</v>
      </c>
      <c r="BG57" s="20">
        <f t="shared" si="7"/>
        <v>417.21568777134962</v>
      </c>
      <c r="BH57" s="59">
        <f t="shared" si="8"/>
        <v>710.54902110468288</v>
      </c>
      <c r="BI57" s="59">
        <f ca="1">AVERAGE(OFFSET($BH$3,0,0,'Données projet'!$E$11+1,1))-AVERAGE(OFFSET($H$3,0,0,'Données projet'!$E$11+1,1))</f>
        <v>308.80022073574963</v>
      </c>
      <c r="BJ57" s="59">
        <f t="shared" si="38"/>
        <v>183.96267407004115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32.439990537196209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32.439990537196209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646</v>
      </c>
      <c r="L58" s="12">
        <f>VLOOKUP(A58,'Données projet'!$A$35:$I$55,9,0)</f>
        <v>23</v>
      </c>
      <c r="M58" s="12">
        <f t="array" ref="M58">INDEX(L:L,MIN(IF(ISNUMBER(L58:L254),ROW(L58:L254),"")))</f>
        <v>23</v>
      </c>
      <c r="N58" s="13">
        <f>IF('Données projet'!$A$36&gt;35,N57+M58-V57,IF(A58&lt;'Données projet'!$A$36,$K$205^A58,IF(A58='Données projet'!$A$36,'Données projet'!$B$36,N57+M58-V57)))</f>
        <v>646.00000000000045</v>
      </c>
      <c r="O58" s="13">
        <f>N58*VLOOKUP('Données projet'!$B$9,Paramètres!$A$1:$I$89,3,0)*VLOOKUP('Données projet'!$B$9,Paramètres!$A$1:$I$89,5,0)</f>
        <v>302.3280000000002</v>
      </c>
      <c r="P58" s="13">
        <f t="shared" si="33"/>
        <v>71.664281915377458</v>
      </c>
      <c r="Q58" s="20">
        <f t="shared" si="53"/>
        <v>651.3698910026161</v>
      </c>
      <c r="R58" s="59">
        <f t="shared" si="0"/>
        <v>944.70322433594947</v>
      </c>
      <c r="S58" s="59">
        <f ca="1">AVERAGE(OFFSET($R$3,0,0,'Données projet'!$E$9+1,1))-AVERAGE(OFFSET($H$3,0,0,'Données projet'!$E$9+1,1))</f>
        <v>379.12827535040157</v>
      </c>
      <c r="T58" s="59">
        <f t="shared" si="34"/>
        <v>317.29813413796956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63</v>
      </c>
      <c r="W58" s="16">
        <f>IF(ISNA(VLOOKUP(A58,'Données projet'!$A$35:$I$55,5,0)),0%,VLOOKUP(A58,'Données projet'!$A$35:$I$55,5,0)*VLOOKUP('Données projet'!$B$9,Paramètres!$A$1:$I$89,7,0))</f>
        <v>0.55000000000000004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96.6121886978747</v>
      </c>
      <c r="AA58" s="21">
        <f>EXP(-LN(2)/25)*AA57+(1-EXP(-LN(2)/25))/(LN(2)/25)*Calculateur!V58*Calculateur!X58*VLOOKUP('Données projet'!$B$9,Paramètres!$A$1:$I$89,3,0)*0.475*44/12</f>
        <v>22.266965560893489</v>
      </c>
      <c r="AB58" s="21">
        <f>EXP(-LN(2)/2)*AB57+(1-EXP(-LN(2)/2))/(LN(2)/2)*V58*Y58*VLOOKUP('Données projet'!$B$9,Paramètres!$A$1:$I$89,3,0)*0.475*44/12</f>
        <v>7.4324126894148579E-5</v>
      </c>
      <c r="AC58" s="22">
        <f t="shared" si="3"/>
        <v>118.87922858289508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650</v>
      </c>
      <c r="AG58" s="12">
        <f>VLOOKUP(A58,'Données projet'!$A$61:$I$81,9,0)</f>
        <v>13.8</v>
      </c>
      <c r="AH58" s="12">
        <f t="array" ref="AH58">INDEX(AG:AG,MIN(IF(ISNUMBER(AG58:AG254),ROW(AG58:AG254),"")))</f>
        <v>13.8</v>
      </c>
      <c r="AI58" s="13">
        <f>IF('Données projet'!$A$62&gt;35,AI57+AH58-AQ57,IF(A58&lt;'Données projet'!$A$62,$AF$205^A58,IF(A58='Données projet'!$A$62,'Données projet'!$B$62,AI57+AH58-AQ57)))</f>
        <v>649.99999999999955</v>
      </c>
      <c r="AJ58" s="13">
        <f>AI58*VLOOKUP('Données projet'!$B$10,Paramètres!$A$1:$I$89,3,0)*VLOOKUP('Données projet'!$B$10,Paramètres!$A$1:$I$89,5,0)</f>
        <v>363.34999999999974</v>
      </c>
      <c r="AK58" s="13">
        <f t="shared" si="35"/>
        <v>84.305397464498199</v>
      </c>
      <c r="AL58" s="20">
        <f t="shared" si="4"/>
        <v>779.66648391733395</v>
      </c>
      <c r="AM58" s="59">
        <f t="shared" si="5"/>
        <v>1072.9998172506673</v>
      </c>
      <c r="AN58" s="59">
        <f ca="1">AVERAGE(OFFSET($AM$3,0,0,'Données projet'!$E$10+1,1))-AVERAGE(OFFSET($H$3,0,0,'Données projet'!$E$10+1,1))</f>
        <v>382.55387448074327</v>
      </c>
      <c r="AO58" s="59">
        <f t="shared" si="36"/>
        <v>476.29465646955543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35</v>
      </c>
      <c r="AR58" s="16">
        <f>IF(ISNA(VLOOKUP(A58,'Données projet'!$A$61:$I$81,5,0)),0%,VLOOKUP(A58,'Données projet'!$A$61:$I$81,5,0)*VLOOKUP('Données projet'!$B$10,Paramètres!$A$1:$I$89,7,0))</f>
        <v>0.55000000000000004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94.844497332693408</v>
      </c>
      <c r="AV58" s="21">
        <f>EXP(-LN(2)/25)*AV57+(1-EXP(-LN(2)/25))/(LN(2)/25)*Calculateur!AQ58*Calculateur!AS58*VLOOKUP('Données projet'!$B$10,Paramètres!$A$1:$I$89,3,0)*0.475*44/12</f>
        <v>10.96865204791324</v>
      </c>
      <c r="AW58" s="21">
        <f>EXP(-LN(2)/2)*AW57+(1-EXP(-LN(2)/2))/(LN(2)/2)*AQ58*AT58*VLOOKUP('Données projet'!$B$10,Paramètres!$A$1:$I$89,3,0)*0.475*44/12</f>
        <v>1.0430164835551121E-3</v>
      </c>
      <c r="AX58" s="21">
        <f t="shared" si="6"/>
        <v>105.8141923970902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197</v>
      </c>
      <c r="BB58" s="12">
        <f>VLOOKUP(A58,'Données projet'!$A$87:$I$107,9,0)</f>
        <v>8</v>
      </c>
      <c r="BC58" s="12">
        <f t="array" ref="BC58">INDEX(BB:BB,MIN(IF(ISNUMBER(BB58:BB254),ROW(BB58:BB254),"")))</f>
        <v>8</v>
      </c>
      <c r="BD58" s="12">
        <f>IF('Données projet'!$A$88&gt;35,BD57+BC58-BL57,IF(A58&lt;'Données projet'!$A$88,$BA$205^A58,IF(A58='Données projet'!$A$88,'Données projet'!$B$88,BD57+BC58-BL57)))</f>
        <v>197</v>
      </c>
      <c r="BE58" s="13">
        <f>BD58*VLOOKUP('Données projet'!$B$11,Paramètres!$A$1:$I$89,3,0)*VLOOKUP('Données projet'!$B$11,Paramètres!$A$1:$I$89,5,0)</f>
        <v>199.75800000000004</v>
      </c>
      <c r="BF58" s="13">
        <f t="shared" si="37"/>
        <v>49.690979702964015</v>
      </c>
      <c r="BG58" s="20">
        <f t="shared" si="7"/>
        <v>434.45697298266236</v>
      </c>
      <c r="BH58" s="59">
        <f t="shared" si="8"/>
        <v>727.79030631599562</v>
      </c>
      <c r="BI58" s="59">
        <f ca="1">AVERAGE(OFFSET($BH$3,0,0,'Données projet'!$E$11+1,1))-AVERAGE(OFFSET($H$3,0,0,'Données projet'!$E$11+1,1))</f>
        <v>308.80022073574963</v>
      </c>
      <c r="BJ58" s="59">
        <f t="shared" si="38"/>
        <v>183.96267407004115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21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41.926013201765365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41.926013201765365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21.4</v>
      </c>
      <c r="N59" s="13">
        <f>IF('Données projet'!$A$36&gt;35,N58+M59-V58,IF(A59&lt;'Données projet'!$A$36,$K$205^A59,IF(A59='Données projet'!$A$36,'Données projet'!$B$36,N58+M59-V58)))</f>
        <v>604.40000000000043</v>
      </c>
      <c r="O59" s="13">
        <f>N59*VLOOKUP('Données projet'!$B$9,Paramètres!$A$1:$I$89,3,0)*VLOOKUP('Données projet'!$B$9,Paramètres!$A$1:$I$89,5,0)</f>
        <v>282.85920000000021</v>
      </c>
      <c r="P59" s="13">
        <f t="shared" si="33"/>
        <v>67.570882292948653</v>
      </c>
      <c r="Q59" s="20">
        <f t="shared" si="53"/>
        <v>610.33239332688595</v>
      </c>
      <c r="R59" s="59">
        <f t="shared" si="0"/>
        <v>903.66572666021921</v>
      </c>
      <c r="S59" s="59">
        <f ca="1">AVERAGE(OFFSET($R$3,0,0,'Données projet'!$E$9+1,1))-AVERAGE(OFFSET($H$3,0,0,'Données projet'!$E$9+1,1))</f>
        <v>379.12827535040157</v>
      </c>
      <c r="T59" s="59">
        <f t="shared" si="34"/>
        <v>317.29813413796956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94.717682605125859</v>
      </c>
      <c r="AA59" s="21">
        <f>EXP(-LN(2)/25)*AA58+(1-EXP(-LN(2)/25))/(LN(2)/25)*Calculateur!V59*Calculateur!X59*VLOOKUP('Données projet'!$B$9,Paramètres!$A$1:$I$89,3,0)*0.475*44/12</f>
        <v>21.65807421666203</v>
      </c>
      <c r="AB59" s="21">
        <f>EXP(-LN(2)/2)*AB58+(1-EXP(-LN(2)/2))/(LN(2)/2)*V59*Y59*VLOOKUP('Données projet'!$B$9,Paramètres!$A$1:$I$89,3,0)*0.475*44/12</f>
        <v>5.2555094132621912E-5</v>
      </c>
      <c r="AC59" s="22">
        <f t="shared" si="3"/>
        <v>116.37580937688202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10.199999999999999</v>
      </c>
      <c r="AI59" s="13">
        <f>IF('Données projet'!$A$62&gt;35,AI58+AH59-AQ58,IF(A59&lt;'Données projet'!$A$62,$AF$205^A59,IF(A59='Données projet'!$A$62,'Données projet'!$B$62,AI58+AH59-AQ58)))</f>
        <v>625.19999999999959</v>
      </c>
      <c r="AJ59" s="13">
        <f>AI59*VLOOKUP('Données projet'!$B$10,Paramètres!$A$1:$I$89,3,0)*VLOOKUP('Données projet'!$B$10,Paramètres!$A$1:$I$89,5,0)</f>
        <v>349.48679999999979</v>
      </c>
      <c r="AK59" s="13">
        <f t="shared" si="35"/>
        <v>81.45682900536228</v>
      </c>
      <c r="AL59" s="20">
        <f t="shared" si="4"/>
        <v>750.56015385100557</v>
      </c>
      <c r="AM59" s="59">
        <f t="shared" si="5"/>
        <v>1043.8934871843389</v>
      </c>
      <c r="AN59" s="59">
        <f ca="1">AVERAGE(OFFSET($AM$3,0,0,'Données projet'!$E$10+1,1))-AVERAGE(OFFSET($H$3,0,0,'Données projet'!$E$10+1,1))</f>
        <v>382.55387448074327</v>
      </c>
      <c r="AO59" s="59">
        <f t="shared" si="36"/>
        <v>476.29465646955543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92.984654589430505</v>
      </c>
      <c r="AV59" s="21">
        <f>EXP(-LN(2)/25)*AV58+(1-EXP(-LN(2)/25))/(LN(2)/25)*Calculateur!AQ59*Calculateur!AS59*VLOOKUP('Données projet'!$B$10,Paramètres!$A$1:$I$89,3,0)*0.475*44/12</f>
        <v>10.668713680846711</v>
      </c>
      <c r="AW59" s="21">
        <f>EXP(-LN(2)/2)*AW58+(1-EXP(-LN(2)/2))/(LN(2)/2)*AQ59*AT59*VLOOKUP('Données projet'!$B$10,Paramètres!$A$1:$I$89,3,0)*0.475*44/12</f>
        <v>7.375240284111669E-4</v>
      </c>
      <c r="AX59" s="21">
        <f t="shared" si="6"/>
        <v>103.65410579430562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7.6</v>
      </c>
      <c r="BD59" s="12">
        <f>IF('Données projet'!$A$88&gt;35,BD58+BC59-BL58,IF(A59&lt;'Données projet'!$A$88,$BA$205^A59,IF(A59='Données projet'!$A$88,'Données projet'!$B$88,BD58+BC59-BL58)))</f>
        <v>183.6</v>
      </c>
      <c r="BE59" s="13">
        <f>BD59*VLOOKUP('Données projet'!$B$11,Paramètres!$A$1:$I$89,3,0)*VLOOKUP('Données projet'!$B$11,Paramètres!$A$1:$I$89,5,0)</f>
        <v>186.1704</v>
      </c>
      <c r="BF59" s="13">
        <f t="shared" si="37"/>
        <v>46.692281933796018</v>
      </c>
      <c r="BG59" s="20">
        <f t="shared" si="7"/>
        <v>405.56917103469476</v>
      </c>
      <c r="BH59" s="59">
        <f t="shared" si="8"/>
        <v>698.90250436802808</v>
      </c>
      <c r="BI59" s="59">
        <f ca="1">AVERAGE(OFFSET($BH$3,0,0,'Données projet'!$E$11+1,1))-AVERAGE(OFFSET($H$3,0,0,'Données projet'!$E$11+1,1))</f>
        <v>308.80022073574963</v>
      </c>
      <c r="BJ59" s="59">
        <f t="shared" si="38"/>
        <v>183.96267407004115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41.103869655221743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41.103869655221743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21.4</v>
      </c>
      <c r="N60" s="13">
        <f>IF('Données projet'!$A$36&gt;35,N59+M60-V59,IF(A60&lt;'Données projet'!$A$36,$K$205^A60,IF(A60='Données projet'!$A$36,'Données projet'!$B$36,N59+M60-V59)))</f>
        <v>625.80000000000041</v>
      </c>
      <c r="O60" s="13">
        <f>N60*VLOOKUP('Données projet'!$B$9,Paramètres!$A$1:$I$89,3,0)*VLOOKUP('Données projet'!$B$9,Paramètres!$A$1:$I$89,5,0)</f>
        <v>292.87440000000021</v>
      </c>
      <c r="P60" s="13">
        <f t="shared" si="33"/>
        <v>69.680580555206433</v>
      </c>
      <c r="Q60" s="20">
        <f t="shared" si="53"/>
        <v>631.44992446698484</v>
      </c>
      <c r="R60" s="59">
        <f t="shared" si="0"/>
        <v>924.7832578003181</v>
      </c>
      <c r="S60" s="59">
        <f ca="1">AVERAGE(OFFSET($R$3,0,0,'Données projet'!$E$9+1,1))-AVERAGE(OFFSET($H$3,0,0,'Données projet'!$E$9+1,1))</f>
        <v>379.12827535040157</v>
      </c>
      <c r="T60" s="59">
        <f t="shared" si="34"/>
        <v>317.29813413796956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92.860326621321207</v>
      </c>
      <c r="AA60" s="21">
        <f>EXP(-LN(2)/25)*AA59+(1-EXP(-LN(2)/25))/(LN(2)/25)*Calculateur!V60*Calculateur!X60*VLOOKUP('Données projet'!$B$9,Paramètres!$A$1:$I$89,3,0)*0.475*44/12</f>
        <v>21.065833038258784</v>
      </c>
      <c r="AB60" s="21">
        <f>EXP(-LN(2)/2)*AB59+(1-EXP(-LN(2)/2))/(LN(2)/2)*V60*Y60*VLOOKUP('Données projet'!$B$9,Paramètres!$A$1:$I$89,3,0)*0.475*44/12</f>
        <v>3.7162063447074289E-5</v>
      </c>
      <c r="AC60" s="22">
        <f t="shared" si="3"/>
        <v>113.92619682164344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10.199999999999999</v>
      </c>
      <c r="AI60" s="13">
        <f>IF('Données projet'!$A$62&gt;35,AI59+AH60-AQ59,IF(A60&lt;'Données projet'!$A$62,$AF$205^A60,IF(A60='Données projet'!$A$62,'Données projet'!$B$62,AI59+AH60-AQ59)))</f>
        <v>635.39999999999964</v>
      </c>
      <c r="AJ60" s="13">
        <f>AI60*VLOOKUP('Données projet'!$B$10,Paramètres!$A$1:$I$89,3,0)*VLOOKUP('Données projet'!$B$10,Paramètres!$A$1:$I$89,5,0)</f>
        <v>355.18859999999984</v>
      </c>
      <c r="AK60" s="13">
        <f t="shared" si="35"/>
        <v>82.629981116726043</v>
      </c>
      <c r="AL60" s="20">
        <f t="shared" si="4"/>
        <v>762.53402877829774</v>
      </c>
      <c r="AM60" s="59">
        <f t="shared" si="5"/>
        <v>1055.8673621116311</v>
      </c>
      <c r="AN60" s="59">
        <f ca="1">AVERAGE(OFFSET($AM$3,0,0,'Données projet'!$E$10+1,1))-AVERAGE(OFFSET($H$3,0,0,'Données projet'!$E$10+1,1))</f>
        <v>382.55387448074327</v>
      </c>
      <c r="AO60" s="59">
        <f t="shared" si="36"/>
        <v>476.29465646955543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91.161282227970929</v>
      </c>
      <c r="AV60" s="21">
        <f>EXP(-LN(2)/25)*AV59+(1-EXP(-LN(2)/25))/(LN(2)/25)*Calculateur!AQ60*Calculateur!AS60*VLOOKUP('Données projet'!$B$10,Paramètres!$A$1:$I$89,3,0)*0.475*44/12</f>
        <v>10.376977144200689</v>
      </c>
      <c r="AW60" s="21">
        <f>EXP(-LN(2)/2)*AW59+(1-EXP(-LN(2)/2))/(LN(2)/2)*AQ60*AT60*VLOOKUP('Données projet'!$B$10,Paramètres!$A$1:$I$89,3,0)*0.475*44/12</f>
        <v>5.2150824177755605E-4</v>
      </c>
      <c r="AX60" s="21">
        <f t="shared" si="6"/>
        <v>101.5387808804134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7.6</v>
      </c>
      <c r="BD60" s="12">
        <f>IF('Données projet'!$A$88&gt;35,BD59+BC60-BL59,IF(A60&lt;'Données projet'!$A$88,$BA$205^A60,IF(A60='Données projet'!$A$88,'Données projet'!$B$88,BD59+BC60-BL59)))</f>
        <v>191.2</v>
      </c>
      <c r="BE60" s="13">
        <f>BD60*VLOOKUP('Données projet'!$B$11,Paramètres!$A$1:$I$89,3,0)*VLOOKUP('Données projet'!$B$11,Paramètres!$A$1:$I$89,5,0)</f>
        <v>193.8768</v>
      </c>
      <c r="BF60" s="13">
        <f t="shared" si="37"/>
        <v>48.396048099527611</v>
      </c>
      <c r="BG60" s="20">
        <f t="shared" si="7"/>
        <v>421.95854377334393</v>
      </c>
      <c r="BH60" s="59">
        <f t="shared" si="8"/>
        <v>715.29187710667725</v>
      </c>
      <c r="BI60" s="59">
        <f ca="1">AVERAGE(OFFSET($BH$3,0,0,'Données projet'!$E$11+1,1))-AVERAGE(OFFSET($H$3,0,0,'Données projet'!$E$11+1,1))</f>
        <v>308.80022073574963</v>
      </c>
      <c r="BJ60" s="59">
        <f t="shared" si="38"/>
        <v>183.96267407004115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40.297847842167791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40.297847842167791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21.4</v>
      </c>
      <c r="N61" s="13">
        <f>IF('Données projet'!$A$36&gt;35,N60+M61-V60,IF(A61&lt;'Données projet'!$A$36,$K$205^A61,IF(A61='Données projet'!$A$36,'Données projet'!$B$36,N60+M61-V60)))</f>
        <v>647.20000000000039</v>
      </c>
      <c r="O61" s="13">
        <f>N61*VLOOKUP('Données projet'!$B$9,Paramètres!$A$1:$I$89,3,0)*VLOOKUP('Données projet'!$B$9,Paramètres!$A$1:$I$89,5,0)</f>
        <v>302.8896000000002</v>
      </c>
      <c r="P61" s="13">
        <f t="shared" si="33"/>
        <v>71.781896252840141</v>
      </c>
      <c r="Q61" s="20">
        <f t="shared" si="53"/>
        <v>652.55285597369698</v>
      </c>
      <c r="R61" s="59">
        <f t="shared" si="0"/>
        <v>945.88618930703024</v>
      </c>
      <c r="S61" s="59">
        <f ca="1">AVERAGE(OFFSET($R$3,0,0,'Données projet'!$E$9+1,1))-AVERAGE(OFFSET($H$3,0,0,'Données projet'!$E$9+1,1))</f>
        <v>379.12827535040157</v>
      </c>
      <c r="T61" s="59">
        <f t="shared" si="34"/>
        <v>317.29813413796956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91.039392255483676</v>
      </c>
      <c r="AA61" s="21">
        <f>EXP(-LN(2)/25)*AA60+(1-EXP(-LN(2)/25))/(LN(2)/25)*Calculateur!V61*Calculateur!X61*VLOOKUP('Données projet'!$B$9,Paramètres!$A$1:$I$89,3,0)*0.475*44/12</f>
        <v>20.489786726023585</v>
      </c>
      <c r="AB61" s="21">
        <f>EXP(-LN(2)/2)*AB60+(1-EXP(-LN(2)/2))/(LN(2)/2)*V61*Y61*VLOOKUP('Données projet'!$B$9,Paramètres!$A$1:$I$89,3,0)*0.475*44/12</f>
        <v>2.6277547066310956E-5</v>
      </c>
      <c r="AC61" s="22">
        <f t="shared" si="3"/>
        <v>111.52920525905432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10.199999999999999</v>
      </c>
      <c r="AI61" s="13">
        <f>IF('Données projet'!$A$62&gt;35,AI60+AH61-AQ60,IF(A61&lt;'Données projet'!$A$62,$AF$205^A61,IF(A61='Données projet'!$A$62,'Données projet'!$B$62,AI60+AH61-AQ60)))</f>
        <v>645.59999999999968</v>
      </c>
      <c r="AJ61" s="13">
        <f>AI61*VLOOKUP('Données projet'!$B$10,Paramètres!$A$1:$I$89,3,0)*VLOOKUP('Données projet'!$B$10,Paramètres!$A$1:$I$89,5,0)</f>
        <v>360.89039999999977</v>
      </c>
      <c r="AK61" s="13">
        <f t="shared" si="35"/>
        <v>83.800943075865291</v>
      </c>
      <c r="AL61" s="20">
        <f t="shared" si="4"/>
        <v>774.50408919046504</v>
      </c>
      <c r="AM61" s="59">
        <f t="shared" si="5"/>
        <v>1067.8374225237983</v>
      </c>
      <c r="AN61" s="59">
        <f ca="1">AVERAGE(OFFSET($AM$3,0,0,'Données projet'!$E$10+1,1))-AVERAGE(OFFSET($H$3,0,0,'Données projet'!$E$10+1,1))</f>
        <v>382.55387448074327</v>
      </c>
      <c r="AO61" s="59">
        <f t="shared" si="36"/>
        <v>476.29465646955543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89.373665086372242</v>
      </c>
      <c r="AV61" s="21">
        <f>EXP(-LN(2)/25)*AV60+(1-EXP(-LN(2)/25))/(LN(2)/25)*Calculateur!AQ61*Calculateur!AS61*VLOOKUP('Données projet'!$B$10,Paramètres!$A$1:$I$89,3,0)*0.475*44/12</f>
        <v>10.093218158491009</v>
      </c>
      <c r="AW61" s="21">
        <f>EXP(-LN(2)/2)*AW60+(1-EXP(-LN(2)/2))/(LN(2)/2)*AQ61*AT61*VLOOKUP('Données projet'!$B$10,Paramètres!$A$1:$I$89,3,0)*0.475*44/12</f>
        <v>3.6876201420558345E-4</v>
      </c>
      <c r="AX61" s="21">
        <f t="shared" si="6"/>
        <v>99.467252006877459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7.6</v>
      </c>
      <c r="BD61" s="12">
        <f>IF('Données projet'!$A$88&gt;35,BD60+BC61-BL60,IF(A61&lt;'Données projet'!$A$88,$BA$205^A61,IF(A61='Données projet'!$A$88,'Données projet'!$B$88,BD60+BC61-BL60)))</f>
        <v>198.79999999999998</v>
      </c>
      <c r="BE61" s="13">
        <f>BD61*VLOOKUP('Données projet'!$B$11,Paramètres!$A$1:$I$89,3,0)*VLOOKUP('Données projet'!$B$11,Paramètres!$A$1:$I$89,5,0)</f>
        <v>201.58320000000001</v>
      </c>
      <c r="BF61" s="13">
        <f t="shared" si="37"/>
        <v>50.091947337331924</v>
      </c>
      <c r="BG61" s="20">
        <f t="shared" si="7"/>
        <v>438.33421494585309</v>
      </c>
      <c r="BH61" s="59">
        <f t="shared" si="8"/>
        <v>731.66754827918635</v>
      </c>
      <c r="BI61" s="59">
        <f ca="1">AVERAGE(OFFSET($BH$3,0,0,'Données projet'!$E$11+1,1))-AVERAGE(OFFSET($H$3,0,0,'Données projet'!$E$11+1,1))</f>
        <v>308.80022073574963</v>
      </c>
      <c r="BJ61" s="59">
        <f t="shared" si="38"/>
        <v>183.96267407004115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39.507631625243064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39.507631625243064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21.4</v>
      </c>
      <c r="N62" s="13">
        <f>IF('Données projet'!$A$36&gt;35,N61+M62-V61,IF(A62&lt;'Données projet'!$A$36,$K$205^A62,IF(A62='Données projet'!$A$36,'Données projet'!$B$36,N61+M62-V61)))</f>
        <v>668.60000000000036</v>
      </c>
      <c r="O62" s="13">
        <f>N62*VLOOKUP('Données projet'!$B$9,Paramètres!$A$1:$I$89,3,0)*VLOOKUP('Données projet'!$B$9,Paramètres!$A$1:$I$89,5,0)</f>
        <v>312.90480000000014</v>
      </c>
      <c r="P62" s="13">
        <f t="shared" si="33"/>
        <v>73.875138342294761</v>
      </c>
      <c r="Q62" s="20">
        <f t="shared" si="53"/>
        <v>673.64172594616355</v>
      </c>
      <c r="R62" s="59">
        <f t="shared" si="0"/>
        <v>966.97505927949692</v>
      </c>
      <c r="S62" s="59">
        <f ca="1">AVERAGE(OFFSET($R$3,0,0,'Données projet'!$E$9+1,1))-AVERAGE(OFFSET($H$3,0,0,'Données projet'!$E$9+1,1))</f>
        <v>379.12827535040157</v>
      </c>
      <c r="T62" s="59">
        <f t="shared" si="34"/>
        <v>317.29813413796956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89.254165301899931</v>
      </c>
      <c r="AA62" s="21">
        <f>EXP(-LN(2)/25)*AA61+(1-EXP(-LN(2)/25))/(LN(2)/25)*Calculateur!V62*Calculateur!X62*VLOOKUP('Données projet'!$B$9,Paramètres!$A$1:$I$89,3,0)*0.475*44/12</f>
        <v>19.929492430489415</v>
      </c>
      <c r="AB62" s="21">
        <f>EXP(-LN(2)/2)*AB61+(1-EXP(-LN(2)/2))/(LN(2)/2)*V62*Y62*VLOOKUP('Données projet'!$B$9,Paramètres!$A$1:$I$89,3,0)*0.475*44/12</f>
        <v>1.8581031723537145E-5</v>
      </c>
      <c r="AC62" s="22">
        <f t="shared" si="3"/>
        <v>109.18367631342107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10.199999999999999</v>
      </c>
      <c r="AI62" s="13">
        <f>IF('Données projet'!$A$62&gt;35,AI61+AH62-AQ61,IF(A62&lt;'Données projet'!$A$62,$AF$205^A62,IF(A62='Données projet'!$A$62,'Données projet'!$B$62,AI61+AH62-AQ61)))</f>
        <v>655.79999999999973</v>
      </c>
      <c r="AJ62" s="13">
        <f>AI62*VLOOKUP('Données projet'!$B$10,Paramètres!$A$1:$I$89,3,0)*VLOOKUP('Données projet'!$B$10,Paramètres!$A$1:$I$89,5,0)</f>
        <v>366.59219999999982</v>
      </c>
      <c r="AK62" s="13">
        <f t="shared" si="35"/>
        <v>84.969753481055022</v>
      </c>
      <c r="AL62" s="20">
        <f t="shared" si="4"/>
        <v>786.47040231283711</v>
      </c>
      <c r="AM62" s="59">
        <f t="shared" si="5"/>
        <v>1079.8037356461705</v>
      </c>
      <c r="AN62" s="59">
        <f ca="1">AVERAGE(OFFSET($AM$3,0,0,'Données projet'!$E$10+1,1))-AVERAGE(OFFSET($H$3,0,0,'Données projet'!$E$10+1,1))</f>
        <v>382.55387448074327</v>
      </c>
      <c r="AO62" s="59">
        <f t="shared" si="36"/>
        <v>476.29465646955543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87.621102026581511</v>
      </c>
      <c r="AV62" s="21">
        <f>EXP(-LN(2)/25)*AV61+(1-EXP(-LN(2)/25))/(LN(2)/25)*Calculateur!AQ62*Calculateur!AS62*VLOOKUP('Données projet'!$B$10,Paramètres!$A$1:$I$89,3,0)*0.475*44/12</f>
        <v>9.8172185771677984</v>
      </c>
      <c r="AW62" s="21">
        <f>EXP(-LN(2)/2)*AW61+(1-EXP(-LN(2)/2))/(LN(2)/2)*AQ62*AT62*VLOOKUP('Données projet'!$B$10,Paramètres!$A$1:$I$89,3,0)*0.475*44/12</f>
        <v>2.6075412088877802E-4</v>
      </c>
      <c r="AX62" s="21">
        <f t="shared" si="6"/>
        <v>97.438581357870191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7.6</v>
      </c>
      <c r="BD62" s="12">
        <f>IF('Données projet'!$A$88&gt;35,BD61+BC62-BL61,IF(A62&lt;'Données projet'!$A$88,$BA$205^A62,IF(A62='Données projet'!$A$88,'Données projet'!$B$88,BD61+BC62-BL61)))</f>
        <v>206.39999999999998</v>
      </c>
      <c r="BE62" s="13">
        <f>BD62*VLOOKUP('Données projet'!$B$11,Paramètres!$A$1:$I$89,3,0)*VLOOKUP('Données projet'!$B$11,Paramètres!$A$1:$I$89,5,0)</f>
        <v>209.28960000000001</v>
      </c>
      <c r="BF62" s="13">
        <f t="shared" si="37"/>
        <v>51.780314822292169</v>
      </c>
      <c r="BG62" s="20">
        <f t="shared" si="7"/>
        <v>454.69676831549214</v>
      </c>
      <c r="BH62" s="59">
        <f t="shared" si="8"/>
        <v>748.03010164882539</v>
      </c>
      <c r="BI62" s="59">
        <f ca="1">AVERAGE(OFFSET($BH$3,0,0,'Données projet'!$E$11+1,1))-AVERAGE(OFFSET($H$3,0,0,'Données projet'!$E$11+1,1))</f>
        <v>308.80022073574963</v>
      </c>
      <c r="BJ62" s="59">
        <f t="shared" si="38"/>
        <v>183.96267407004115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38.732911066347931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38.732911066347931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690</v>
      </c>
      <c r="L63" s="12">
        <f>VLOOKUP(A63,'Données projet'!$A$35:$I$55,9,0)</f>
        <v>21.4</v>
      </c>
      <c r="M63" s="12">
        <f t="array" ref="M63">INDEX(L:L,MIN(IF(ISNUMBER(L63:L259),ROW(L63:L259),"")))</f>
        <v>21.4</v>
      </c>
      <c r="N63" s="13">
        <f>IF('Données projet'!$A$36&gt;35,N62+M63-V62,IF(A63&lt;'Données projet'!$A$36,$K$205^A63,IF(A63='Données projet'!$A$36,'Données projet'!$B$36,N62+M63-V62)))</f>
        <v>690.00000000000034</v>
      </c>
      <c r="O63" s="13">
        <f>N63*VLOOKUP('Données projet'!$B$9,Paramètres!$A$1:$I$89,3,0)*VLOOKUP('Données projet'!$B$9,Paramètres!$A$1:$I$89,5,0)</f>
        <v>322.92000000000019</v>
      </c>
      <c r="P63" s="13">
        <f t="shared" si="33"/>
        <v>75.960594879408745</v>
      </c>
      <c r="Q63" s="20">
        <f t="shared" si="53"/>
        <v>694.71703608163716</v>
      </c>
      <c r="R63" s="59">
        <f t="shared" si="0"/>
        <v>988.05036941497042</v>
      </c>
      <c r="S63" s="59">
        <f ca="1">AVERAGE(OFFSET($R$3,0,0,'Données projet'!$E$9+1,1))-AVERAGE(OFFSET($H$3,0,0,'Données projet'!$E$9+1,1))</f>
        <v>379.12827535040157</v>
      </c>
      <c r="T63" s="59">
        <f t="shared" si="34"/>
        <v>317.29813413796956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56</v>
      </c>
      <c r="W63" s="16">
        <f>IF(ISNA(VLOOKUP(A63,'Données projet'!$A$35:$I$55,5,0)),0%,VLOOKUP(A63,'Données projet'!$A$35:$I$55,5,0)*VLOOKUP('Données projet'!$B$9,Paramètres!$A$1:$I$89,7,0))</f>
        <v>0.55000000000000004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106.62557624648274</v>
      </c>
      <c r="AA63" s="21">
        <f>EXP(-LN(2)/25)*AA62+(1-EXP(-LN(2)/25))/(LN(2)/25)*Calculateur!V63*Calculateur!X63*VLOOKUP('Données projet'!$B$9,Paramètres!$A$1:$I$89,3,0)*0.475*44/12</f>
        <v>19.384519411931223</v>
      </c>
      <c r="AB63" s="21">
        <f>EXP(-LN(2)/2)*AB62+(1-EXP(-LN(2)/2))/(LN(2)/2)*V63*Y63*VLOOKUP('Données projet'!$B$9,Paramètres!$A$1:$I$89,3,0)*0.475*44/12</f>
        <v>1.3138773533155478E-5</v>
      </c>
      <c r="AC63" s="22">
        <f t="shared" si="3"/>
        <v>126.0101087971875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666</v>
      </c>
      <c r="AG63" s="12">
        <f>VLOOKUP(A63,'Données projet'!$A$61:$I$81,9,0)</f>
        <v>10.199999999999999</v>
      </c>
      <c r="AH63" s="12">
        <f t="array" ref="AH63">INDEX(AG:AG,MIN(IF(ISNUMBER(AG63:AG259),ROW(AG63:AG259),"")))</f>
        <v>10.199999999999999</v>
      </c>
      <c r="AI63" s="13">
        <f>IF('Données projet'!$A$62&gt;35,AI62+AH63-AQ62,IF(A63&lt;'Données projet'!$A$62,$AF$205^A63,IF(A63='Données projet'!$A$62,'Données projet'!$B$62,AI62+AH63-AQ62)))</f>
        <v>665.99999999999977</v>
      </c>
      <c r="AJ63" s="13">
        <f>AI63*VLOOKUP('Données projet'!$B$10,Paramètres!$A$1:$I$89,3,0)*VLOOKUP('Données projet'!$B$10,Paramètres!$A$1:$I$89,5,0)</f>
        <v>372.29399999999987</v>
      </c>
      <c r="AK63" s="13">
        <f t="shared" si="35"/>
        <v>86.136449661008839</v>
      </c>
      <c r="AL63" s="20">
        <f t="shared" si="4"/>
        <v>798.43303315959008</v>
      </c>
      <c r="AM63" s="59">
        <f t="shared" si="5"/>
        <v>1091.7663664929235</v>
      </c>
      <c r="AN63" s="59">
        <f ca="1">AVERAGE(OFFSET($AM$3,0,0,'Données projet'!$E$10+1,1))-AVERAGE(OFFSET($H$3,0,0,'Données projet'!$E$10+1,1))</f>
        <v>382.55387448074327</v>
      </c>
      <c r="AO63" s="59">
        <f t="shared" si="36"/>
        <v>476.29465646955543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29</v>
      </c>
      <c r="AR63" s="16">
        <f>IF(ISNA(VLOOKUP(A63,'Données projet'!$A$61:$I$81,5,0)),0%,VLOOKUP(A63,'Données projet'!$A$61:$I$81,5,0)*VLOOKUP('Données projet'!$B$10,Paramètres!$A$1:$I$89,7,0))</f>
        <v>0.55000000000000004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97.730620672357077</v>
      </c>
      <c r="AV63" s="21">
        <f>EXP(-LN(2)/25)*AV62+(1-EXP(-LN(2)/25))/(LN(2)/25)*Calculateur!AQ63*Calculateur!AS63*VLOOKUP('Données projet'!$B$10,Paramètres!$A$1:$I$89,3,0)*0.475*44/12</f>
        <v>9.5487662189100568</v>
      </c>
      <c r="AW63" s="21">
        <f>EXP(-LN(2)/2)*AW62+(1-EXP(-LN(2)/2))/(LN(2)/2)*AQ63*AT63*VLOOKUP('Données projet'!$B$10,Paramètres!$A$1:$I$89,3,0)*0.475*44/12</f>
        <v>1.8438100710279173E-4</v>
      </c>
      <c r="AX63" s="21">
        <f t="shared" si="6"/>
        <v>107.27957127227424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214</v>
      </c>
      <c r="BB63" s="12">
        <f>VLOOKUP(A63,'Données projet'!$A$87:$I$107,9,0)</f>
        <v>7.6</v>
      </c>
      <c r="BC63" s="12">
        <f t="array" ref="BC63">INDEX(BB:BB,MIN(IF(ISNUMBER(BB63:BB259),ROW(BB63:BB259),"")))</f>
        <v>7.6</v>
      </c>
      <c r="BD63" s="12">
        <f>IF('Données projet'!$A$88&gt;35,BD62+BC63-BL62,IF(A63&lt;'Données projet'!$A$88,$BA$205^A63,IF(A63='Données projet'!$A$88,'Données projet'!$B$88,BD62+BC63-BL62)))</f>
        <v>213.99999999999997</v>
      </c>
      <c r="BE63" s="13">
        <f>BD63*VLOOKUP('Données projet'!$B$11,Paramètres!$A$1:$I$89,3,0)*VLOOKUP('Données projet'!$B$11,Paramètres!$A$1:$I$89,5,0)</f>
        <v>216.99600000000001</v>
      </c>
      <c r="BF63" s="13">
        <f t="shared" si="37"/>
        <v>53.461459647386917</v>
      </c>
      <c r="BG63" s="20">
        <f t="shared" si="7"/>
        <v>471.04674221919896</v>
      </c>
      <c r="BH63" s="59">
        <f t="shared" si="8"/>
        <v>764.38007555253228</v>
      </c>
      <c r="BI63" s="59">
        <f ca="1">AVERAGE(OFFSET($BH$3,0,0,'Données projet'!$E$11+1,1))-AVERAGE(OFFSET($H$3,0,0,'Données projet'!$E$11+1,1))</f>
        <v>308.80022073574963</v>
      </c>
      <c r="BJ63" s="59">
        <f t="shared" si="38"/>
        <v>183.96267407004115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48.095533397642946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48.095533397642946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20</v>
      </c>
      <c r="N64" s="13">
        <f>IF('Données projet'!$A$36&gt;35,N63+M64-V63,IF(A64&lt;'Données projet'!$A$36,$K$205^A64,IF(A64='Données projet'!$A$36,'Données projet'!$B$36,N63+M64-V63)))</f>
        <v>654.00000000000034</v>
      </c>
      <c r="O64" s="13">
        <f>N64*VLOOKUP('Données projet'!$B$9,Paramètres!$A$1:$I$89,3,0)*VLOOKUP('Données projet'!$B$9,Paramètres!$A$1:$I$89,5,0)</f>
        <v>306.07200000000017</v>
      </c>
      <c r="P64" s="13">
        <f t="shared" si="33"/>
        <v>72.447899614029552</v>
      </c>
      <c r="Q64" s="20">
        <f t="shared" si="53"/>
        <v>659.25549182776842</v>
      </c>
      <c r="R64" s="59">
        <f t="shared" si="0"/>
        <v>952.58882516110179</v>
      </c>
      <c r="S64" s="59">
        <f ca="1">AVERAGE(OFFSET($R$3,0,0,'Données projet'!$E$9+1,1))-AVERAGE(OFFSET($H$3,0,0,'Données projet'!$E$9+1,1))</f>
        <v>379.12827535040157</v>
      </c>
      <c r="T64" s="59">
        <f t="shared" si="34"/>
        <v>317.29813413796956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104.53471373146903</v>
      </c>
      <c r="AA64" s="21">
        <f>EXP(-LN(2)/25)*AA63+(1-EXP(-LN(2)/25))/(LN(2)/25)*Calculateur!V64*Calculateur!X64*VLOOKUP('Données projet'!$B$9,Paramètres!$A$1:$I$89,3,0)*0.475*44/12</f>
        <v>18.854448709224393</v>
      </c>
      <c r="AB64" s="21">
        <f>EXP(-LN(2)/2)*AB63+(1-EXP(-LN(2)/2))/(LN(2)/2)*V64*Y64*VLOOKUP('Données projet'!$B$9,Paramètres!$A$1:$I$89,3,0)*0.475*44/12</f>
        <v>9.2905158617685724E-6</v>
      </c>
      <c r="AC64" s="22">
        <f t="shared" si="3"/>
        <v>123.38917173120927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636.99999999999977</v>
      </c>
      <c r="AJ64" s="13">
        <f>AI64*VLOOKUP('Données projet'!$B$10,Paramètres!$A$1:$I$89,3,0)*VLOOKUP('Données projet'!$B$10,Paramètres!$A$1:$I$89,5,0)</f>
        <v>356.08299999999991</v>
      </c>
      <c r="AK64" s="13">
        <f t="shared" si="35"/>
        <v>82.813805255716545</v>
      </c>
      <c r="AL64" s="20">
        <f t="shared" si="4"/>
        <v>764.41193582037283</v>
      </c>
      <c r="AM64" s="59">
        <f t="shared" si="5"/>
        <v>1057.7452691537062</v>
      </c>
      <c r="AN64" s="59">
        <f ca="1">AVERAGE(OFFSET($AM$3,0,0,'Données projet'!$E$10+1,1))-AVERAGE(OFFSET($H$3,0,0,'Données projet'!$E$10+1,1))</f>
        <v>382.55387448074327</v>
      </c>
      <c r="AO64" s="59">
        <f t="shared" si="36"/>
        <v>476.29465646955543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95.814182810764791</v>
      </c>
      <c r="AV64" s="21">
        <f>EXP(-LN(2)/25)*AV63+(1-EXP(-LN(2)/25))/(LN(2)/25)*Calculateur!AQ64*Calculateur!AS64*VLOOKUP('Données projet'!$B$10,Paramètres!$A$1:$I$89,3,0)*0.475*44/12</f>
        <v>9.2876547045061706</v>
      </c>
      <c r="AW64" s="21">
        <f>EXP(-LN(2)/2)*AW63+(1-EXP(-LN(2)/2))/(LN(2)/2)*AQ64*AT64*VLOOKUP('Données projet'!$B$10,Paramètres!$A$1:$I$89,3,0)*0.475*44/12</f>
        <v>1.3037706044438901E-4</v>
      </c>
      <c r="AX64" s="21">
        <f t="shared" si="6"/>
        <v>105.1019678923314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</v>
      </c>
      <c r="BD64" s="12">
        <f>IF('Données projet'!$A$88&gt;35,BD63+BC64-BL63,IF(A64&lt;'Données projet'!$A$88,$BA$205^A64,IF(A64='Données projet'!$A$88,'Données projet'!$B$88,BD63+BC64-BL63)))</f>
        <v>200.19999999999996</v>
      </c>
      <c r="BE64" s="13">
        <f>BD64*VLOOKUP('Données projet'!$B$11,Paramètres!$A$1:$I$89,3,0)*VLOOKUP('Données projet'!$B$11,Paramètres!$A$1:$I$89,5,0)</f>
        <v>203.00279999999995</v>
      </c>
      <c r="BF64" s="13">
        <f t="shared" si="37"/>
        <v>50.403518824343074</v>
      </c>
      <c r="BG64" s="20">
        <f t="shared" si="7"/>
        <v>441.3493386190641</v>
      </c>
      <c r="BH64" s="59">
        <f t="shared" si="8"/>
        <v>734.68267195239741</v>
      </c>
      <c r="BI64" s="59">
        <f ca="1">AVERAGE(OFFSET($BH$3,0,0,'Données projet'!$E$11+1,1))-AVERAGE(OFFSET($H$3,0,0,'Données projet'!$E$11+1,1))</f>
        <v>308.80022073574963</v>
      </c>
      <c r="BJ64" s="59">
        <f t="shared" si="38"/>
        <v>183.96267407004115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47.152409323093913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47.152409323093913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20</v>
      </c>
      <c r="N65" s="13">
        <f>IF('Données projet'!$A$36&gt;35,N64+M65-V64,IF(A65&lt;'Données projet'!$A$36,$K$205^A65,IF(A65='Données projet'!$A$36,'Données projet'!$B$36,N64+M65-V64)))</f>
        <v>674.00000000000034</v>
      </c>
      <c r="O65" s="13">
        <f>N65*VLOOKUP('Données projet'!$B$9,Paramètres!$A$1:$I$89,3,0)*VLOOKUP('Données projet'!$B$9,Paramètres!$A$1:$I$89,5,0)</f>
        <v>315.43200000000013</v>
      </c>
      <c r="P65" s="13">
        <f t="shared" si="33"/>
        <v>74.402098550585634</v>
      </c>
      <c r="Q65" s="20">
        <f t="shared" si="53"/>
        <v>678.96105497560336</v>
      </c>
      <c r="R65" s="59">
        <f t="shared" si="0"/>
        <v>972.29438830893673</v>
      </c>
      <c r="S65" s="59">
        <f ca="1">AVERAGE(OFFSET($R$3,0,0,'Données projet'!$E$9+1,1))-AVERAGE(OFFSET($H$3,0,0,'Données projet'!$E$9+1,1))</f>
        <v>379.12827535040157</v>
      </c>
      <c r="T65" s="59">
        <f t="shared" si="34"/>
        <v>317.29813413796956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102.48485175507453</v>
      </c>
      <c r="AA65" s="21">
        <f>EXP(-LN(2)/25)*AA64+(1-EXP(-LN(2)/25))/(LN(2)/25)*Calculateur!V65*Calculateur!X65*VLOOKUP('Données projet'!$B$9,Paramètres!$A$1:$I$89,3,0)*0.475*44/12</f>
        <v>18.338872817758286</v>
      </c>
      <c r="AB65" s="21">
        <f>EXP(-LN(2)/2)*AB64+(1-EXP(-LN(2)/2))/(LN(2)/2)*V65*Y65*VLOOKUP('Données projet'!$B$9,Paramètres!$A$1:$I$89,3,0)*0.475*44/12</f>
        <v>6.5693867665777389E-6</v>
      </c>
      <c r="AC65" s="22">
        <f t="shared" si="3"/>
        <v>120.82373114221959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636.99999999999977</v>
      </c>
      <c r="AJ65" s="13">
        <f>AI65*VLOOKUP('Données projet'!$B$10,Paramètres!$A$1:$I$89,3,0)*VLOOKUP('Données projet'!$B$10,Paramètres!$A$1:$I$89,5,0)</f>
        <v>356.08299999999991</v>
      </c>
      <c r="AK65" s="13">
        <f t="shared" si="35"/>
        <v>82.813805255716545</v>
      </c>
      <c r="AL65" s="20">
        <f t="shared" si="4"/>
        <v>764.41193582037283</v>
      </c>
      <c r="AM65" s="59">
        <f t="shared" si="5"/>
        <v>1057.7452691537062</v>
      </c>
      <c r="AN65" s="59">
        <f ca="1">AVERAGE(OFFSET($AM$3,0,0,'Données projet'!$E$10+1,1))-AVERAGE(OFFSET($H$3,0,0,'Données projet'!$E$10+1,1))</f>
        <v>382.55387448074327</v>
      </c>
      <c r="AO65" s="59">
        <f t="shared" si="36"/>
        <v>476.29465646955543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93.935325126726653</v>
      </c>
      <c r="AV65" s="21">
        <f>EXP(-LN(2)/25)*AV64+(1-EXP(-LN(2)/25))/(LN(2)/25)*Calculateur!AQ65*Calculateur!AS65*VLOOKUP('Données projet'!$B$10,Paramètres!$A$1:$I$89,3,0)*0.475*44/12</f>
        <v>9.0336832981949158</v>
      </c>
      <c r="AW65" s="21">
        <f>EXP(-LN(2)/2)*AW64+(1-EXP(-LN(2)/2))/(LN(2)/2)*AQ65*AT65*VLOOKUP('Données projet'!$B$10,Paramètres!$A$1:$I$89,3,0)*0.475*44/12</f>
        <v>9.2190503551395863E-5</v>
      </c>
      <c r="AX65" s="21">
        <f t="shared" si="6"/>
        <v>102.96910061542512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</v>
      </c>
      <c r="BD65" s="12">
        <f>IF('Données projet'!$A$88&gt;35,BD64+BC65-BL64,IF(A65&lt;'Données projet'!$A$88,$BA$205^A65,IF(A65='Données projet'!$A$88,'Données projet'!$B$88,BD64+BC65-BL64)))</f>
        <v>207.39999999999995</v>
      </c>
      <c r="BE65" s="13">
        <f>BD65*VLOOKUP('Données projet'!$B$11,Paramètres!$A$1:$I$89,3,0)*VLOOKUP('Données projet'!$B$11,Paramètres!$A$1:$I$89,5,0)</f>
        <v>210.30359999999996</v>
      </c>
      <c r="BF65" s="13">
        <f t="shared" si="37"/>
        <v>52.001924357524459</v>
      </c>
      <c r="BG65" s="20">
        <f t="shared" si="7"/>
        <v>456.84878825602163</v>
      </c>
      <c r="BH65" s="59">
        <f t="shared" si="8"/>
        <v>750.18212158935489</v>
      </c>
      <c r="BI65" s="59">
        <f ca="1">AVERAGE(OFFSET($BH$3,0,0,'Données projet'!$E$11+1,1))-AVERAGE(OFFSET($H$3,0,0,'Données projet'!$E$11+1,1))</f>
        <v>308.80022073574963</v>
      </c>
      <c r="BJ65" s="59">
        <f t="shared" si="38"/>
        <v>183.96267407004115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46.227779336397901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46.227779336397901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20</v>
      </c>
      <c r="N66" s="13">
        <f>IF('Données projet'!$A$36&gt;35,N65+M66-V65,IF(A66&lt;'Données projet'!$A$36,$K$205^A66,IF(A66='Données projet'!$A$36,'Données projet'!$B$36,N65+M66-V65)))</f>
        <v>694.00000000000034</v>
      </c>
      <c r="O66" s="13">
        <f>N66*VLOOKUP('Données projet'!$B$9,Paramètres!$A$1:$I$89,3,0)*VLOOKUP('Données projet'!$B$9,Paramètres!$A$1:$I$89,5,0)</f>
        <v>324.79200000000014</v>
      </c>
      <c r="P66" s="13">
        <f t="shared" si="33"/>
        <v>76.349558270976516</v>
      </c>
      <c r="Q66" s="20">
        <f t="shared" si="53"/>
        <v>698.65488065528427</v>
      </c>
      <c r="R66" s="59">
        <f t="shared" si="0"/>
        <v>991.98821398861764</v>
      </c>
      <c r="S66" s="59">
        <f ca="1">AVERAGE(OFFSET($R$3,0,0,'Données projet'!$E$9+1,1))-AVERAGE(OFFSET($H$3,0,0,'Données projet'!$E$9+1,1))</f>
        <v>379.12827535040157</v>
      </c>
      <c r="T66" s="59">
        <f t="shared" si="34"/>
        <v>317.29813413796956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100.47518632174479</v>
      </c>
      <c r="AA66" s="21">
        <f>EXP(-LN(2)/25)*AA65+(1-EXP(-LN(2)/25))/(LN(2)/25)*Calculateur!V66*Calculateur!X66*VLOOKUP('Données projet'!$B$9,Paramètres!$A$1:$I$89,3,0)*0.475*44/12</f>
        <v>17.837395376157279</v>
      </c>
      <c r="AB66" s="21">
        <f>EXP(-LN(2)/2)*AB65+(1-EXP(-LN(2)/2))/(LN(2)/2)*V66*Y66*VLOOKUP('Données projet'!$B$9,Paramètres!$A$1:$I$89,3,0)*0.475*44/12</f>
        <v>4.6452579308842862E-6</v>
      </c>
      <c r="AC66" s="22">
        <f t="shared" si="3"/>
        <v>118.31258634315999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636.99999999999977</v>
      </c>
      <c r="AJ66" s="13">
        <f>AI66*VLOOKUP('Données projet'!$B$10,Paramètres!$A$1:$I$89,3,0)*VLOOKUP('Données projet'!$B$10,Paramètres!$A$1:$I$89,5,0)</f>
        <v>356.08299999999991</v>
      </c>
      <c r="AK66" s="13">
        <f t="shared" si="35"/>
        <v>82.813805255716545</v>
      </c>
      <c r="AL66" s="20">
        <f t="shared" si="4"/>
        <v>764.41193582037283</v>
      </c>
      <c r="AM66" s="59">
        <f t="shared" si="5"/>
        <v>1057.7452691537062</v>
      </c>
      <c r="AN66" s="59">
        <f ca="1">AVERAGE(OFFSET($AM$3,0,0,'Données projet'!$E$10+1,1))-AVERAGE(OFFSET($H$3,0,0,'Données projet'!$E$10+1,1))</f>
        <v>382.55387448074327</v>
      </c>
      <c r="AO66" s="59">
        <f t="shared" si="36"/>
        <v>476.29465646955543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92.093310695882465</v>
      </c>
      <c r="AV66" s="21">
        <f>EXP(-LN(2)/25)*AV65+(1-EXP(-LN(2)/25))/(LN(2)/25)*Calculateur!AQ66*Calculateur!AS66*VLOOKUP('Données projet'!$B$10,Paramètres!$A$1:$I$89,3,0)*0.475*44/12</f>
        <v>8.7866567533450173</v>
      </c>
      <c r="AW66" s="21">
        <f>EXP(-LN(2)/2)*AW65+(1-EXP(-LN(2)/2))/(LN(2)/2)*AQ66*AT66*VLOOKUP('Données projet'!$B$10,Paramètres!$A$1:$I$89,3,0)*0.475*44/12</f>
        <v>6.5188530222194506E-5</v>
      </c>
      <c r="AX66" s="21">
        <f t="shared" si="6"/>
        <v>100.88003263775771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</v>
      </c>
      <c r="BD66" s="12">
        <f>IF('Données projet'!$A$88&gt;35,BD65+BC66-BL65,IF(A66&lt;'Données projet'!$A$88,$BA$205^A66,IF(A66='Données projet'!$A$88,'Données projet'!$B$88,BD65+BC66-BL65)))</f>
        <v>214.59999999999994</v>
      </c>
      <c r="BE66" s="13">
        <f>BD66*VLOOKUP('Données projet'!$B$11,Paramètres!$A$1:$I$89,3,0)*VLOOKUP('Données projet'!$B$11,Paramètres!$A$1:$I$89,5,0)</f>
        <v>217.60439999999994</v>
      </c>
      <c r="BF66" s="13">
        <f t="shared" si="37"/>
        <v>53.593882578706356</v>
      </c>
      <c r="BG66" s="20">
        <f t="shared" si="7"/>
        <v>472.33700882458015</v>
      </c>
      <c r="BH66" s="59">
        <f t="shared" si="8"/>
        <v>765.67034215791341</v>
      </c>
      <c r="BI66" s="59">
        <f ca="1">AVERAGE(OFFSET($BH$3,0,0,'Données projet'!$E$11+1,1))-AVERAGE(OFFSET($H$3,0,0,'Données projet'!$E$11+1,1))</f>
        <v>308.80022073574963</v>
      </c>
      <c r="BJ66" s="59">
        <f t="shared" si="38"/>
        <v>183.96267407004115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45.321280779772394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45.321280779772394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20</v>
      </c>
      <c r="N67" s="13">
        <f>IF('Données projet'!$A$36&gt;35,N66+M67-V66,IF(A67&lt;'Données projet'!$A$36,$K$205^A67,IF(A67='Données projet'!$A$36,'Données projet'!$B$36,N66+M67-V66)))</f>
        <v>714.00000000000034</v>
      </c>
      <c r="O67" s="13">
        <f>N67*VLOOKUP('Données projet'!$B$9,Paramètres!$A$1:$I$89,3,0)*VLOOKUP('Données projet'!$B$9,Paramètres!$A$1:$I$89,5,0)</f>
        <v>334.15200000000021</v>
      </c>
      <c r="P67" s="13">
        <f t="shared" si="33"/>
        <v>78.2904952928901</v>
      </c>
      <c r="Q67" s="20">
        <f t="shared" ref="Q67:Q98" si="54">(O67+P67)*0.475*44/12</f>
        <v>718.33734596845068</v>
      </c>
      <c r="R67" s="59">
        <f t="shared" ref="R67:R130" si="55">Q67+(I67+J67)*44/12</f>
        <v>1011.670679301784</v>
      </c>
      <c r="S67" s="59">
        <f ca="1">AVERAGE(OFFSET($R$3,0,0,'Données projet'!$E$9+1,1))-AVERAGE(OFFSET($H$3,0,0,'Données projet'!$E$9+1,1))</f>
        <v>379.12827535040157</v>
      </c>
      <c r="T67" s="59">
        <f t="shared" si="34"/>
        <v>317.29813413796956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98.50492920178776</v>
      </c>
      <c r="AA67" s="21">
        <f>EXP(-LN(2)/25)*AA66+(1-EXP(-LN(2)/25))/(LN(2)/25)*Calculateur!V67*Calculateur!X67*VLOOKUP('Données projet'!$B$9,Paramètres!$A$1:$I$89,3,0)*0.475*44/12</f>
        <v>17.349630861568404</v>
      </c>
      <c r="AB67" s="21">
        <f>EXP(-LN(2)/2)*AB66+(1-EXP(-LN(2)/2))/(LN(2)/2)*V67*Y67*VLOOKUP('Données projet'!$B$9,Paramètres!$A$1:$I$89,3,0)*0.475*44/12</f>
        <v>3.2846933832888695E-6</v>
      </c>
      <c r="AC67" s="22">
        <f t="shared" si="3"/>
        <v>115.85456334804954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636.99999999999977</v>
      </c>
      <c r="AJ67" s="13">
        <f>AI67*VLOOKUP('Données projet'!$B$10,Paramètres!$A$1:$I$89,3,0)*VLOOKUP('Données projet'!$B$10,Paramètres!$A$1:$I$89,5,0)</f>
        <v>356.08299999999991</v>
      </c>
      <c r="AK67" s="13">
        <f t="shared" si="35"/>
        <v>82.813805255716545</v>
      </c>
      <c r="AL67" s="20">
        <f t="shared" si="4"/>
        <v>764.41193582037283</v>
      </c>
      <c r="AM67" s="59">
        <f t="shared" si="5"/>
        <v>1057.7452691537062</v>
      </c>
      <c r="AN67" s="59">
        <f ca="1">AVERAGE(OFFSET($AM$3,0,0,'Données projet'!$E$10+1,1))-AVERAGE(OFFSET($H$3,0,0,'Données projet'!$E$10+1,1))</f>
        <v>382.55387448074327</v>
      </c>
      <c r="AO67" s="59">
        <f t="shared" si="36"/>
        <v>476.29465646955543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90.287417044509269</v>
      </c>
      <c r="AV67" s="21">
        <f>EXP(-LN(2)/25)*AV66+(1-EXP(-LN(2)/25))/(LN(2)/25)*Calculateur!AQ67*Calculateur!AS67*VLOOKUP('Données projet'!$B$10,Paramètres!$A$1:$I$89,3,0)*0.475*44/12</f>
        <v>8.5463851623546017</v>
      </c>
      <c r="AW67" s="21">
        <f>EXP(-LN(2)/2)*AW66+(1-EXP(-LN(2)/2))/(LN(2)/2)*AQ67*AT67*VLOOKUP('Données projet'!$B$10,Paramètres!$A$1:$I$89,3,0)*0.475*44/12</f>
        <v>4.6095251775697931E-5</v>
      </c>
      <c r="AX67" s="21">
        <f t="shared" si="6"/>
        <v>98.833848302115641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</v>
      </c>
      <c r="BD67" s="12">
        <f>IF('Données projet'!$A$88&gt;35,BD66+BC67-BL66,IF(A67&lt;'Données projet'!$A$88,$BA$205^A67,IF(A67='Données projet'!$A$88,'Données projet'!$B$88,BD66+BC67-BL66)))</f>
        <v>221.79999999999993</v>
      </c>
      <c r="BE67" s="13">
        <f>BD67*VLOOKUP('Données projet'!$B$11,Paramètres!$A$1:$I$89,3,0)*VLOOKUP('Données projet'!$B$11,Paramètres!$A$1:$I$89,5,0)</f>
        <v>224.90519999999995</v>
      </c>
      <c r="BF67" s="13">
        <f t="shared" si="37"/>
        <v>55.17963460003309</v>
      </c>
      <c r="BG67" s="20">
        <f t="shared" si="7"/>
        <v>487.81442026172425</v>
      </c>
      <c r="BH67" s="59">
        <f t="shared" si="8"/>
        <v>781.14775359505757</v>
      </c>
      <c r="BI67" s="59">
        <f ca="1">AVERAGE(OFFSET($BH$3,0,0,'Données projet'!$E$11+1,1))-AVERAGE(OFFSET($H$3,0,0,'Données projet'!$E$11+1,1))</f>
        <v>308.80022073574963</v>
      </c>
      <c r="BJ67" s="59">
        <f t="shared" si="38"/>
        <v>183.96267407004115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44.432558106932788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44.432558106932788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734</v>
      </c>
      <c r="L68" s="12">
        <f>VLOOKUP(A68,'Données projet'!$A$35:$I$55,9,0)</f>
        <v>20</v>
      </c>
      <c r="M68" s="12">
        <f t="array" ref="M68">INDEX(L:L,MIN(IF(ISNUMBER(L68:L264),ROW(L68:L264),"")))</f>
        <v>20</v>
      </c>
      <c r="N68" s="13">
        <f>IF('Données projet'!$A$36&gt;35,N67+M68-V67,IF(A68&lt;'Données projet'!$A$36,$K$205^A68,IF(A68='Données projet'!$A$36,'Données projet'!$B$36,N67+M68-V67)))</f>
        <v>734.00000000000034</v>
      </c>
      <c r="O68" s="13">
        <f>N68*VLOOKUP('Données projet'!$B$9,Paramètres!$A$1:$I$89,3,0)*VLOOKUP('Données projet'!$B$9,Paramètres!$A$1:$I$89,5,0)</f>
        <v>343.51200000000017</v>
      </c>
      <c r="P68" s="13">
        <f t="shared" si="33"/>
        <v>80.225113314048286</v>
      </c>
      <c r="Q68" s="20">
        <f t="shared" si="54"/>
        <v>738.00880568863431</v>
      </c>
      <c r="R68" s="59">
        <f t="shared" si="55"/>
        <v>1031.3421390219676</v>
      </c>
      <c r="S68" s="59">
        <f ca="1">AVERAGE(OFFSET($R$3,0,0,'Données projet'!$E$9+1,1))-AVERAGE(OFFSET($H$3,0,0,'Données projet'!$E$9+1,1))</f>
        <v>379.12827535040157</v>
      </c>
      <c r="T68" s="59">
        <f t="shared" si="34"/>
        <v>317.29813413796956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52</v>
      </c>
      <c r="W68" s="16">
        <f>IF(ISNA(VLOOKUP(A68,'Données projet'!$A$35:$I$55,5,0)),0%,VLOOKUP(A68,'Données projet'!$A$35:$I$55,5,0)*VLOOKUP('Données projet'!$B$9,Paramètres!$A$1:$I$89,7,0))</f>
        <v>0.55000000000000004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114.32910754538206</v>
      </c>
      <c r="AA68" s="21">
        <f>EXP(-LN(2)/25)*AA67+(1-EXP(-LN(2)/25))/(LN(2)/25)*Calculateur!V68*Calculateur!X68*VLOOKUP('Données projet'!$B$9,Paramètres!$A$1:$I$89,3,0)*0.475*44/12</f>
        <v>16.875204293281381</v>
      </c>
      <c r="AB68" s="21">
        <f>EXP(-LN(2)/2)*AB67+(1-EXP(-LN(2)/2))/(LN(2)/2)*V68*Y68*VLOOKUP('Données projet'!$B$9,Paramètres!$A$1:$I$89,3,0)*0.475*44/12</f>
        <v>2.3226289654421431E-6</v>
      </c>
      <c r="AC68" s="22">
        <f t="shared" ref="AC68:AC131" si="57">SUM(Z68:AB68)</f>
        <v>131.20431416129242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636.99999999999977</v>
      </c>
      <c r="AJ68" s="13">
        <f>AI68*VLOOKUP('Données projet'!$B$10,Paramètres!$A$1:$I$89,3,0)*VLOOKUP('Données projet'!$B$10,Paramètres!$A$1:$I$89,5,0)</f>
        <v>356.08299999999991</v>
      </c>
      <c r="AK68" s="13">
        <f t="shared" si="35"/>
        <v>82.813805255716545</v>
      </c>
      <c r="AL68" s="20">
        <f t="shared" ref="AL68:AL131" si="58">(AJ68+AK68)*0.475*44/12</f>
        <v>764.41193582037283</v>
      </c>
      <c r="AM68" s="59">
        <f t="shared" ref="AM68:AM131" si="59">AL68+(AD68+AE68)*44/12</f>
        <v>1057.7452691537062</v>
      </c>
      <c r="AN68" s="59">
        <f ca="1">AVERAGE(OFFSET($AM$3,0,0,'Données projet'!$E$10+1,1))-AVERAGE(OFFSET($H$3,0,0,'Données projet'!$E$10+1,1))</f>
        <v>382.55387448074327</v>
      </c>
      <c r="AO68" s="59">
        <f t="shared" si="36"/>
        <v>476.29465646955543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88.516935866153133</v>
      </c>
      <c r="AV68" s="21">
        <f>EXP(-LN(2)/25)*AV67+(1-EXP(-LN(2)/25))/(LN(2)/25)*Calculateur!AQ68*Calculateur!AS68*VLOOKUP('Données projet'!$B$10,Paramètres!$A$1:$I$89,3,0)*0.475*44/12</f>
        <v>8.3126838106551517</v>
      </c>
      <c r="AW68" s="21">
        <f>EXP(-LN(2)/2)*AW67+(1-EXP(-LN(2)/2))/(LN(2)/2)*AQ68*AT68*VLOOKUP('Données projet'!$B$10,Paramètres!$A$1:$I$89,3,0)*0.475*44/12</f>
        <v>3.2594265111097253E-5</v>
      </c>
      <c r="AX68" s="21">
        <f t="shared" ref="AX68:AX131" si="60">SUM(AU68:AW68)</f>
        <v>96.829652271073385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229</v>
      </c>
      <c r="BB68" s="12">
        <f>VLOOKUP(A68,'Données projet'!$A$87:$I$107,9,0)</f>
        <v>7.2</v>
      </c>
      <c r="BC68" s="12">
        <f t="array" ref="BC68">INDEX(BB:BB,MIN(IF(ISNUMBER(BB68:BB264),ROW(BB68:BB264),"")))</f>
        <v>7.2</v>
      </c>
      <c r="BD68" s="12">
        <f>IF('Données projet'!$A$88&gt;35,BD67+BC68-BL67,IF(A68&lt;'Données projet'!$A$88,$BA$205^A68,IF(A68='Données projet'!$A$88,'Données projet'!$B$88,BD67+BC68-BL67)))</f>
        <v>228.99999999999991</v>
      </c>
      <c r="BE68" s="13">
        <f>BD68*VLOOKUP('Données projet'!$B$11,Paramètres!$A$1:$I$89,3,0)*VLOOKUP('Données projet'!$B$11,Paramètres!$A$1:$I$89,5,0)</f>
        <v>232.2059999999999</v>
      </c>
      <c r="BF68" s="13">
        <f t="shared" si="37"/>
        <v>56.759404991217522</v>
      </c>
      <c r="BG68" s="20">
        <f t="shared" ref="BG68:BG131" si="61">(BE68+BF68)*0.475*44/12</f>
        <v>503.281413693037</v>
      </c>
      <c r="BH68" s="59">
        <f t="shared" ref="BH68:BH131" si="62">BG68+(AY68+AZ68)*44/12</f>
        <v>796.61474702637031</v>
      </c>
      <c r="BI68" s="59">
        <f ca="1">AVERAGE(OFFSET($BH$3,0,0,'Données projet'!$E$11+1,1))-AVERAGE(OFFSET($H$3,0,0,'Données projet'!$E$11+1,1))</f>
        <v>308.80022073574963</v>
      </c>
      <c r="BJ68" s="59">
        <f t="shared" si="38"/>
        <v>183.96267407004115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21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53.683413836203357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53.683413836203357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18.2</v>
      </c>
      <c r="N69" s="13">
        <f>IF('Données projet'!$A$36&gt;35,N68+M69-V68,IF(A69&lt;'Données projet'!$A$36,$K$205^A69,IF(A69='Données projet'!$A$36,'Données projet'!$B$36,N68+M69-V68)))</f>
        <v>700.20000000000039</v>
      </c>
      <c r="O69" s="13">
        <f>N69*VLOOKUP('Données projet'!$B$9,Paramètres!$A$1:$I$89,3,0)*VLOOKUP('Données projet'!$B$9,Paramètres!$A$1:$I$89,5,0)</f>
        <v>327.69360000000017</v>
      </c>
      <c r="P69" s="13">
        <f t="shared" ref="P69:P132" si="87">EXP(-1.0587+0.8836*LN(O69)+0.284)</f>
        <v>76.951936594861991</v>
      </c>
      <c r="Q69" s="20">
        <f t="shared" si="54"/>
        <v>704.7576429027182</v>
      </c>
      <c r="R69" s="59">
        <f t="shared" si="55"/>
        <v>998.09097623605157</v>
      </c>
      <c r="S69" s="59">
        <f ca="1">AVERAGE(OFFSET($R$3,0,0,'Données projet'!$E$9+1,1))-AVERAGE(OFFSET($H$3,0,0,'Données projet'!$E$9+1,1))</f>
        <v>379.12827535040157</v>
      </c>
      <c r="T69" s="59">
        <f t="shared" ref="T69:T132" si="88">$T$3</f>
        <v>317.29813413796956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112.08718348028707</v>
      </c>
      <c r="AA69" s="21">
        <f>EXP(-LN(2)/25)*AA68+(1-EXP(-LN(2)/25))/(LN(2)/25)*Calculateur!V69*Calculateur!X69*VLOOKUP('Données projet'!$B$9,Paramètres!$A$1:$I$89,3,0)*0.475*44/12</f>
        <v>16.413750944453177</v>
      </c>
      <c r="AB69" s="21">
        <f>EXP(-LN(2)/2)*AB68+(1-EXP(-LN(2)/2))/(LN(2)/2)*V69*Y69*VLOOKUP('Données projet'!$B$9,Paramètres!$A$1:$I$89,3,0)*0.475*44/12</f>
        <v>1.6423466916444347E-6</v>
      </c>
      <c r="AC69" s="22">
        <f t="shared" si="57"/>
        <v>128.50093606708694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636.99999999999977</v>
      </c>
      <c r="AJ69" s="13">
        <f>AI69*VLOOKUP('Données projet'!$B$10,Paramètres!$A$1:$I$89,3,0)*VLOOKUP('Données projet'!$B$10,Paramètres!$A$1:$I$89,5,0)</f>
        <v>356.08299999999991</v>
      </c>
      <c r="AK69" s="13">
        <f t="shared" ref="AK69:AK132" si="89">EXP(-1.0587+0.8836*LN(AJ69)+0.284)</f>
        <v>82.813805255716545</v>
      </c>
      <c r="AL69" s="20">
        <f t="shared" si="58"/>
        <v>764.41193582037283</v>
      </c>
      <c r="AM69" s="59">
        <f t="shared" si="59"/>
        <v>1057.7452691537062</v>
      </c>
      <c r="AN69" s="59">
        <f ca="1">AVERAGE(OFFSET($AM$3,0,0,'Données projet'!$E$10+1,1))-AVERAGE(OFFSET($H$3,0,0,'Données projet'!$E$10+1,1))</f>
        <v>382.55387448074327</v>
      </c>
      <c r="AO69" s="59">
        <f t="shared" ref="AO69:AO132" si="90">$AO$3</f>
        <v>476.29465646955543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86.781172743817677</v>
      </c>
      <c r="AV69" s="21">
        <f>EXP(-LN(2)/25)*AV68+(1-EXP(-LN(2)/25))/(LN(2)/25)*Calculateur!AQ69*Calculateur!AS69*VLOOKUP('Données projet'!$B$10,Paramètres!$A$1:$I$89,3,0)*0.475*44/12</f>
        <v>8.085373034707743</v>
      </c>
      <c r="AW69" s="21">
        <f>EXP(-LN(2)/2)*AW68+(1-EXP(-LN(2)/2))/(LN(2)/2)*AQ69*AT69*VLOOKUP('Données projet'!$B$10,Paramètres!$A$1:$I$89,3,0)*0.475*44/12</f>
        <v>2.3047625887848966E-5</v>
      </c>
      <c r="AX69" s="21">
        <f t="shared" si="60"/>
        <v>94.866568826151308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214.79999999999993</v>
      </c>
      <c r="BE69" s="13">
        <f>BD69*VLOOKUP('Données projet'!$B$11,Paramètres!$A$1:$I$89,3,0)*VLOOKUP('Données projet'!$B$11,Paramètres!$A$1:$I$89,5,0)</f>
        <v>217.80719999999994</v>
      </c>
      <c r="BF69" s="13">
        <f t="shared" ref="BF69:BF132" si="91">EXP(-1.0587+0.8836*LN(BE69)+0.284)</f>
        <v>53.638013973813976</v>
      </c>
      <c r="BG69" s="20">
        <f t="shared" si="61"/>
        <v>472.76708100439259</v>
      </c>
      <c r="BH69" s="59">
        <f t="shared" si="62"/>
        <v>766.10041433772585</v>
      </c>
      <c r="BI69" s="59">
        <f ca="1">AVERAGE(OFFSET($BH$3,0,0,'Données projet'!$E$11+1,1))-AVERAGE(OFFSET($H$3,0,0,'Données projet'!$E$11+1,1))</f>
        <v>308.80022073574963</v>
      </c>
      <c r="BJ69" s="59">
        <f t="shared" ref="BJ69:BJ132" si="92">$BJ$3</f>
        <v>183.96267407004115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52.630714834524682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52.630714834524682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18.2</v>
      </c>
      <c r="N70" s="13">
        <f>IF('Données projet'!$A$36&gt;35,N69+M70-V69,IF(A70&lt;'Données projet'!$A$36,$K$205^A70,IF(A70='Données projet'!$A$36,'Données projet'!$B$36,N69+M70-V69)))</f>
        <v>718.40000000000043</v>
      </c>
      <c r="O70" s="13">
        <f>N70*VLOOKUP('Données projet'!$B$9,Paramètres!$A$1:$I$89,3,0)*VLOOKUP('Données projet'!$B$9,Paramètres!$A$1:$I$89,5,0)</f>
        <v>336.21120000000019</v>
      </c>
      <c r="P70" s="13">
        <f t="shared" si="87"/>
        <v>78.716646554623011</v>
      </c>
      <c r="Q70" s="20">
        <f t="shared" si="54"/>
        <v>722.66599941596871</v>
      </c>
      <c r="R70" s="59">
        <f t="shared" si="55"/>
        <v>1015.9993327493021</v>
      </c>
      <c r="S70" s="59">
        <f ca="1">AVERAGE(OFFSET($R$3,0,0,'Données projet'!$E$9+1,1))-AVERAGE(OFFSET($H$3,0,0,'Données projet'!$E$9+1,1))</f>
        <v>379.12827535040157</v>
      </c>
      <c r="T70" s="59">
        <f t="shared" si="88"/>
        <v>317.29813413796956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109.88922217866994</v>
      </c>
      <c r="AA70" s="21">
        <f>EXP(-LN(2)/25)*AA69+(1-EXP(-LN(2)/25))/(LN(2)/25)*Calculateur!V70*Calculateur!X70*VLOOKUP('Données projet'!$B$9,Paramètres!$A$1:$I$89,3,0)*0.475*44/12</f>
        <v>15.964916061715456</v>
      </c>
      <c r="AB70" s="21">
        <f>EXP(-LN(2)/2)*AB69+(1-EXP(-LN(2)/2))/(LN(2)/2)*V70*Y70*VLOOKUP('Données projet'!$B$9,Paramètres!$A$1:$I$89,3,0)*0.475*44/12</f>
        <v>1.1613144827210715E-6</v>
      </c>
      <c r="AC70" s="22">
        <f t="shared" si="57"/>
        <v>125.85413940169988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636.99999999999977</v>
      </c>
      <c r="AJ70" s="13">
        <f>AI70*VLOOKUP('Données projet'!$B$10,Paramètres!$A$1:$I$89,3,0)*VLOOKUP('Données projet'!$B$10,Paramètres!$A$1:$I$89,5,0)</f>
        <v>356.08299999999991</v>
      </c>
      <c r="AK70" s="13">
        <f t="shared" si="89"/>
        <v>82.813805255716545</v>
      </c>
      <c r="AL70" s="20">
        <f t="shared" si="58"/>
        <v>764.41193582037283</v>
      </c>
      <c r="AM70" s="59">
        <f t="shared" si="59"/>
        <v>1057.7452691537062</v>
      </c>
      <c r="AN70" s="59">
        <f ca="1">AVERAGE(OFFSET($AM$3,0,0,'Données projet'!$E$10+1,1))-AVERAGE(OFFSET($H$3,0,0,'Données projet'!$E$10+1,1))</f>
        <v>382.55387448074327</v>
      </c>
      <c r="AO70" s="59">
        <f t="shared" si="90"/>
        <v>476.29465646955543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85.079446877600262</v>
      </c>
      <c r="AV70" s="21">
        <f>EXP(-LN(2)/25)*AV69+(1-EXP(-LN(2)/25))/(LN(2)/25)*Calculateur!AQ70*Calculateur!AS70*VLOOKUP('Données projet'!$B$10,Paramètres!$A$1:$I$89,3,0)*0.475*44/12</f>
        <v>7.8642780838823709</v>
      </c>
      <c r="AW70" s="21">
        <f>EXP(-LN(2)/2)*AW69+(1-EXP(-LN(2)/2))/(LN(2)/2)*AQ70*AT70*VLOOKUP('Données projet'!$B$10,Paramètres!$A$1:$I$89,3,0)*0.475*44/12</f>
        <v>1.6297132555548626E-5</v>
      </c>
      <c r="AX70" s="21">
        <f t="shared" si="60"/>
        <v>92.943741258615191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221.59999999999994</v>
      </c>
      <c r="BE70" s="13">
        <f>BD70*VLOOKUP('Données projet'!$B$11,Paramètres!$A$1:$I$89,3,0)*VLOOKUP('Données projet'!$B$11,Paramètres!$A$1:$I$89,5,0)</f>
        <v>224.70239999999995</v>
      </c>
      <c r="BF70" s="13">
        <f t="shared" si="91"/>
        <v>55.135667706678262</v>
      </c>
      <c r="BG70" s="20">
        <f t="shared" si="61"/>
        <v>487.38463458913128</v>
      </c>
      <c r="BH70" s="59">
        <f t="shared" si="62"/>
        <v>780.7179679224646</v>
      </c>
      <c r="BI70" s="59">
        <f ca="1">AVERAGE(OFFSET($BH$3,0,0,'Données projet'!$E$11+1,1))-AVERAGE(OFFSET($H$3,0,0,'Données projet'!$E$11+1,1))</f>
        <v>308.80022073574963</v>
      </c>
      <c r="BJ70" s="59">
        <f t="shared" si="92"/>
        <v>183.96267407004115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51.598658618185937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51.598658618185937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18.2</v>
      </c>
      <c r="N71" s="13">
        <f>IF('Données projet'!$A$36&gt;35,N70+M71-V70,IF(A71&lt;'Données projet'!$A$36,$K$205^A71,IF(A71='Données projet'!$A$36,'Données projet'!$B$36,N70+M71-V70)))</f>
        <v>736.60000000000048</v>
      </c>
      <c r="O71" s="13">
        <f>N71*VLOOKUP('Données projet'!$B$9,Paramètres!$A$1:$I$89,3,0)*VLOOKUP('Données projet'!$B$9,Paramètres!$A$1:$I$89,5,0)</f>
        <v>344.72880000000021</v>
      </c>
      <c r="P71" s="13">
        <f t="shared" si="87"/>
        <v>80.476159663038771</v>
      </c>
      <c r="Q71" s="20">
        <f t="shared" si="54"/>
        <v>740.56530474645945</v>
      </c>
      <c r="R71" s="59">
        <f t="shared" si="55"/>
        <v>1033.8986380797928</v>
      </c>
      <c r="S71" s="59">
        <f ca="1">AVERAGE(OFFSET($R$3,0,0,'Données projet'!$E$9+1,1))-AVERAGE(OFFSET($H$3,0,0,'Données projet'!$E$9+1,1))</f>
        <v>379.12827535040157</v>
      </c>
      <c r="T71" s="59">
        <f t="shared" si="88"/>
        <v>317.29813413796956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107.7343615575535</v>
      </c>
      <c r="AA71" s="21">
        <f>EXP(-LN(2)/25)*AA70+(1-EXP(-LN(2)/25))/(LN(2)/25)*Calculateur!V71*Calculateur!X71*VLOOKUP('Données projet'!$B$9,Paramètres!$A$1:$I$89,3,0)*0.475*44/12</f>
        <v>15.5283545924494</v>
      </c>
      <c r="AB71" s="21">
        <f>EXP(-LN(2)/2)*AB70+(1-EXP(-LN(2)/2))/(LN(2)/2)*V71*Y71*VLOOKUP('Données projet'!$B$9,Paramètres!$A$1:$I$89,3,0)*0.475*44/12</f>
        <v>8.2117334582221737E-7</v>
      </c>
      <c r="AC71" s="22">
        <f t="shared" si="57"/>
        <v>123.26271697117625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636.99999999999977</v>
      </c>
      <c r="AJ71" s="13">
        <f>AI71*VLOOKUP('Données projet'!$B$10,Paramètres!$A$1:$I$89,3,0)*VLOOKUP('Données projet'!$B$10,Paramètres!$A$1:$I$89,5,0)</f>
        <v>356.08299999999991</v>
      </c>
      <c r="AK71" s="13">
        <f t="shared" si="89"/>
        <v>82.813805255716545</v>
      </c>
      <c r="AL71" s="20">
        <f t="shared" si="58"/>
        <v>764.41193582037283</v>
      </c>
      <c r="AM71" s="59">
        <f t="shared" si="59"/>
        <v>1057.7452691537062</v>
      </c>
      <c r="AN71" s="59">
        <f ca="1">AVERAGE(OFFSET($AM$3,0,0,'Données projet'!$E$10+1,1))-AVERAGE(OFFSET($H$3,0,0,'Données projet'!$E$10+1,1))</f>
        <v>382.55387448074327</v>
      </c>
      <c r="AO71" s="59">
        <f t="shared" si="90"/>
        <v>476.29465646955543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83.411090817669077</v>
      </c>
      <c r="AV71" s="21">
        <f>EXP(-LN(2)/25)*AV70+(1-EXP(-LN(2)/25))/(LN(2)/25)*Calculateur!AQ71*Calculateur!AS71*VLOOKUP('Données projet'!$B$10,Paramètres!$A$1:$I$89,3,0)*0.475*44/12</f>
        <v>7.6492289861141973</v>
      </c>
      <c r="AW71" s="21">
        <f>EXP(-LN(2)/2)*AW70+(1-EXP(-LN(2)/2))/(LN(2)/2)*AQ71*AT71*VLOOKUP('Données projet'!$B$10,Paramètres!$A$1:$I$89,3,0)*0.475*44/12</f>
        <v>1.1523812943924483E-5</v>
      </c>
      <c r="AX71" s="21">
        <f t="shared" si="60"/>
        <v>91.060331327596217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228.39999999999995</v>
      </c>
      <c r="BE71" s="13">
        <f>BD71*VLOOKUP('Données projet'!$B$11,Paramètres!$A$1:$I$89,3,0)*VLOOKUP('Données projet'!$B$11,Paramètres!$A$1:$I$89,5,0)</f>
        <v>231.59759999999997</v>
      </c>
      <c r="BF71" s="13">
        <f t="shared" si="91"/>
        <v>56.627980714948151</v>
      </c>
      <c r="BG71" s="20">
        <f t="shared" si="61"/>
        <v>501.99288641186791</v>
      </c>
      <c r="BH71" s="59">
        <f t="shared" si="62"/>
        <v>795.32621974520123</v>
      </c>
      <c r="BI71" s="59">
        <f ca="1">AVERAGE(OFFSET($BH$3,0,0,'Données projet'!$E$11+1,1))-AVERAGE(OFFSET($H$3,0,0,'Données projet'!$E$11+1,1))</f>
        <v>308.80022073574963</v>
      </c>
      <c r="BJ71" s="59">
        <f t="shared" si="92"/>
        <v>183.96267407004115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50.586840394757459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50.586840394757459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18.2</v>
      </c>
      <c r="N72" s="13">
        <f>IF('Données projet'!$A$36&gt;35,N71+M72-V71,IF(A72&lt;'Données projet'!$A$36,$K$205^A72,IF(A72='Données projet'!$A$36,'Données projet'!$B$36,N71+M72-V71)))</f>
        <v>754.80000000000052</v>
      </c>
      <c r="O72" s="13">
        <f>N72*VLOOKUP('Données projet'!$B$9,Paramètres!$A$1:$I$89,3,0)*VLOOKUP('Données projet'!$B$9,Paramètres!$A$1:$I$89,5,0)</f>
        <v>353.24640000000022</v>
      </c>
      <c r="P72" s="13">
        <f t="shared" si="87"/>
        <v>82.230619094326016</v>
      </c>
      <c r="Q72" s="20">
        <f t="shared" si="54"/>
        <v>758.45580825595152</v>
      </c>
      <c r="R72" s="59">
        <f t="shared" si="55"/>
        <v>1051.7891415892848</v>
      </c>
      <c r="S72" s="59">
        <f ca="1">AVERAGE(OFFSET($R$3,0,0,'Données projet'!$E$9+1,1))-AVERAGE(OFFSET($H$3,0,0,'Données projet'!$E$9+1,1))</f>
        <v>379.12827535040157</v>
      </c>
      <c r="T72" s="59">
        <f t="shared" si="88"/>
        <v>317.29813413796956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105.62175643888196</v>
      </c>
      <c r="AA72" s="21">
        <f>EXP(-LN(2)/25)*AA71+(1-EXP(-LN(2)/25))/(LN(2)/25)*Calculateur!V72*Calculateur!X72*VLOOKUP('Données projet'!$B$9,Paramètres!$A$1:$I$89,3,0)*0.475*44/12</f>
        <v>15.103730919518194</v>
      </c>
      <c r="AB72" s="21">
        <f>EXP(-LN(2)/2)*AB71+(1-EXP(-LN(2)/2))/(LN(2)/2)*V72*Y72*VLOOKUP('Données projet'!$B$9,Paramètres!$A$1:$I$89,3,0)*0.475*44/12</f>
        <v>5.8065724136053577E-7</v>
      </c>
      <c r="AC72" s="22">
        <f t="shared" si="57"/>
        <v>120.7254879390574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636.99999999999977</v>
      </c>
      <c r="AJ72" s="13">
        <f>AI72*VLOOKUP('Données projet'!$B$10,Paramètres!$A$1:$I$89,3,0)*VLOOKUP('Données projet'!$B$10,Paramètres!$A$1:$I$89,5,0)</f>
        <v>356.08299999999991</v>
      </c>
      <c r="AK72" s="13">
        <f t="shared" si="89"/>
        <v>82.813805255716545</v>
      </c>
      <c r="AL72" s="20">
        <f t="shared" si="58"/>
        <v>764.41193582037283</v>
      </c>
      <c r="AM72" s="59">
        <f t="shared" si="59"/>
        <v>1057.7452691537062</v>
      </c>
      <c r="AN72" s="59">
        <f ca="1">AVERAGE(OFFSET($AM$3,0,0,'Données projet'!$E$10+1,1))-AVERAGE(OFFSET($H$3,0,0,'Données projet'!$E$10+1,1))</f>
        <v>382.55387448074327</v>
      </c>
      <c r="AO72" s="59">
        <f t="shared" si="90"/>
        <v>476.29465646955543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81.775450202476421</v>
      </c>
      <c r="AV72" s="21">
        <f>EXP(-LN(2)/25)*AV71+(1-EXP(-LN(2)/25))/(LN(2)/25)*Calculateur!AQ72*Calculateur!AS72*VLOOKUP('Données projet'!$B$10,Paramètres!$A$1:$I$89,3,0)*0.475*44/12</f>
        <v>7.4400604172334344</v>
      </c>
      <c r="AW72" s="21">
        <f>EXP(-LN(2)/2)*AW71+(1-EXP(-LN(2)/2))/(LN(2)/2)*AQ72*AT72*VLOOKUP('Données projet'!$B$10,Paramètres!$A$1:$I$89,3,0)*0.475*44/12</f>
        <v>8.1485662777743132E-6</v>
      </c>
      <c r="AX72" s="21">
        <f t="shared" si="60"/>
        <v>89.215518768276141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235.19999999999996</v>
      </c>
      <c r="BE72" s="13">
        <f>BD72*VLOOKUP('Données projet'!$B$11,Paramètres!$A$1:$I$89,3,0)*VLOOKUP('Données projet'!$B$11,Paramètres!$A$1:$I$89,5,0)</f>
        <v>238.49279999999996</v>
      </c>
      <c r="BF72" s="13">
        <f t="shared" si="91"/>
        <v>58.115130258576542</v>
      </c>
      <c r="BG72" s="20">
        <f t="shared" si="61"/>
        <v>516.59214520035414</v>
      </c>
      <c r="BH72" s="59">
        <f t="shared" si="62"/>
        <v>809.92547853368751</v>
      </c>
      <c r="BI72" s="59">
        <f ca="1">AVERAGE(OFFSET($BH$3,0,0,'Données projet'!$E$11+1,1))-AVERAGE(OFFSET($H$3,0,0,'Données projet'!$E$11+1,1))</f>
        <v>308.80022073574963</v>
      </c>
      <c r="BJ72" s="59">
        <f t="shared" si="92"/>
        <v>183.96267407004115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49.594863309542234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49.594863309542234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773</v>
      </c>
      <c r="L73" s="12">
        <f>VLOOKUP(A73,'Données projet'!$A$35:$I$55,9,0)</f>
        <v>18.2</v>
      </c>
      <c r="M73" s="12">
        <f t="array" ref="M73">INDEX(L:L,MIN(IF(ISNUMBER(L73:L269),ROW(L73:L269),"")))</f>
        <v>18.2</v>
      </c>
      <c r="N73" s="13">
        <f>IF('Données projet'!$A$36&gt;35,N72+M73-V72,IF(A73&lt;'Données projet'!$A$36,$K$205^A73,IF(A73='Données projet'!$A$36,'Données projet'!$B$36,N72+M73-V72)))</f>
        <v>773.00000000000057</v>
      </c>
      <c r="O73" s="13">
        <f>N73*VLOOKUP('Données projet'!$B$9,Paramètres!$A$1:$I$89,3,0)*VLOOKUP('Données projet'!$B$9,Paramètres!$A$1:$I$89,5,0)</f>
        <v>361.76400000000029</v>
      </c>
      <c r="P73" s="13">
        <f t="shared" si="87"/>
        <v>83.980160724438363</v>
      </c>
      <c r="Q73" s="20">
        <f t="shared" si="54"/>
        <v>776.33774659506389</v>
      </c>
      <c r="R73" s="59">
        <f t="shared" si="55"/>
        <v>1069.6710799283971</v>
      </c>
      <c r="S73" s="59">
        <f ca="1">AVERAGE(OFFSET($R$3,0,0,'Données projet'!$E$9+1,1))-AVERAGE(OFFSET($H$3,0,0,'Données projet'!$E$9+1,1))</f>
        <v>379.12827535040157</v>
      </c>
      <c r="T73" s="59">
        <f t="shared" si="88"/>
        <v>317.29813413796956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49</v>
      </c>
      <c r="W73" s="16">
        <f>IF(ISNA(VLOOKUP(A73,'Données projet'!$A$35:$I$55,5,0)),0%,VLOOKUP(A73,'Données projet'!$A$35:$I$55,5,0)*VLOOKUP('Données projet'!$B$9,Paramètres!$A$1:$I$89,7,0))</f>
        <v>0.55000000000000004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120.28200506870242</v>
      </c>
      <c r="AA73" s="21">
        <f>EXP(-LN(2)/25)*AA72+(1-EXP(-LN(2)/25))/(LN(2)/25)*Calculateur!V73*Calculateur!X73*VLOOKUP('Données projet'!$B$9,Paramètres!$A$1:$I$89,3,0)*0.475*44/12</f>
        <v>14.690718603253279</v>
      </c>
      <c r="AB73" s="21">
        <f>EXP(-LN(2)/2)*AB72+(1-EXP(-LN(2)/2))/(LN(2)/2)*V73*Y73*VLOOKUP('Données projet'!$B$9,Paramètres!$A$1:$I$89,3,0)*0.475*44/12</f>
        <v>4.1058667291110868E-7</v>
      </c>
      <c r="AC73" s="22">
        <f t="shared" si="57"/>
        <v>134.97272408254236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636.99999999999977</v>
      </c>
      <c r="AJ73" s="13">
        <f>AI73*VLOOKUP('Données projet'!$B$10,Paramètres!$A$1:$I$89,3,0)*VLOOKUP('Données projet'!$B$10,Paramètres!$A$1:$I$89,5,0)</f>
        <v>356.08299999999991</v>
      </c>
      <c r="AK73" s="13">
        <f t="shared" si="89"/>
        <v>82.813805255716545</v>
      </c>
      <c r="AL73" s="20">
        <f t="shared" si="58"/>
        <v>764.41193582037283</v>
      </c>
      <c r="AM73" s="59">
        <f t="shared" si="59"/>
        <v>1057.7452691537062</v>
      </c>
      <c r="AN73" s="59">
        <f ca="1">AVERAGE(OFFSET($AM$3,0,0,'Données projet'!$E$10+1,1))-AVERAGE(OFFSET($H$3,0,0,'Données projet'!$E$10+1,1))</f>
        <v>382.55387448074327</v>
      </c>
      <c r="AO73" s="59">
        <f t="shared" si="90"/>
        <v>476.29465646955543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80.17188350210543</v>
      </c>
      <c r="AV73" s="21">
        <f>EXP(-LN(2)/25)*AV72+(1-EXP(-LN(2)/25))/(LN(2)/25)*Calculateur!AQ73*Calculateur!AS73*VLOOKUP('Données projet'!$B$10,Paramètres!$A$1:$I$89,3,0)*0.475*44/12</f>
        <v>7.2366115738684131</v>
      </c>
      <c r="AW73" s="21">
        <f>EXP(-LN(2)/2)*AW72+(1-EXP(-LN(2)/2))/(LN(2)/2)*AQ73*AT73*VLOOKUP('Données projet'!$B$10,Paramètres!$A$1:$I$89,3,0)*0.475*44/12</f>
        <v>5.7619064719622414E-6</v>
      </c>
      <c r="AX73" s="21">
        <f t="shared" si="60"/>
        <v>87.408500837880325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242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241.99999999999997</v>
      </c>
      <c r="BE73" s="13">
        <f>BD73*VLOOKUP('Données projet'!$B$11,Paramètres!$A$1:$I$89,3,0)*VLOOKUP('Données projet'!$B$11,Paramètres!$A$1:$I$89,5,0)</f>
        <v>245.38799999999998</v>
      </c>
      <c r="BF73" s="13">
        <f t="shared" si="91"/>
        <v>59.597282764919569</v>
      </c>
      <c r="BG73" s="20">
        <f t="shared" si="61"/>
        <v>531.18270081556818</v>
      </c>
      <c r="BH73" s="59">
        <f t="shared" si="62"/>
        <v>824.51603414890155</v>
      </c>
      <c r="BI73" s="59">
        <f ca="1">AVERAGE(OFFSET($BH$3,0,0,'Données projet'!$E$11+1,1))-AVERAGE(OFFSET($H$3,0,0,'Données projet'!$E$11+1,1))</f>
        <v>308.80022073574963</v>
      </c>
      <c r="BJ73" s="59">
        <f t="shared" si="92"/>
        <v>183.96267407004115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58.744489382484893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58.744489382484893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17</v>
      </c>
      <c r="N74" s="13">
        <f>IF('Données projet'!$A$36&gt;35,N73+M74-V73,IF(A74&lt;'Données projet'!$A$36,$K$205^A74,IF(A74='Données projet'!$A$36,'Données projet'!$B$36,N73+M74-V73)))</f>
        <v>741.00000000000057</v>
      </c>
      <c r="O74" s="13">
        <f>N74*VLOOKUP('Données projet'!$B$9,Paramètres!$A$1:$I$89,3,0)*VLOOKUP('Données projet'!$B$9,Paramètres!$A$1:$I$89,5,0)</f>
        <v>346.7880000000003</v>
      </c>
      <c r="P74" s="13">
        <f t="shared" si="87"/>
        <v>80.900772615791055</v>
      </c>
      <c r="Q74" s="20">
        <f t="shared" si="54"/>
        <v>744.89127897250319</v>
      </c>
      <c r="R74" s="59">
        <f t="shared" si="55"/>
        <v>1038.2246123058364</v>
      </c>
      <c r="S74" s="59">
        <f ca="1">AVERAGE(OFFSET($R$3,0,0,'Données projet'!$E$9+1,1))-AVERAGE(OFFSET($H$3,0,0,'Données projet'!$E$9+1,1))</f>
        <v>379.12827535040157</v>
      </c>
      <c r="T74" s="59">
        <f t="shared" si="88"/>
        <v>317.29813413796956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117.92334831408408</v>
      </c>
      <c r="AA74" s="21">
        <f>EXP(-LN(2)/25)*AA73+(1-EXP(-LN(2)/25))/(LN(2)/25)*Calculateur!V74*Calculateur!X74*VLOOKUP('Données projet'!$B$9,Paramètres!$A$1:$I$89,3,0)*0.475*44/12</f>
        <v>14.289000130496003</v>
      </c>
      <c r="AB74" s="21">
        <f>EXP(-LN(2)/2)*AB73+(1-EXP(-LN(2)/2))/(LN(2)/2)*V74*Y74*VLOOKUP('Données projet'!$B$9,Paramètres!$A$1:$I$89,3,0)*0.475*44/12</f>
        <v>2.9032862068026789E-7</v>
      </c>
      <c r="AC74" s="22">
        <f t="shared" si="57"/>
        <v>132.21234873490869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636.99999999999977</v>
      </c>
      <c r="AJ74" s="13">
        <f>AI74*VLOOKUP('Données projet'!$B$10,Paramètres!$A$1:$I$89,3,0)*VLOOKUP('Données projet'!$B$10,Paramètres!$A$1:$I$89,5,0)</f>
        <v>356.08299999999991</v>
      </c>
      <c r="AK74" s="13">
        <f t="shared" si="89"/>
        <v>82.813805255716545</v>
      </c>
      <c r="AL74" s="20">
        <f t="shared" si="58"/>
        <v>764.41193582037283</v>
      </c>
      <c r="AM74" s="59">
        <f t="shared" si="59"/>
        <v>1057.7452691537062</v>
      </c>
      <c r="AN74" s="59">
        <f ca="1">AVERAGE(OFFSET($AM$3,0,0,'Données projet'!$E$10+1,1))-AVERAGE(OFFSET($H$3,0,0,'Données projet'!$E$10+1,1))</f>
        <v>382.55387448074327</v>
      </c>
      <c r="AO74" s="59">
        <f t="shared" si="90"/>
        <v>476.29465646955543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78.599761766649607</v>
      </c>
      <c r="AV74" s="21">
        <f>EXP(-LN(2)/25)*AV73+(1-EXP(-LN(2)/25))/(LN(2)/25)*Calculateur!AQ74*Calculateur!AS74*VLOOKUP('Données projet'!$B$10,Paramètres!$A$1:$I$89,3,0)*0.475*44/12</f>
        <v>7.0387260498241186</v>
      </c>
      <c r="AW74" s="21">
        <f>EXP(-LN(2)/2)*AW73+(1-EXP(-LN(2)/2))/(LN(2)/2)*AQ74*AT74*VLOOKUP('Données projet'!$B$10,Paramètres!$A$1:$I$89,3,0)*0.475*44/12</f>
        <v>4.0742831388871566E-6</v>
      </c>
      <c r="AX74" s="21">
        <f t="shared" si="60"/>
        <v>85.638491890756868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6.2</v>
      </c>
      <c r="BD74" s="12">
        <f>IF('Données projet'!$A$88&gt;35,BD73+BC74-BL73,IF(A74&lt;'Données projet'!$A$88,$BA$205^A74,IF(A74='Données projet'!$A$88,'Données projet'!$B$88,BD73+BC74-BL73)))</f>
        <v>227.19999999999996</v>
      </c>
      <c r="BE74" s="13">
        <f>BD74*VLOOKUP('Données projet'!$B$11,Paramètres!$A$1:$I$89,3,0)*VLOOKUP('Données projet'!$B$11,Paramètres!$A$1:$I$89,5,0)</f>
        <v>230.38079999999997</v>
      </c>
      <c r="BF74" s="13">
        <f t="shared" si="91"/>
        <v>56.365011465139979</v>
      </c>
      <c r="BG74" s="20">
        <f t="shared" si="61"/>
        <v>499.41562163511867</v>
      </c>
      <c r="BH74" s="59">
        <f t="shared" si="62"/>
        <v>792.74895496845193</v>
      </c>
      <c r="BI74" s="59">
        <f ca="1">AVERAGE(OFFSET($BH$3,0,0,'Données projet'!$E$11+1,1))-AVERAGE(OFFSET($H$3,0,0,'Données projet'!$E$11+1,1))</f>
        <v>308.80022073574963</v>
      </c>
      <c r="BJ74" s="59">
        <f t="shared" si="92"/>
        <v>183.96267407004115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57.592545776294912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57.592545776294912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17</v>
      </c>
      <c r="N75" s="13">
        <f>IF('Données projet'!$A$36&gt;35,N74+M75-V74,IF(A75&lt;'Données projet'!$A$36,$K$205^A75,IF(A75='Données projet'!$A$36,'Données projet'!$B$36,N74+M75-V74)))</f>
        <v>758.00000000000057</v>
      </c>
      <c r="O75" s="13">
        <f>N75*VLOOKUP('Données projet'!$B$9,Paramètres!$A$1:$I$89,3,0)*VLOOKUP('Données projet'!$B$9,Paramètres!$A$1:$I$89,5,0)</f>
        <v>354.74400000000031</v>
      </c>
      <c r="P75" s="13">
        <f t="shared" si="87"/>
        <v>82.538583377590484</v>
      </c>
      <c r="Q75" s="20">
        <f t="shared" si="54"/>
        <v>761.60049938263728</v>
      </c>
      <c r="R75" s="59">
        <f t="shared" si="55"/>
        <v>1054.9338327159705</v>
      </c>
      <c r="S75" s="59">
        <f ca="1">AVERAGE(OFFSET($R$3,0,0,'Données projet'!$E$9+1,1))-AVERAGE(OFFSET($H$3,0,0,'Données projet'!$E$9+1,1))</f>
        <v>379.12827535040157</v>
      </c>
      <c r="T75" s="59">
        <f t="shared" si="88"/>
        <v>317.29813413796956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115.61094337978524</v>
      </c>
      <c r="AA75" s="21">
        <f>EXP(-LN(2)/25)*AA74+(1-EXP(-LN(2)/25))/(LN(2)/25)*Calculateur!V75*Calculateur!X75*VLOOKUP('Données projet'!$B$9,Paramètres!$A$1:$I$89,3,0)*0.475*44/12</f>
        <v>13.89826667050173</v>
      </c>
      <c r="AB75" s="21">
        <f>EXP(-LN(2)/2)*AB74+(1-EXP(-LN(2)/2))/(LN(2)/2)*V75*Y75*VLOOKUP('Données projet'!$B$9,Paramètres!$A$1:$I$89,3,0)*0.475*44/12</f>
        <v>2.0529333645555434E-7</v>
      </c>
      <c r="AC75" s="22">
        <f t="shared" si="57"/>
        <v>129.50921025558031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636.99999999999977</v>
      </c>
      <c r="AJ75" s="13">
        <f>AI75*VLOOKUP('Données projet'!$B$10,Paramètres!$A$1:$I$89,3,0)*VLOOKUP('Données projet'!$B$10,Paramètres!$A$1:$I$89,5,0)</f>
        <v>356.08299999999991</v>
      </c>
      <c r="AK75" s="13">
        <f t="shared" si="89"/>
        <v>82.813805255716545</v>
      </c>
      <c r="AL75" s="20">
        <f t="shared" si="58"/>
        <v>764.41193582037283</v>
      </c>
      <c r="AM75" s="59">
        <f t="shared" si="59"/>
        <v>1057.7452691537062</v>
      </c>
      <c r="AN75" s="59">
        <f ca="1">AVERAGE(OFFSET($AM$3,0,0,'Données projet'!$E$10+1,1))-AVERAGE(OFFSET($H$3,0,0,'Données projet'!$E$10+1,1))</f>
        <v>382.55387448074327</v>
      </c>
      <c r="AO75" s="59">
        <f t="shared" si="90"/>
        <v>476.29465646955543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77.058468379526488</v>
      </c>
      <c r="AV75" s="21">
        <f>EXP(-LN(2)/25)*AV74+(1-EXP(-LN(2)/25))/(LN(2)/25)*Calculateur!AQ75*Calculateur!AS75*VLOOKUP('Données projet'!$B$10,Paramètres!$A$1:$I$89,3,0)*0.475*44/12</f>
        <v>6.846251715841162</v>
      </c>
      <c r="AW75" s="21">
        <f>EXP(-LN(2)/2)*AW74+(1-EXP(-LN(2)/2))/(LN(2)/2)*AQ75*AT75*VLOOKUP('Données projet'!$B$10,Paramètres!$A$1:$I$89,3,0)*0.475*44/12</f>
        <v>2.8809532359811207E-6</v>
      </c>
      <c r="AX75" s="21">
        <f t="shared" si="60"/>
        <v>83.904722976320883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6.2</v>
      </c>
      <c r="BD75" s="12">
        <f>IF('Données projet'!$A$88&gt;35,BD74+BC75-BL74,IF(A75&lt;'Données projet'!$A$88,$BA$205^A75,IF(A75='Données projet'!$A$88,'Données projet'!$B$88,BD74+BC75-BL74)))</f>
        <v>233.39999999999995</v>
      </c>
      <c r="BE75" s="13">
        <f>BD75*VLOOKUP('Données projet'!$B$11,Paramètres!$A$1:$I$89,3,0)*VLOOKUP('Données projet'!$B$11,Paramètres!$A$1:$I$89,5,0)</f>
        <v>236.66759999999996</v>
      </c>
      <c r="BF75" s="13">
        <f t="shared" si="91"/>
        <v>57.721965974560838</v>
      </c>
      <c r="BG75" s="20">
        <f t="shared" si="61"/>
        <v>512.72849407236004</v>
      </c>
      <c r="BH75" s="59">
        <f t="shared" si="62"/>
        <v>806.06182740569329</v>
      </c>
      <c r="BI75" s="59">
        <f ca="1">AVERAGE(OFFSET($BH$3,0,0,'Données projet'!$E$11+1,1))-AVERAGE(OFFSET($H$3,0,0,'Données projet'!$E$11+1,1))</f>
        <v>308.80022073574963</v>
      </c>
      <c r="BJ75" s="59">
        <f t="shared" si="92"/>
        <v>183.96267407004115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56.463191081606091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56.463191081606091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17</v>
      </c>
      <c r="N76" s="13">
        <f>IF('Données projet'!$A$36&gt;35,N75+M76-V75,IF(A76&lt;'Données projet'!$A$36,$K$205^A76,IF(A76='Données projet'!$A$36,'Données projet'!$B$36,N75+M76-V75)))</f>
        <v>775.00000000000057</v>
      </c>
      <c r="O76" s="13">
        <f>N76*VLOOKUP('Données projet'!$B$9,Paramètres!$A$1:$I$89,3,0)*VLOOKUP('Données projet'!$B$9,Paramètres!$A$1:$I$89,5,0)</f>
        <v>362.70000000000022</v>
      </c>
      <c r="P76" s="13">
        <f t="shared" si="87"/>
        <v>84.172123743406843</v>
      </c>
      <c r="Q76" s="20">
        <f t="shared" si="54"/>
        <v>778.3022821864339</v>
      </c>
      <c r="R76" s="59">
        <f t="shared" si="55"/>
        <v>1071.6356155197673</v>
      </c>
      <c r="S76" s="59">
        <f ca="1">AVERAGE(OFFSET($R$3,0,0,'Données projet'!$E$9+1,1))-AVERAGE(OFFSET($H$3,0,0,'Données projet'!$E$9+1,1))</f>
        <v>379.12827535040157</v>
      </c>
      <c r="T76" s="59">
        <f t="shared" si="88"/>
        <v>317.29813413796956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113.34388329582026</v>
      </c>
      <c r="AA76" s="21">
        <f>EXP(-LN(2)/25)*AA75+(1-EXP(-LN(2)/25))/(LN(2)/25)*Calculateur!V76*Calculateur!X76*VLOOKUP('Données projet'!$B$9,Paramètres!$A$1:$I$89,3,0)*0.475*44/12</f>
        <v>13.518217837518781</v>
      </c>
      <c r="AB76" s="21">
        <f>EXP(-LN(2)/2)*AB75+(1-EXP(-LN(2)/2))/(LN(2)/2)*V76*Y76*VLOOKUP('Données projet'!$B$9,Paramètres!$A$1:$I$89,3,0)*0.475*44/12</f>
        <v>1.4516431034013394E-7</v>
      </c>
      <c r="AC76" s="22">
        <f t="shared" si="57"/>
        <v>126.86210127850335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636.99999999999977</v>
      </c>
      <c r="AJ76" s="13">
        <f>AI76*VLOOKUP('Données projet'!$B$10,Paramètres!$A$1:$I$89,3,0)*VLOOKUP('Données projet'!$B$10,Paramètres!$A$1:$I$89,5,0)</f>
        <v>356.08299999999991</v>
      </c>
      <c r="AK76" s="13">
        <f t="shared" si="89"/>
        <v>82.813805255716545</v>
      </c>
      <c r="AL76" s="20">
        <f t="shared" si="58"/>
        <v>764.41193582037283</v>
      </c>
      <c r="AM76" s="59">
        <f t="shared" si="59"/>
        <v>1057.7452691537062</v>
      </c>
      <c r="AN76" s="59">
        <f ca="1">AVERAGE(OFFSET($AM$3,0,0,'Données projet'!$E$10+1,1))-AVERAGE(OFFSET($H$3,0,0,'Données projet'!$E$10+1,1))</f>
        <v>382.55387448074327</v>
      </c>
      <c r="AO76" s="59">
        <f t="shared" si="90"/>
        <v>476.29465646955543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75.547398815628725</v>
      </c>
      <c r="AV76" s="21">
        <f>EXP(-LN(2)/25)*AV75+(1-EXP(-LN(2)/25))/(LN(2)/25)*Calculateur!AQ76*Calculateur!AS76*VLOOKUP('Données projet'!$B$10,Paramètres!$A$1:$I$89,3,0)*0.475*44/12</f>
        <v>6.6590406026427553</v>
      </c>
      <c r="AW76" s="21">
        <f>EXP(-LN(2)/2)*AW75+(1-EXP(-LN(2)/2))/(LN(2)/2)*AQ76*AT76*VLOOKUP('Données projet'!$B$10,Paramètres!$A$1:$I$89,3,0)*0.475*44/12</f>
        <v>2.0371415694435783E-6</v>
      </c>
      <c r="AX76" s="21">
        <f t="shared" si="60"/>
        <v>82.206441455413056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6.2</v>
      </c>
      <c r="BD76" s="12">
        <f>IF('Données projet'!$A$88&gt;35,BD75+BC76-BL75,IF(A76&lt;'Données projet'!$A$88,$BA$205^A76,IF(A76='Données projet'!$A$88,'Données projet'!$B$88,BD75+BC76-BL75)))</f>
        <v>239.59999999999994</v>
      </c>
      <c r="BE76" s="13">
        <f>BD76*VLOOKUP('Données projet'!$B$11,Paramètres!$A$1:$I$89,3,0)*VLOOKUP('Données projet'!$B$11,Paramètres!$A$1:$I$89,5,0)</f>
        <v>242.95439999999994</v>
      </c>
      <c r="BF76" s="13">
        <f t="shared" si="91"/>
        <v>59.074730698078945</v>
      </c>
      <c r="BG76" s="20">
        <f t="shared" si="61"/>
        <v>526.034069299154</v>
      </c>
      <c r="BH76" s="59">
        <f t="shared" si="62"/>
        <v>819.36740263248726</v>
      </c>
      <c r="BI76" s="59">
        <f ca="1">AVERAGE(OFFSET($BH$3,0,0,'Données projet'!$E$11+1,1))-AVERAGE(OFFSET($H$3,0,0,'Données projet'!$E$11+1,1))</f>
        <v>308.80022073574963</v>
      </c>
      <c r="BJ76" s="59">
        <f t="shared" si="92"/>
        <v>183.96267407004115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55.35598234364177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55.35598234364177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17</v>
      </c>
      <c r="N77" s="13">
        <f>IF('Données projet'!$A$36&gt;35,N76+M77-V76,IF(A77&lt;'Données projet'!$A$36,$K$205^A77,IF(A77='Données projet'!$A$36,'Données projet'!$B$36,N76+M77-V76)))</f>
        <v>792.00000000000057</v>
      </c>
      <c r="O77" s="13">
        <f>N77*VLOOKUP('Données projet'!$B$9,Paramètres!$A$1:$I$89,3,0)*VLOOKUP('Données projet'!$B$9,Paramètres!$A$1:$I$89,5,0)</f>
        <v>370.65600000000023</v>
      </c>
      <c r="P77" s="13">
        <f t="shared" si="87"/>
        <v>85.801498173531627</v>
      </c>
      <c r="Q77" s="20">
        <f t="shared" si="54"/>
        <v>794.99680931890123</v>
      </c>
      <c r="R77" s="59">
        <f t="shared" si="55"/>
        <v>1088.3301426522346</v>
      </c>
      <c r="S77" s="59">
        <f ca="1">AVERAGE(OFFSET($R$3,0,0,'Données projet'!$E$9+1,1))-AVERAGE(OFFSET($H$3,0,0,'Données projet'!$E$9+1,1))</f>
        <v>379.12827535040157</v>
      </c>
      <c r="T77" s="59">
        <f t="shared" si="88"/>
        <v>317.29813413796956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111.12127887733173</v>
      </c>
      <c r="AA77" s="21">
        <f>EXP(-LN(2)/25)*AA76+(1-EXP(-LN(2)/25))/(LN(2)/25)*Calculateur!V77*Calculateur!X77*VLOOKUP('Données projet'!$B$9,Paramètres!$A$1:$I$89,3,0)*0.475*44/12</f>
        <v>13.14856145985965</v>
      </c>
      <c r="AB77" s="21">
        <f>EXP(-LN(2)/2)*AB76+(1-EXP(-LN(2)/2))/(LN(2)/2)*V77*Y77*VLOOKUP('Données projet'!$B$9,Paramètres!$A$1:$I$89,3,0)*0.475*44/12</f>
        <v>1.0264666822777717E-7</v>
      </c>
      <c r="AC77" s="22">
        <f t="shared" si="57"/>
        <v>124.26984043983805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636.99999999999977</v>
      </c>
      <c r="AJ77" s="13">
        <f>AI77*VLOOKUP('Données projet'!$B$10,Paramètres!$A$1:$I$89,3,0)*VLOOKUP('Données projet'!$B$10,Paramètres!$A$1:$I$89,5,0)</f>
        <v>356.08299999999991</v>
      </c>
      <c r="AK77" s="13">
        <f t="shared" si="89"/>
        <v>82.813805255716545</v>
      </c>
      <c r="AL77" s="20">
        <f t="shared" si="58"/>
        <v>764.41193582037283</v>
      </c>
      <c r="AM77" s="59">
        <f t="shared" si="59"/>
        <v>1057.7452691537062</v>
      </c>
      <c r="AN77" s="59">
        <f ca="1">AVERAGE(OFFSET($AM$3,0,0,'Données projet'!$E$10+1,1))-AVERAGE(OFFSET($H$3,0,0,'Données projet'!$E$10+1,1))</f>
        <v>382.55387448074327</v>
      </c>
      <c r="AO77" s="59">
        <f t="shared" si="90"/>
        <v>476.29465646955543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74.065960404217563</v>
      </c>
      <c r="AV77" s="21">
        <f>EXP(-LN(2)/25)*AV76+(1-EXP(-LN(2)/25))/(LN(2)/25)*Calculateur!AQ77*Calculateur!AS77*VLOOKUP('Données projet'!$B$10,Paramètres!$A$1:$I$89,3,0)*0.475*44/12</f>
        <v>6.4769487871797633</v>
      </c>
      <c r="AW77" s="21">
        <f>EXP(-LN(2)/2)*AW76+(1-EXP(-LN(2)/2))/(LN(2)/2)*AQ77*AT77*VLOOKUP('Données projet'!$B$10,Paramètres!$A$1:$I$89,3,0)*0.475*44/12</f>
        <v>1.4404766179905604E-6</v>
      </c>
      <c r="AX77" s="21">
        <f t="shared" si="60"/>
        <v>80.542910631873951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6.2</v>
      </c>
      <c r="BD77" s="12">
        <f>IF('Données projet'!$A$88&gt;35,BD76+BC77-BL76,IF(A77&lt;'Données projet'!$A$88,$BA$205^A77,IF(A77='Données projet'!$A$88,'Données projet'!$B$88,BD76+BC77-BL76)))</f>
        <v>245.79999999999993</v>
      </c>
      <c r="BE77" s="13">
        <f>BD77*VLOOKUP('Données projet'!$B$11,Paramètres!$A$1:$I$89,3,0)*VLOOKUP('Données projet'!$B$11,Paramètres!$A$1:$I$89,5,0)</f>
        <v>249.24119999999994</v>
      </c>
      <c r="BF77" s="13">
        <f t="shared" si="91"/>
        <v>60.42342651744692</v>
      </c>
      <c r="BG77" s="20">
        <f t="shared" si="61"/>
        <v>539.33255785121992</v>
      </c>
      <c r="BH77" s="59">
        <f t="shared" si="62"/>
        <v>832.66589118455317</v>
      </c>
      <c r="BI77" s="59">
        <f ca="1">AVERAGE(OFFSET($BH$3,0,0,'Données projet'!$E$11+1,1))-AVERAGE(OFFSET($H$3,0,0,'Données projet'!$E$11+1,1))</f>
        <v>308.80022073574963</v>
      </c>
      <c r="BJ77" s="59">
        <f t="shared" si="92"/>
        <v>183.96267407004115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54.270485293698286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54.270485293698286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809</v>
      </c>
      <c r="L78" s="12">
        <f>VLOOKUP(A78,'Données projet'!$A$35:$I$55,9,0)</f>
        <v>17</v>
      </c>
      <c r="M78" s="12">
        <f t="array" ref="M78">INDEX(L:L,MIN(IF(ISNUMBER(L78:L274),ROW(L78:L274),"")))</f>
        <v>17</v>
      </c>
      <c r="N78" s="13">
        <f>IF('Données projet'!$A$36&gt;35,N77+M78-V77,IF(A78&lt;'Données projet'!$A$36,$K$205^A78,IF(A78='Données projet'!$A$36,'Données projet'!$B$36,N77+M78-V77)))</f>
        <v>809.00000000000057</v>
      </c>
      <c r="O78" s="13">
        <f>N78*VLOOKUP('Données projet'!$B$9,Paramètres!$A$1:$I$89,3,0)*VLOOKUP('Données projet'!$B$9,Paramètres!$A$1:$I$89,5,0)</f>
        <v>378.61200000000025</v>
      </c>
      <c r="P78" s="13">
        <f t="shared" si="87"/>
        <v>87.426806387687449</v>
      </c>
      <c r="Q78" s="20">
        <f t="shared" si="54"/>
        <v>811.6842544585561</v>
      </c>
      <c r="R78" s="59">
        <f t="shared" si="55"/>
        <v>1105.0175877918894</v>
      </c>
      <c r="S78" s="59">
        <f ca="1">AVERAGE(OFFSET($R$3,0,0,'Données projet'!$E$9+1,1))-AVERAGE(OFFSET($H$3,0,0,'Données projet'!$E$9+1,1))</f>
        <v>379.12827535040157</v>
      </c>
      <c r="T78" s="59">
        <f t="shared" si="88"/>
        <v>317.29813413796956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47</v>
      </c>
      <c r="W78" s="16">
        <f>IF(ISNA(VLOOKUP(A78,'Données projet'!$A$35:$I$55,5,0)),0%,VLOOKUP(A78,'Données projet'!$A$35:$I$55,5,0)*VLOOKUP('Données projet'!$B$9,Paramètres!$A$1:$I$89,7,0))</f>
        <v>0.55000000000000004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124.9907698448514</v>
      </c>
      <c r="AA78" s="21">
        <f>EXP(-LN(2)/25)*AA77+(1-EXP(-LN(2)/25))/(LN(2)/25)*Calculateur!V78*Calculateur!X78*VLOOKUP('Données projet'!$B$9,Paramètres!$A$1:$I$89,3,0)*0.475*44/12</f>
        <v>12.789013355286992</v>
      </c>
      <c r="AB78" s="21">
        <f>EXP(-LN(2)/2)*AB77+(1-EXP(-LN(2)/2))/(LN(2)/2)*V78*Y78*VLOOKUP('Données projet'!$B$9,Paramètres!$A$1:$I$89,3,0)*0.475*44/12</f>
        <v>7.2582155170066972E-8</v>
      </c>
      <c r="AC78" s="22">
        <f t="shared" si="57"/>
        <v>137.77978327272055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636.99999999999977</v>
      </c>
      <c r="AJ78" s="13">
        <f>AI78*VLOOKUP('Données projet'!$B$10,Paramètres!$A$1:$I$89,3,0)*VLOOKUP('Données projet'!$B$10,Paramètres!$A$1:$I$89,5,0)</f>
        <v>356.08299999999991</v>
      </c>
      <c r="AK78" s="13">
        <f t="shared" si="89"/>
        <v>82.813805255716545</v>
      </c>
      <c r="AL78" s="20">
        <f t="shared" si="58"/>
        <v>764.41193582037283</v>
      </c>
      <c r="AM78" s="59">
        <f t="shared" si="59"/>
        <v>1057.7452691537062</v>
      </c>
      <c r="AN78" s="59">
        <f ca="1">AVERAGE(OFFSET($AM$3,0,0,'Données projet'!$E$10+1,1))-AVERAGE(OFFSET($H$3,0,0,'Données projet'!$E$10+1,1))</f>
        <v>382.55387448074327</v>
      </c>
      <c r="AO78" s="59">
        <f t="shared" si="90"/>
        <v>476.29465646955543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72.613572096465973</v>
      </c>
      <c r="AV78" s="21">
        <f>EXP(-LN(2)/25)*AV77+(1-EXP(-LN(2)/25))/(LN(2)/25)*Calculateur!AQ78*Calculateur!AS78*VLOOKUP('Données projet'!$B$10,Paramètres!$A$1:$I$89,3,0)*0.475*44/12</f>
        <v>6.2998362819863996</v>
      </c>
      <c r="AW78" s="21">
        <f>EXP(-LN(2)/2)*AW77+(1-EXP(-LN(2)/2))/(LN(2)/2)*AQ78*AT78*VLOOKUP('Données projet'!$B$10,Paramètres!$A$1:$I$89,3,0)*0.475*44/12</f>
        <v>1.0185707847217892E-6</v>
      </c>
      <c r="AX78" s="21">
        <f t="shared" si="60"/>
        <v>78.913409397023159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252</v>
      </c>
      <c r="BB78" s="12">
        <f>VLOOKUP(A78,'Données projet'!$A$87:$I$107,9,0)</f>
        <v>6.2</v>
      </c>
      <c r="BC78" s="12">
        <f t="array" ref="BC78">INDEX(BB:BB,MIN(IF(ISNUMBER(BB78:BB274),ROW(BB78:BB274),"")))</f>
        <v>6.2</v>
      </c>
      <c r="BD78" s="12">
        <f>IF('Données projet'!$A$88&gt;35,BD77+BC78-BL77,IF(A78&lt;'Données projet'!$A$88,$BA$205^A78,IF(A78='Données projet'!$A$88,'Données projet'!$B$88,BD77+BC78-BL77)))</f>
        <v>251.99999999999991</v>
      </c>
      <c r="BE78" s="13">
        <f>BD78*VLOOKUP('Données projet'!$B$11,Paramètres!$A$1:$I$89,3,0)*VLOOKUP('Données projet'!$B$11,Paramètres!$A$1:$I$89,5,0)</f>
        <v>255.52799999999993</v>
      </c>
      <c r="BF78" s="13">
        <f t="shared" si="91"/>
        <v>61.768167868721477</v>
      </c>
      <c r="BG78" s="20">
        <f t="shared" si="61"/>
        <v>552.62415903802309</v>
      </c>
      <c r="BH78" s="59">
        <f t="shared" si="62"/>
        <v>845.95749237135647</v>
      </c>
      <c r="BI78" s="59">
        <f ca="1">AVERAGE(OFFSET($BH$3,0,0,'Données projet'!$E$11+1,1))-AVERAGE(OFFSET($H$3,0,0,'Données projet'!$E$11+1,1))</f>
        <v>308.80022073574963</v>
      </c>
      <c r="BJ78" s="59">
        <f t="shared" si="92"/>
        <v>183.96267407004115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21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63.328425271379459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63.328425271379459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15.6</v>
      </c>
      <c r="N79" s="13">
        <f>IF('Données projet'!$A$36&gt;35,N78+M79-V78,IF(A79&lt;'Données projet'!$A$36,$K$205^A79,IF(A79='Données projet'!$A$36,'Données projet'!$B$36,N78+M79-V78)))</f>
        <v>777.60000000000059</v>
      </c>
      <c r="O79" s="13">
        <f>N79*VLOOKUP('Données projet'!$B$9,Paramètres!$A$1:$I$89,3,0)*VLOOKUP('Données projet'!$B$9,Paramètres!$A$1:$I$89,5,0)</f>
        <v>363.91680000000031</v>
      </c>
      <c r="P79" s="13">
        <f t="shared" si="87"/>
        <v>84.421589499194738</v>
      </c>
      <c r="Q79" s="20">
        <f t="shared" si="54"/>
        <v>780.85602837776469</v>
      </c>
      <c r="R79" s="59">
        <f t="shared" si="55"/>
        <v>1074.1893617110979</v>
      </c>
      <c r="S79" s="59">
        <f ca="1">AVERAGE(OFFSET($R$3,0,0,'Données projet'!$E$9+1,1))-AVERAGE(OFFSET($H$3,0,0,'Données projet'!$E$9+1,1))</f>
        <v>379.12827535040157</v>
      </c>
      <c r="T79" s="59">
        <f t="shared" si="88"/>
        <v>317.29813413796956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122.53977708503571</v>
      </c>
      <c r="AA79" s="21">
        <f>EXP(-LN(2)/25)*AA78+(1-EXP(-LN(2)/25))/(LN(2)/25)*Calculateur!V79*Calculateur!X79*VLOOKUP('Données projet'!$B$9,Paramètres!$A$1:$I$89,3,0)*0.475*44/12</f>
        <v>12.439297112541686</v>
      </c>
      <c r="AB79" s="21">
        <f>EXP(-LN(2)/2)*AB78+(1-EXP(-LN(2)/2))/(LN(2)/2)*V79*Y79*VLOOKUP('Données projet'!$B$9,Paramètres!$A$1:$I$89,3,0)*0.475*44/12</f>
        <v>5.1323334113888586E-8</v>
      </c>
      <c r="AC79" s="22">
        <f t="shared" si="57"/>
        <v>134.97907424890073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636.99999999999977</v>
      </c>
      <c r="AJ79" s="13">
        <f>AI79*VLOOKUP('Données projet'!$B$10,Paramètres!$A$1:$I$89,3,0)*VLOOKUP('Données projet'!$B$10,Paramètres!$A$1:$I$89,5,0)</f>
        <v>356.08299999999991</v>
      </c>
      <c r="AK79" s="13">
        <f t="shared" si="89"/>
        <v>82.813805255716545</v>
      </c>
      <c r="AL79" s="20">
        <f t="shared" si="58"/>
        <v>764.41193582037283</v>
      </c>
      <c r="AM79" s="59">
        <f t="shared" si="59"/>
        <v>1057.7452691537062</v>
      </c>
      <c r="AN79" s="59">
        <f ca="1">AVERAGE(OFFSET($AM$3,0,0,'Données projet'!$E$10+1,1))-AVERAGE(OFFSET($H$3,0,0,'Données projet'!$E$10+1,1))</f>
        <v>382.55387448074327</v>
      </c>
      <c r="AO79" s="59">
        <f t="shared" si="90"/>
        <v>476.29465646955543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71.189664237559995</v>
      </c>
      <c r="AV79" s="21">
        <f>EXP(-LN(2)/25)*AV78+(1-EXP(-LN(2)/25))/(LN(2)/25)*Calculateur!AQ79*Calculateur!AS79*VLOOKUP('Données projet'!$B$10,Paramètres!$A$1:$I$89,3,0)*0.475*44/12</f>
        <v>6.1275669275614897</v>
      </c>
      <c r="AW79" s="21">
        <f>EXP(-LN(2)/2)*AW78+(1-EXP(-LN(2)/2))/(LN(2)/2)*AQ79*AT79*VLOOKUP('Données projet'!$B$10,Paramètres!$A$1:$I$89,3,0)*0.475*44/12</f>
        <v>7.2023830899528018E-7</v>
      </c>
      <c r="AX79" s="21">
        <f t="shared" si="60"/>
        <v>77.317231885359789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236.99999999999989</v>
      </c>
      <c r="BE79" s="13">
        <f>BD79*VLOOKUP('Données projet'!$B$11,Paramètres!$A$1:$I$89,3,0)*VLOOKUP('Données projet'!$B$11,Paramètres!$A$1:$I$89,5,0)</f>
        <v>240.3179999999999</v>
      </c>
      <c r="BF79" s="13">
        <f t="shared" si="91"/>
        <v>58.507944457766484</v>
      </c>
      <c r="BG79" s="20">
        <f t="shared" si="61"/>
        <v>520.45518659727634</v>
      </c>
      <c r="BH79" s="59">
        <f t="shared" si="62"/>
        <v>813.78851993060971</v>
      </c>
      <c r="BI79" s="59">
        <f ca="1">AVERAGE(OFFSET($BH$3,0,0,'Données projet'!$E$11+1,1))-AVERAGE(OFFSET($H$3,0,0,'Données projet'!$E$11+1,1))</f>
        <v>308.80022073574963</v>
      </c>
      <c r="BJ79" s="59">
        <f t="shared" si="92"/>
        <v>183.96267407004115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62.086593478333072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62.086593478333072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15.6</v>
      </c>
      <c r="N80" s="13">
        <f>IF('Données projet'!$A$36&gt;35,N79+M80-V79,IF(A80&lt;'Données projet'!$A$36,$K$205^A80,IF(A80='Données projet'!$A$36,'Données projet'!$B$36,N79+M80-V79)))</f>
        <v>793.20000000000061</v>
      </c>
      <c r="O80" s="13">
        <f>N80*VLOOKUP('Données projet'!$B$9,Paramètres!$A$1:$I$89,3,0)*VLOOKUP('Données projet'!$B$9,Paramètres!$A$1:$I$89,5,0)</f>
        <v>371.21760000000029</v>
      </c>
      <c r="P80" s="13">
        <f t="shared" si="87"/>
        <v>85.916358055529045</v>
      </c>
      <c r="Q80" s="20">
        <f t="shared" si="54"/>
        <v>796.17497694671363</v>
      </c>
      <c r="R80" s="59">
        <f t="shared" si="55"/>
        <v>1089.508310280047</v>
      </c>
      <c r="S80" s="59">
        <f ca="1">AVERAGE(OFFSET($R$3,0,0,'Données projet'!$E$9+1,1))-AVERAGE(OFFSET($H$3,0,0,'Données projet'!$E$9+1,1))</f>
        <v>379.12827535040157</v>
      </c>
      <c r="T80" s="59">
        <f t="shared" si="88"/>
        <v>317.29813413796956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120.13684679828204</v>
      </c>
      <c r="AA80" s="21">
        <f>EXP(-LN(2)/25)*AA79+(1-EXP(-LN(2)/25))/(LN(2)/25)*Calculateur!V80*Calculateur!X80*VLOOKUP('Données projet'!$B$9,Paramètres!$A$1:$I$89,3,0)*0.475*44/12</f>
        <v>12.099143878845029</v>
      </c>
      <c r="AB80" s="21">
        <f>EXP(-LN(2)/2)*AB79+(1-EXP(-LN(2)/2))/(LN(2)/2)*V80*Y80*VLOOKUP('Données projet'!$B$9,Paramètres!$A$1:$I$89,3,0)*0.475*44/12</f>
        <v>3.6291077585033486E-8</v>
      </c>
      <c r="AC80" s="22">
        <f t="shared" si="57"/>
        <v>132.23599071341815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636.99999999999977</v>
      </c>
      <c r="AJ80" s="13">
        <f>AI80*VLOOKUP('Données projet'!$B$10,Paramètres!$A$1:$I$89,3,0)*VLOOKUP('Données projet'!$B$10,Paramètres!$A$1:$I$89,5,0)</f>
        <v>356.08299999999991</v>
      </c>
      <c r="AK80" s="13">
        <f t="shared" si="89"/>
        <v>82.813805255716545</v>
      </c>
      <c r="AL80" s="20">
        <f t="shared" si="58"/>
        <v>764.41193582037283</v>
      </c>
      <c r="AM80" s="59">
        <f t="shared" si="59"/>
        <v>1057.7452691537062</v>
      </c>
      <c r="AN80" s="59">
        <f ca="1">AVERAGE(OFFSET($AM$3,0,0,'Données projet'!$E$10+1,1))-AVERAGE(OFFSET($H$3,0,0,'Données projet'!$E$10+1,1))</f>
        <v>382.55387448074327</v>
      </c>
      <c r="AO80" s="59">
        <f t="shared" si="90"/>
        <v>476.29465646955543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69.793678343269121</v>
      </c>
      <c r="AV80" s="21">
        <f>EXP(-LN(2)/25)*AV79+(1-EXP(-LN(2)/25))/(LN(2)/25)*Calculateur!AQ80*Calculateur!AS80*VLOOKUP('Données projet'!$B$10,Paramètres!$A$1:$I$89,3,0)*0.475*44/12</f>
        <v>5.9600082876925811</v>
      </c>
      <c r="AW80" s="21">
        <f>EXP(-LN(2)/2)*AW79+(1-EXP(-LN(2)/2))/(LN(2)/2)*AQ80*AT80*VLOOKUP('Données projet'!$B$10,Paramètres!$A$1:$I$89,3,0)*0.475*44/12</f>
        <v>5.0928539236089458E-7</v>
      </c>
      <c r="AX80" s="21">
        <f t="shared" si="60"/>
        <v>75.753687140247095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242.99999999999989</v>
      </c>
      <c r="BE80" s="13">
        <f>BD80*VLOOKUP('Données projet'!$B$11,Paramètres!$A$1:$I$89,3,0)*VLOOKUP('Données projet'!$B$11,Paramètres!$A$1:$I$89,5,0)</f>
        <v>246.4019999999999</v>
      </c>
      <c r="BF80" s="13">
        <f t="shared" si="91"/>
        <v>59.814834475385474</v>
      </c>
      <c r="BG80" s="20">
        <f t="shared" si="61"/>
        <v>533.32765337796286</v>
      </c>
      <c r="BH80" s="59">
        <f t="shared" si="62"/>
        <v>826.66098671129612</v>
      </c>
      <c r="BI80" s="59">
        <f ca="1">AVERAGE(OFFSET($BH$3,0,0,'Données projet'!$E$11+1,1))-AVERAGE(OFFSET($H$3,0,0,'Données projet'!$E$11+1,1))</f>
        <v>308.80022073574963</v>
      </c>
      <c r="BJ80" s="59">
        <f t="shared" si="92"/>
        <v>183.96267407004115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60.86911324930572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60.86911324930572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15.6</v>
      </c>
      <c r="N81" s="13">
        <f>IF('Données projet'!$A$36&gt;35,N80+M81-V80,IF(A81&lt;'Données projet'!$A$36,$K$205^A81,IF(A81='Données projet'!$A$36,'Données projet'!$B$36,N80+M81-V80)))</f>
        <v>808.80000000000064</v>
      </c>
      <c r="O81" s="13">
        <f>N81*VLOOKUP('Données projet'!$B$9,Paramètres!$A$1:$I$89,3,0)*VLOOKUP('Données projet'!$B$9,Paramètres!$A$1:$I$89,5,0)</f>
        <v>378.51840000000033</v>
      </c>
      <c r="P81" s="13">
        <f t="shared" si="87"/>
        <v>87.407708380835928</v>
      </c>
      <c r="Q81" s="20">
        <f t="shared" si="54"/>
        <v>811.48797209662314</v>
      </c>
      <c r="R81" s="59">
        <f t="shared" si="55"/>
        <v>1104.8213054299565</v>
      </c>
      <c r="S81" s="59">
        <f ca="1">AVERAGE(OFFSET($R$3,0,0,'Données projet'!$E$9+1,1))-AVERAGE(OFFSET($H$3,0,0,'Données projet'!$E$9+1,1))</f>
        <v>379.12827535040157</v>
      </c>
      <c r="T81" s="59">
        <f t="shared" si="88"/>
        <v>317.29813413796956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117.78103650880884</v>
      </c>
      <c r="AA81" s="21">
        <f>EXP(-LN(2)/25)*AA80+(1-EXP(-LN(2)/25))/(LN(2)/25)*Calculateur!V81*Calculateur!X81*VLOOKUP('Données projet'!$B$9,Paramètres!$A$1:$I$89,3,0)*0.475*44/12</f>
        <v>11.768292153211688</v>
      </c>
      <c r="AB81" s="21">
        <f>EXP(-LN(2)/2)*AB80+(1-EXP(-LN(2)/2))/(LN(2)/2)*V81*Y81*VLOOKUP('Données projet'!$B$9,Paramètres!$A$1:$I$89,3,0)*0.475*44/12</f>
        <v>2.5661667056944293E-8</v>
      </c>
      <c r="AC81" s="22">
        <f t="shared" si="57"/>
        <v>129.54932868768219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636.99999999999977</v>
      </c>
      <c r="AJ81" s="13">
        <f>AI81*VLOOKUP('Données projet'!$B$10,Paramètres!$A$1:$I$89,3,0)*VLOOKUP('Données projet'!$B$10,Paramètres!$A$1:$I$89,5,0)</f>
        <v>356.08299999999991</v>
      </c>
      <c r="AK81" s="13">
        <f t="shared" si="89"/>
        <v>82.813805255716545</v>
      </c>
      <c r="AL81" s="20">
        <f t="shared" si="58"/>
        <v>764.41193582037283</v>
      </c>
      <c r="AM81" s="59">
        <f t="shared" si="59"/>
        <v>1057.7452691537062</v>
      </c>
      <c r="AN81" s="59">
        <f ca="1">AVERAGE(OFFSET($AM$3,0,0,'Données projet'!$E$10+1,1))-AVERAGE(OFFSET($H$3,0,0,'Données projet'!$E$10+1,1))</f>
        <v>382.55387448074327</v>
      </c>
      <c r="AO81" s="59">
        <f t="shared" si="90"/>
        <v>476.29465646955543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68.425066880897973</v>
      </c>
      <c r="AV81" s="21">
        <f>EXP(-LN(2)/25)*AV80+(1-EXP(-LN(2)/25))/(LN(2)/25)*Calculateur!AQ81*Calculateur!AS81*VLOOKUP('Données projet'!$B$10,Paramètres!$A$1:$I$89,3,0)*0.475*44/12</f>
        <v>5.7970315476424137</v>
      </c>
      <c r="AW81" s="21">
        <f>EXP(-LN(2)/2)*AW80+(1-EXP(-LN(2)/2))/(LN(2)/2)*AQ81*AT81*VLOOKUP('Données projet'!$B$10,Paramètres!$A$1:$I$89,3,0)*0.475*44/12</f>
        <v>3.6011915449764009E-7</v>
      </c>
      <c r="AX81" s="21">
        <f t="shared" si="60"/>
        <v>74.222098788659551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248.99999999999989</v>
      </c>
      <c r="BE81" s="13">
        <f>BD81*VLOOKUP('Données projet'!$B$11,Paramètres!$A$1:$I$89,3,0)*VLOOKUP('Données projet'!$B$11,Paramètres!$A$1:$I$89,5,0)</f>
        <v>252.4859999999999</v>
      </c>
      <c r="BF81" s="13">
        <f t="shared" si="91"/>
        <v>61.117973383957384</v>
      </c>
      <c r="BG81" s="20">
        <f t="shared" si="61"/>
        <v>546.193586977059</v>
      </c>
      <c r="BH81" s="59">
        <f t="shared" si="62"/>
        <v>839.52692031039237</v>
      </c>
      <c r="BI81" s="59">
        <f ca="1">AVERAGE(OFFSET($BH$3,0,0,'Données projet'!$E$11+1,1))-AVERAGE(OFFSET($H$3,0,0,'Données projet'!$E$11+1,1))</f>
        <v>308.80022073574963</v>
      </c>
      <c r="BJ81" s="59">
        <f t="shared" si="92"/>
        <v>183.96267407004115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59.675507064979982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59.675507064979982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15.6</v>
      </c>
      <c r="N82" s="13">
        <f>IF('Données projet'!$A$36&gt;35,N81+M82-V81,IF(A82&lt;'Données projet'!$A$36,$K$205^A82,IF(A82='Données projet'!$A$36,'Données projet'!$B$36,N81+M82-V81)))</f>
        <v>824.40000000000066</v>
      </c>
      <c r="O82" s="13">
        <f>N82*VLOOKUP('Données projet'!$B$9,Paramètres!$A$1:$I$89,3,0)*VLOOKUP('Données projet'!$B$9,Paramètres!$A$1:$I$89,5,0)</f>
        <v>385.81920000000031</v>
      </c>
      <c r="P82" s="13">
        <f t="shared" si="87"/>
        <v>88.895714006306306</v>
      </c>
      <c r="Q82" s="20">
        <f t="shared" si="54"/>
        <v>826.79514189431723</v>
      </c>
      <c r="R82" s="59">
        <f t="shared" si="55"/>
        <v>1120.1284752276506</v>
      </c>
      <c r="S82" s="59">
        <f ca="1">AVERAGE(OFFSET($R$3,0,0,'Données projet'!$E$9+1,1))-AVERAGE(OFFSET($H$3,0,0,'Données projet'!$E$9+1,1))</f>
        <v>379.12827535040157</v>
      </c>
      <c r="T82" s="59">
        <f t="shared" si="88"/>
        <v>317.29813413796956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115.47142222220982</v>
      </c>
      <c r="AA82" s="21">
        <f>EXP(-LN(2)/25)*AA81+(1-EXP(-LN(2)/25))/(LN(2)/25)*Calculateur!V82*Calculateur!X82*VLOOKUP('Données projet'!$B$9,Paramètres!$A$1:$I$89,3,0)*0.475*44/12</f>
        <v>11.446487585414527</v>
      </c>
      <c r="AB82" s="21">
        <f>EXP(-LN(2)/2)*AB81+(1-EXP(-LN(2)/2))/(LN(2)/2)*V82*Y82*VLOOKUP('Données projet'!$B$9,Paramètres!$A$1:$I$89,3,0)*0.475*44/12</f>
        <v>1.8145538792516743E-8</v>
      </c>
      <c r="AC82" s="22">
        <f t="shared" si="57"/>
        <v>126.9179098257699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636.99999999999977</v>
      </c>
      <c r="AJ82" s="13">
        <f>AI82*VLOOKUP('Données projet'!$B$10,Paramètres!$A$1:$I$89,3,0)*VLOOKUP('Données projet'!$B$10,Paramètres!$A$1:$I$89,5,0)</f>
        <v>356.08299999999991</v>
      </c>
      <c r="AK82" s="13">
        <f t="shared" si="89"/>
        <v>82.813805255716545</v>
      </c>
      <c r="AL82" s="20">
        <f t="shared" si="58"/>
        <v>764.41193582037283</v>
      </c>
      <c r="AM82" s="59">
        <f t="shared" si="59"/>
        <v>1057.7452691537062</v>
      </c>
      <c r="AN82" s="59">
        <f ca="1">AVERAGE(OFFSET($AM$3,0,0,'Données projet'!$E$10+1,1))-AVERAGE(OFFSET($H$3,0,0,'Données projet'!$E$10+1,1))</f>
        <v>382.55387448074327</v>
      </c>
      <c r="AO82" s="59">
        <f t="shared" si="90"/>
        <v>476.29465646955543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67.083293054533357</v>
      </c>
      <c r="AV82" s="21">
        <f>EXP(-LN(2)/25)*AV81+(1-EXP(-LN(2)/25))/(LN(2)/25)*Calculateur!AQ82*Calculateur!AS82*VLOOKUP('Données projet'!$B$10,Paramètres!$A$1:$I$89,3,0)*0.475*44/12</f>
        <v>5.6385114151194919</v>
      </c>
      <c r="AW82" s="21">
        <f>EXP(-LN(2)/2)*AW81+(1-EXP(-LN(2)/2))/(LN(2)/2)*AQ82*AT82*VLOOKUP('Données projet'!$B$10,Paramètres!$A$1:$I$89,3,0)*0.475*44/12</f>
        <v>2.5464269618044729E-7</v>
      </c>
      <c r="AX82" s="21">
        <f t="shared" si="60"/>
        <v>72.721804724295552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254.99999999999989</v>
      </c>
      <c r="BE82" s="13">
        <f>BD82*VLOOKUP('Données projet'!$B$11,Paramètres!$A$1:$I$89,3,0)*VLOOKUP('Données projet'!$B$11,Paramètres!$A$1:$I$89,5,0)</f>
        <v>258.56999999999994</v>
      </c>
      <c r="BF82" s="13">
        <f t="shared" si="91"/>
        <v>62.417461971173843</v>
      </c>
      <c r="BG82" s="20">
        <f t="shared" si="61"/>
        <v>559.05316293312762</v>
      </c>
      <c r="BH82" s="59">
        <f t="shared" si="62"/>
        <v>852.38649626646088</v>
      </c>
      <c r="BI82" s="59">
        <f ca="1">AVERAGE(OFFSET($BH$3,0,0,'Données projet'!$E$11+1,1))-AVERAGE(OFFSET($H$3,0,0,'Données projet'!$E$11+1,1))</f>
        <v>308.80022073574963</v>
      </c>
      <c r="BJ82" s="59">
        <f t="shared" si="92"/>
        <v>183.96267407004115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58.505306769900983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58.505306769900983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840</v>
      </c>
      <c r="L83" s="12">
        <f>VLOOKUP(A83,'Données projet'!$A$35:$I$55,9,0)</f>
        <v>15.6</v>
      </c>
      <c r="M83" s="12">
        <f t="array" ref="M83">INDEX(L:L,MIN(IF(ISNUMBER(L83:L279),ROW(L83:L279),"")))</f>
        <v>15.6</v>
      </c>
      <c r="N83" s="13">
        <f>IF('Données projet'!$A$36&gt;35,N82+M83-V82,IF(A83&lt;'Données projet'!$A$36,$K$205^A83,IF(A83='Données projet'!$A$36,'Données projet'!$B$36,N82+M83-V82)))</f>
        <v>840.00000000000068</v>
      </c>
      <c r="O83" s="13">
        <f>N83*VLOOKUP('Données projet'!$B$9,Paramètres!$A$1:$I$89,3,0)*VLOOKUP('Données projet'!$B$9,Paramètres!$A$1:$I$89,5,0)</f>
        <v>393.12000000000035</v>
      </c>
      <c r="P83" s="13">
        <f t="shared" si="87"/>
        <v>90.380445521045004</v>
      </c>
      <c r="Q83" s="20">
        <f t="shared" si="54"/>
        <v>842.09660928248729</v>
      </c>
      <c r="R83" s="59">
        <f t="shared" si="55"/>
        <v>1135.4299426158207</v>
      </c>
      <c r="S83" s="59">
        <f ca="1">AVERAGE(OFFSET($R$3,0,0,'Données projet'!$E$9+1,1))-AVERAGE(OFFSET($H$3,0,0,'Données projet'!$E$9+1,1))</f>
        <v>379.12827535040157</v>
      </c>
      <c r="T83" s="59">
        <f t="shared" si="88"/>
        <v>317.29813413796956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45</v>
      </c>
      <c r="W83" s="16">
        <f>IF(ISNA(VLOOKUP(A83,'Données projet'!$A$35:$I$55,5,0)),0%,VLOOKUP(A83,'Données projet'!$A$35:$I$55,5,0)*VLOOKUP('Données projet'!$B$9,Paramètres!$A$1:$I$89,7,0))</f>
        <v>0.55000000000000004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128.57269415040159</v>
      </c>
      <c r="AA83" s="21">
        <f>EXP(-LN(2)/25)*AA82+(1-EXP(-LN(2)/25))/(LN(2)/25)*Calculateur!V83*Calculateur!X83*VLOOKUP('Données projet'!$B$9,Paramètres!$A$1:$I$89,3,0)*0.475*44/12</f>
        <v>11.133482780446746</v>
      </c>
      <c r="AB83" s="21">
        <f>EXP(-LN(2)/2)*AB82+(1-EXP(-LN(2)/2))/(LN(2)/2)*V83*Y83*VLOOKUP('Données projet'!$B$9,Paramètres!$A$1:$I$89,3,0)*0.475*44/12</f>
        <v>1.2830833528472146E-8</v>
      </c>
      <c r="AC83" s="22">
        <f t="shared" si="57"/>
        <v>139.70617694367917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636.99999999999977</v>
      </c>
      <c r="AJ83" s="13">
        <f>AI83*VLOOKUP('Données projet'!$B$10,Paramètres!$A$1:$I$89,3,0)*VLOOKUP('Données projet'!$B$10,Paramètres!$A$1:$I$89,5,0)</f>
        <v>356.08299999999991</v>
      </c>
      <c r="AK83" s="13">
        <f t="shared" si="89"/>
        <v>82.813805255716545</v>
      </c>
      <c r="AL83" s="20">
        <f t="shared" si="58"/>
        <v>764.41193582037283</v>
      </c>
      <c r="AM83" s="59">
        <f t="shared" si="59"/>
        <v>1057.7452691537062</v>
      </c>
      <c r="AN83" s="59">
        <f ca="1">AVERAGE(OFFSET($AM$3,0,0,'Données projet'!$E$10+1,1))-AVERAGE(OFFSET($H$3,0,0,'Données projet'!$E$10+1,1))</f>
        <v>382.55387448074327</v>
      </c>
      <c r="AO83" s="59">
        <f t="shared" si="90"/>
        <v>476.29465646955543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65.767830594502527</v>
      </c>
      <c r="AV83" s="21">
        <f>EXP(-LN(2)/25)*AV82+(1-EXP(-LN(2)/25))/(LN(2)/25)*Calculateur!AQ83*Calculateur!AS83*VLOOKUP('Données projet'!$B$10,Paramètres!$A$1:$I$89,3,0)*0.475*44/12</f>
        <v>5.4843260239566209</v>
      </c>
      <c r="AW83" s="21">
        <f>EXP(-LN(2)/2)*AW82+(1-EXP(-LN(2)/2))/(LN(2)/2)*AQ83*AT83*VLOOKUP('Données projet'!$B$10,Paramètres!$A$1:$I$89,3,0)*0.475*44/12</f>
        <v>1.8005957724882004E-7</v>
      </c>
      <c r="AX83" s="21">
        <f t="shared" si="60"/>
        <v>71.252156798518726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261</v>
      </c>
      <c r="BB83" s="12">
        <f>VLOOKUP(A83,'Données projet'!$A$87:$I$107,9,0)</f>
        <v>6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260.99999999999989</v>
      </c>
      <c r="BE83" s="13">
        <f>BD83*VLOOKUP('Données projet'!$B$11,Paramètres!$A$1:$I$89,3,0)*VLOOKUP('Données projet'!$B$11,Paramètres!$A$1:$I$89,5,0)</f>
        <v>264.65399999999988</v>
      </c>
      <c r="BF83" s="13">
        <f t="shared" si="91"/>
        <v>63.71339601121106</v>
      </c>
      <c r="BG83" s="20">
        <f t="shared" si="61"/>
        <v>571.90654805285897</v>
      </c>
      <c r="BH83" s="59">
        <f t="shared" si="62"/>
        <v>865.23988138619234</v>
      </c>
      <c r="BI83" s="59">
        <f ca="1">AVERAGE(OFFSET($BH$3,0,0,'Données projet'!$E$11+1,1))-AVERAGE(OFFSET($H$3,0,0,'Données projet'!$E$11+1,1))</f>
        <v>308.80022073574963</v>
      </c>
      <c r="BJ83" s="59">
        <f t="shared" si="92"/>
        <v>183.96267407004115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21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67.480204481419875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67.480204481419875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795.00000000000068</v>
      </c>
      <c r="O84" s="13">
        <f>N84*VLOOKUP('Données projet'!$B$9,Paramètres!$A$1:$I$89,3,0)*VLOOKUP('Données projet'!$B$9,Paramètres!$A$1:$I$89,5,0)</f>
        <v>372.06000000000029</v>
      </c>
      <c r="P84" s="13">
        <f t="shared" si="87"/>
        <v>86.088609967897526</v>
      </c>
      <c r="Q84" s="20">
        <f t="shared" si="54"/>
        <v>797.94216236075533</v>
      </c>
      <c r="R84" s="59">
        <f t="shared" si="55"/>
        <v>1091.2754956940887</v>
      </c>
      <c r="S84" s="59">
        <f ca="1">AVERAGE(OFFSET($R$3,0,0,'Données projet'!$E$9+1,1))-AVERAGE(OFFSET($H$3,0,0,'Données projet'!$E$9+1,1))</f>
        <v>379.12827535040157</v>
      </c>
      <c r="T84" s="59">
        <f t="shared" si="88"/>
        <v>317.29813413796956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126.05146203971215</v>
      </c>
      <c r="AA84" s="21">
        <f>EXP(-LN(2)/25)*AA83+(1-EXP(-LN(2)/25))/(LN(2)/25)*Calculateur!V84*Calculateur!X84*VLOOKUP('Données projet'!$B$9,Paramètres!$A$1:$I$89,3,0)*0.475*44/12</f>
        <v>10.829037108331017</v>
      </c>
      <c r="AB84" s="21">
        <f>EXP(-LN(2)/2)*AB83+(1-EXP(-LN(2)/2))/(LN(2)/2)*V84*Y84*VLOOKUP('Données projet'!$B$9,Paramètres!$A$1:$I$89,3,0)*0.475*44/12</f>
        <v>9.0727693962583714E-9</v>
      </c>
      <c r="AC84" s="22">
        <f t="shared" si="57"/>
        <v>136.88049915711593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636.99999999999977</v>
      </c>
      <c r="AJ84" s="13">
        <f>AI84*VLOOKUP('Données projet'!$B$10,Paramètres!$A$1:$I$89,3,0)*VLOOKUP('Données projet'!$B$10,Paramètres!$A$1:$I$89,5,0)</f>
        <v>356.08299999999991</v>
      </c>
      <c r="AK84" s="13">
        <f t="shared" si="89"/>
        <v>82.813805255716545</v>
      </c>
      <c r="AL84" s="20">
        <f t="shared" si="58"/>
        <v>764.41193582037283</v>
      </c>
      <c r="AM84" s="59">
        <f t="shared" si="59"/>
        <v>1057.7452691537062</v>
      </c>
      <c r="AN84" s="59">
        <f ca="1">AVERAGE(OFFSET($AM$3,0,0,'Données projet'!$E$10+1,1))-AVERAGE(OFFSET($H$3,0,0,'Données projet'!$E$10+1,1))</f>
        <v>382.55387448074327</v>
      </c>
      <c r="AO84" s="59">
        <f t="shared" si="90"/>
        <v>476.29465646955543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64.478163550960019</v>
      </c>
      <c r="AV84" s="21">
        <f>EXP(-LN(2)/25)*AV83+(1-EXP(-LN(2)/25))/(LN(2)/25)*Calculateur!AQ84*Calculateur!AS84*VLOOKUP('Données projet'!$B$10,Paramètres!$A$1:$I$89,3,0)*0.475*44/12</f>
        <v>5.3343568404233563</v>
      </c>
      <c r="AW84" s="21">
        <f>EXP(-LN(2)/2)*AW83+(1-EXP(-LN(2)/2))/(LN(2)/2)*AQ84*AT84*VLOOKUP('Données projet'!$B$10,Paramètres!$A$1:$I$89,3,0)*0.475*44/12</f>
        <v>1.2732134809022364E-7</v>
      </c>
      <c r="AX84" s="21">
        <f t="shared" si="60"/>
        <v>69.812520518704716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5.8</v>
      </c>
      <c r="BD84" s="12">
        <f>IF('Données projet'!$A$88&gt;35,BD83+BC84-BL83,IF(A84&lt;'Données projet'!$A$88,$BA$205^A84,IF(A84='Données projet'!$A$88,'Données projet'!$B$88,BD83+BC84-BL83)))</f>
        <v>245.7999999999999</v>
      </c>
      <c r="BE84" s="13">
        <f>BD84*VLOOKUP('Données projet'!$B$11,Paramètres!$A$1:$I$89,3,0)*VLOOKUP('Données projet'!$B$11,Paramètres!$A$1:$I$89,5,0)</f>
        <v>249.24119999999988</v>
      </c>
      <c r="BF84" s="13">
        <f t="shared" si="91"/>
        <v>60.42342651744687</v>
      </c>
      <c r="BG84" s="20">
        <f t="shared" si="61"/>
        <v>539.3325578512198</v>
      </c>
      <c r="BH84" s="59">
        <f t="shared" si="62"/>
        <v>832.66589118455317</v>
      </c>
      <c r="BI84" s="59">
        <f ca="1">AVERAGE(OFFSET($BH$3,0,0,'Données projet'!$E$11+1,1))-AVERAGE(OFFSET($H$3,0,0,'Données projet'!$E$11+1,1))</f>
        <v>308.80022073574963</v>
      </c>
      <c r="BJ84" s="59">
        <f t="shared" si="92"/>
        <v>183.96267407004115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66.156958830399859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66.156958830399859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795.00000000000068</v>
      </c>
      <c r="O85" s="13">
        <f>N85*VLOOKUP('Données projet'!$B$9,Paramètres!$A$1:$I$89,3,0)*VLOOKUP('Données projet'!$B$9,Paramètres!$A$1:$I$89,5,0)</f>
        <v>372.06000000000029</v>
      </c>
      <c r="P85" s="13">
        <f t="shared" si="87"/>
        <v>86.088609967897526</v>
      </c>
      <c r="Q85" s="20">
        <f t="shared" si="54"/>
        <v>797.94216236075533</v>
      </c>
      <c r="R85" s="59">
        <f t="shared" si="55"/>
        <v>1091.2754956940887</v>
      </c>
      <c r="S85" s="59">
        <f ca="1">AVERAGE(OFFSET($R$3,0,0,'Données projet'!$E$9+1,1))-AVERAGE(OFFSET($H$3,0,0,'Données projet'!$E$9+1,1))</f>
        <v>379.12827535040157</v>
      </c>
      <c r="T85" s="59">
        <f t="shared" si="88"/>
        <v>317.29813413796956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123.57966975291359</v>
      </c>
      <c r="AA85" s="21">
        <f>EXP(-LN(2)/25)*AA84+(1-EXP(-LN(2)/25))/(LN(2)/25)*Calculateur!V85*Calculateur!X85*VLOOKUP('Données projet'!$B$9,Paramètres!$A$1:$I$89,3,0)*0.475*44/12</f>
        <v>10.532916519129394</v>
      </c>
      <c r="AB85" s="21">
        <f>EXP(-LN(2)/2)*AB84+(1-EXP(-LN(2)/2))/(LN(2)/2)*V85*Y85*VLOOKUP('Données projet'!$B$9,Paramètres!$A$1:$I$89,3,0)*0.475*44/12</f>
        <v>6.4154167642360732E-9</v>
      </c>
      <c r="AC85" s="22">
        <f t="shared" si="57"/>
        <v>134.11258627845839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636.99999999999977</v>
      </c>
      <c r="AJ85" s="13">
        <f>AI85*VLOOKUP('Données projet'!$B$10,Paramètres!$A$1:$I$89,3,0)*VLOOKUP('Données projet'!$B$10,Paramètres!$A$1:$I$89,5,0)</f>
        <v>356.08299999999991</v>
      </c>
      <c r="AK85" s="13">
        <f t="shared" si="89"/>
        <v>82.813805255716545</v>
      </c>
      <c r="AL85" s="20">
        <f t="shared" si="58"/>
        <v>764.41193582037283</v>
      </c>
      <c r="AM85" s="59">
        <f t="shared" si="59"/>
        <v>1057.7452691537062</v>
      </c>
      <c r="AN85" s="59">
        <f ca="1">AVERAGE(OFFSET($AM$3,0,0,'Données projet'!$E$10+1,1))-AVERAGE(OFFSET($H$3,0,0,'Données projet'!$E$10+1,1))</f>
        <v>382.55387448074327</v>
      </c>
      <c r="AO85" s="59">
        <f t="shared" si="90"/>
        <v>476.29465646955543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63.213786091522159</v>
      </c>
      <c r="AV85" s="21">
        <f>EXP(-LN(2)/25)*AV84+(1-EXP(-LN(2)/25))/(LN(2)/25)*Calculateur!AQ85*Calculateur!AS85*VLOOKUP('Données projet'!$B$10,Paramètres!$A$1:$I$89,3,0)*0.475*44/12</f>
        <v>5.1884885721003453</v>
      </c>
      <c r="AW85" s="21">
        <f>EXP(-LN(2)/2)*AW84+(1-EXP(-LN(2)/2))/(LN(2)/2)*AQ85*AT85*VLOOKUP('Données projet'!$B$10,Paramètres!$A$1:$I$89,3,0)*0.475*44/12</f>
        <v>9.0029788624410022E-8</v>
      </c>
      <c r="AX85" s="21">
        <f t="shared" si="60"/>
        <v>68.402274753652293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5.8</v>
      </c>
      <c r="BD85" s="12">
        <f>IF('Données projet'!$A$88&gt;35,BD84+BC85-BL84,IF(A85&lt;'Données projet'!$A$88,$BA$205^A85,IF(A85='Données projet'!$A$88,'Données projet'!$B$88,BD84+BC85-BL84)))</f>
        <v>251.59999999999991</v>
      </c>
      <c r="BE85" s="13">
        <f>BD85*VLOOKUP('Données projet'!$B$11,Paramètres!$A$1:$I$89,3,0)*VLOOKUP('Données projet'!$B$11,Paramètres!$A$1:$I$89,5,0)</f>
        <v>255.12239999999991</v>
      </c>
      <c r="BF85" s="13">
        <f t="shared" si="91"/>
        <v>61.681527554261443</v>
      </c>
      <c r="BG85" s="20">
        <f t="shared" si="61"/>
        <v>551.7668404903385</v>
      </c>
      <c r="BH85" s="59">
        <f t="shared" si="62"/>
        <v>845.10017382367187</v>
      </c>
      <c r="BI85" s="59">
        <f ca="1">AVERAGE(OFFSET($BH$3,0,0,'Données projet'!$E$11+1,1))-AVERAGE(OFFSET($H$3,0,0,'Données projet'!$E$11+1,1))</f>
        <v>308.80022073574963</v>
      </c>
      <c r="BJ85" s="59">
        <f t="shared" si="92"/>
        <v>183.96267407004115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64.859661219496203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64.859661219496203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795.00000000000068</v>
      </c>
      <c r="O86" s="13">
        <f>N86*VLOOKUP('Données projet'!$B$9,Paramètres!$A$1:$I$89,3,0)*VLOOKUP('Données projet'!$B$9,Paramètres!$A$1:$I$89,5,0)</f>
        <v>372.06000000000029</v>
      </c>
      <c r="P86" s="13">
        <f t="shared" si="87"/>
        <v>86.088609967897526</v>
      </c>
      <c r="Q86" s="20">
        <f t="shared" si="54"/>
        <v>797.94216236075533</v>
      </c>
      <c r="R86" s="59">
        <f t="shared" si="55"/>
        <v>1091.2754956940887</v>
      </c>
      <c r="S86" s="59">
        <f ca="1">AVERAGE(OFFSET($R$3,0,0,'Données projet'!$E$9+1,1))-AVERAGE(OFFSET($H$3,0,0,'Données projet'!$E$9+1,1))</f>
        <v>379.12827535040157</v>
      </c>
      <c r="T86" s="59">
        <f t="shared" si="88"/>
        <v>317.29813413796956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121.15634780521472</v>
      </c>
      <c r="AA86" s="21">
        <f>EXP(-LN(2)/25)*AA85+(1-EXP(-LN(2)/25))/(LN(2)/25)*Calculateur!V86*Calculateur!X86*VLOOKUP('Données projet'!$B$9,Paramètres!$A$1:$I$89,3,0)*0.475*44/12</f>
        <v>10.244893363011794</v>
      </c>
      <c r="AB86" s="21">
        <f>EXP(-LN(2)/2)*AB85+(1-EXP(-LN(2)/2))/(LN(2)/2)*V86*Y86*VLOOKUP('Données projet'!$B$9,Paramètres!$A$1:$I$89,3,0)*0.475*44/12</f>
        <v>4.5363846981291857E-9</v>
      </c>
      <c r="AC86" s="22">
        <f t="shared" si="57"/>
        <v>131.40124117276289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636.99999999999977</v>
      </c>
      <c r="AJ86" s="13">
        <f>AI86*VLOOKUP('Données projet'!$B$10,Paramètres!$A$1:$I$89,3,0)*VLOOKUP('Données projet'!$B$10,Paramètres!$A$1:$I$89,5,0)</f>
        <v>356.08299999999991</v>
      </c>
      <c r="AK86" s="13">
        <f t="shared" si="89"/>
        <v>82.813805255716545</v>
      </c>
      <c r="AL86" s="20">
        <f t="shared" si="58"/>
        <v>764.41193582037283</v>
      </c>
      <c r="AM86" s="59">
        <f t="shared" si="59"/>
        <v>1057.7452691537062</v>
      </c>
      <c r="AN86" s="59">
        <f ca="1">AVERAGE(OFFSET($AM$3,0,0,'Données projet'!$E$10+1,1))-AVERAGE(OFFSET($H$3,0,0,'Données projet'!$E$10+1,1))</f>
        <v>382.55387448074327</v>
      </c>
      <c r="AO86" s="59">
        <f t="shared" si="90"/>
        <v>476.29465646955543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61.974202302869777</v>
      </c>
      <c r="AV86" s="21">
        <f>EXP(-LN(2)/25)*AV85+(1-EXP(-LN(2)/25))/(LN(2)/25)*Calculateur!AQ86*Calculateur!AS86*VLOOKUP('Données projet'!$B$10,Paramètres!$A$1:$I$89,3,0)*0.475*44/12</f>
        <v>5.0466090792455054</v>
      </c>
      <c r="AW86" s="21">
        <f>EXP(-LN(2)/2)*AW85+(1-EXP(-LN(2)/2))/(LN(2)/2)*AQ86*AT86*VLOOKUP('Données projet'!$B$10,Paramètres!$A$1:$I$89,3,0)*0.475*44/12</f>
        <v>6.3660674045111822E-8</v>
      </c>
      <c r="AX86" s="21">
        <f t="shared" si="60"/>
        <v>67.020811445775962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5.8</v>
      </c>
      <c r="BD86" s="12">
        <f>IF('Données projet'!$A$88&gt;35,BD85+BC86-BL85,IF(A86&lt;'Données projet'!$A$88,$BA$205^A86,IF(A86='Données projet'!$A$88,'Données projet'!$B$88,BD85+BC86-BL85)))</f>
        <v>257.39999999999992</v>
      </c>
      <c r="BE86" s="13">
        <f>BD86*VLOOKUP('Données projet'!$B$11,Paramètres!$A$1:$I$89,3,0)*VLOOKUP('Données projet'!$B$11,Paramètres!$A$1:$I$89,5,0)</f>
        <v>261.00359999999995</v>
      </c>
      <c r="BF86" s="13">
        <f t="shared" si="91"/>
        <v>62.936256929541173</v>
      </c>
      <c r="BG86" s="20">
        <f t="shared" si="61"/>
        <v>564.19525081895074</v>
      </c>
      <c r="BH86" s="59">
        <f t="shared" si="62"/>
        <v>857.52858415228411</v>
      </c>
      <c r="BI86" s="59">
        <f ca="1">AVERAGE(OFFSET($BH$3,0,0,'Données projet'!$E$11+1,1))-AVERAGE(OFFSET($H$3,0,0,'Données projet'!$E$11+1,1))</f>
        <v>308.80022073574963</v>
      </c>
      <c r="BJ86" s="59">
        <f t="shared" si="92"/>
        <v>183.96267407004115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63.587802823468955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63.587802823468955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795.00000000000068</v>
      </c>
      <c r="O87" s="13">
        <f>N87*VLOOKUP('Données projet'!$B$9,Paramètres!$A$1:$I$89,3,0)*VLOOKUP('Données projet'!$B$9,Paramètres!$A$1:$I$89,5,0)</f>
        <v>372.06000000000029</v>
      </c>
      <c r="P87" s="13">
        <f t="shared" si="87"/>
        <v>86.088609967897526</v>
      </c>
      <c r="Q87" s="20">
        <f t="shared" si="54"/>
        <v>797.94216236075533</v>
      </c>
      <c r="R87" s="59">
        <f t="shared" si="55"/>
        <v>1091.2754956940887</v>
      </c>
      <c r="S87" s="59">
        <f ca="1">AVERAGE(OFFSET($R$3,0,0,'Données projet'!$E$9+1,1))-AVERAGE(OFFSET($H$3,0,0,'Données projet'!$E$9+1,1))</f>
        <v>379.12827535040157</v>
      </c>
      <c r="T87" s="59">
        <f t="shared" si="88"/>
        <v>317.29813413796956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118.7805457228298</v>
      </c>
      <c r="AA87" s="21">
        <f>EXP(-LN(2)/25)*AA86+(1-EXP(-LN(2)/25))/(LN(2)/25)*Calculateur!V87*Calculateur!X87*VLOOKUP('Données projet'!$B$9,Paramètres!$A$1:$I$89,3,0)*0.475*44/12</f>
        <v>9.964746215244709</v>
      </c>
      <c r="AB87" s="21">
        <f>EXP(-LN(2)/2)*AB86+(1-EXP(-LN(2)/2))/(LN(2)/2)*V87*Y87*VLOOKUP('Données projet'!$B$9,Paramètres!$A$1:$I$89,3,0)*0.475*44/12</f>
        <v>3.2077083821180366E-9</v>
      </c>
      <c r="AC87" s="22">
        <f t="shared" si="57"/>
        <v>128.7452919412822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636.99999999999977</v>
      </c>
      <c r="AJ87" s="13">
        <f>AI87*VLOOKUP('Données projet'!$B$10,Paramètres!$A$1:$I$89,3,0)*VLOOKUP('Données projet'!$B$10,Paramètres!$A$1:$I$89,5,0)</f>
        <v>356.08299999999991</v>
      </c>
      <c r="AK87" s="13">
        <f t="shared" si="89"/>
        <v>82.813805255716545</v>
      </c>
      <c r="AL87" s="20">
        <f t="shared" si="58"/>
        <v>764.41193582037283</v>
      </c>
      <c r="AM87" s="59">
        <f t="shared" si="59"/>
        <v>1057.7452691537062</v>
      </c>
      <c r="AN87" s="59">
        <f ca="1">AVERAGE(OFFSET($AM$3,0,0,'Données projet'!$E$10+1,1))-AVERAGE(OFFSET($H$3,0,0,'Données projet'!$E$10+1,1))</f>
        <v>382.55387448074327</v>
      </c>
      <c r="AO87" s="59">
        <f t="shared" si="90"/>
        <v>476.29465646955543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60.758925996241416</v>
      </c>
      <c r="AV87" s="21">
        <f>EXP(-LN(2)/25)*AV86+(1-EXP(-LN(2)/25))/(LN(2)/25)*Calculateur!AQ87*Calculateur!AS87*VLOOKUP('Données projet'!$B$10,Paramètres!$A$1:$I$89,3,0)*0.475*44/12</f>
        <v>4.9086092885839001</v>
      </c>
      <c r="AW87" s="21">
        <f>EXP(-LN(2)/2)*AW86+(1-EXP(-LN(2)/2))/(LN(2)/2)*AQ87*AT87*VLOOKUP('Données projet'!$B$10,Paramètres!$A$1:$I$89,3,0)*0.475*44/12</f>
        <v>4.5014894312205011E-8</v>
      </c>
      <c r="AX87" s="21">
        <f t="shared" si="60"/>
        <v>65.66753532984022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5.8</v>
      </c>
      <c r="BD87" s="12">
        <f>IF('Données projet'!$A$88&gt;35,BD86+BC87-BL86,IF(A87&lt;'Données projet'!$A$88,$BA$205^A87,IF(A87='Données projet'!$A$88,'Données projet'!$B$88,BD86+BC87-BL86)))</f>
        <v>263.19999999999993</v>
      </c>
      <c r="BE87" s="13">
        <f>BD87*VLOOKUP('Données projet'!$B$11,Paramètres!$A$1:$I$89,3,0)*VLOOKUP('Données projet'!$B$11,Paramètres!$A$1:$I$89,5,0)</f>
        <v>266.88479999999993</v>
      </c>
      <c r="BF87" s="13">
        <f t="shared" si="91"/>
        <v>64.18769936370569</v>
      </c>
      <c r="BG87" s="20">
        <f t="shared" si="61"/>
        <v>576.61793639178723</v>
      </c>
      <c r="BH87" s="59">
        <f t="shared" si="62"/>
        <v>869.95126972512048</v>
      </c>
      <c r="BI87" s="59">
        <f ca="1">AVERAGE(OFFSET($BH$3,0,0,'Données projet'!$E$11+1,1))-AVERAGE(OFFSET($H$3,0,0,'Données projet'!$E$11+1,1))</f>
        <v>308.80022073574963</v>
      </c>
      <c r="BJ87" s="59">
        <f t="shared" si="92"/>
        <v>183.96267407004115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62.340884794830778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62.340884794830778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795.00000000000068</v>
      </c>
      <c r="O88" s="13">
        <f>N88*VLOOKUP('Données projet'!$B$9,Paramètres!$A$1:$I$89,3,0)*VLOOKUP('Données projet'!$B$9,Paramètres!$A$1:$I$89,5,0)</f>
        <v>372.06000000000029</v>
      </c>
      <c r="P88" s="13">
        <f t="shared" si="87"/>
        <v>86.088609967897526</v>
      </c>
      <c r="Q88" s="20">
        <f t="shared" si="54"/>
        <v>797.94216236075533</v>
      </c>
      <c r="R88" s="59">
        <f t="shared" si="55"/>
        <v>1091.2754956940887</v>
      </c>
      <c r="S88" s="59">
        <f ca="1">AVERAGE(OFFSET($R$3,0,0,'Données projet'!$E$9+1,1))-AVERAGE(OFFSET($H$3,0,0,'Données projet'!$E$9+1,1))</f>
        <v>379.12827535040157</v>
      </c>
      <c r="T88" s="59">
        <f t="shared" si="88"/>
        <v>317.29813413796956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116.45133167018426</v>
      </c>
      <c r="AA88" s="21">
        <f>EXP(-LN(2)/25)*AA87+(1-EXP(-LN(2)/25))/(LN(2)/25)*Calculateur!V88*Calculateur!X88*VLOOKUP('Données projet'!$B$9,Paramètres!$A$1:$I$89,3,0)*0.475*44/12</f>
        <v>9.692259705965613</v>
      </c>
      <c r="AB88" s="21">
        <f>EXP(-LN(2)/2)*AB87+(1-EXP(-LN(2)/2))/(LN(2)/2)*V88*Y88*VLOOKUP('Données projet'!$B$9,Paramètres!$A$1:$I$89,3,0)*0.475*44/12</f>
        <v>2.2681923490645929E-9</v>
      </c>
      <c r="AC88" s="22">
        <f t="shared" si="57"/>
        <v>126.14359137841807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636.99999999999977</v>
      </c>
      <c r="AJ88" s="13">
        <f>AI88*VLOOKUP('Données projet'!$B$10,Paramètres!$A$1:$I$89,3,0)*VLOOKUP('Données projet'!$B$10,Paramètres!$A$1:$I$89,5,0)</f>
        <v>356.08299999999991</v>
      </c>
      <c r="AK88" s="13">
        <f t="shared" si="89"/>
        <v>82.813805255716545</v>
      </c>
      <c r="AL88" s="20">
        <f t="shared" si="58"/>
        <v>764.41193582037283</v>
      </c>
      <c r="AM88" s="59">
        <f t="shared" si="59"/>
        <v>1057.7452691537062</v>
      </c>
      <c r="AN88" s="59">
        <f ca="1">AVERAGE(OFFSET($AM$3,0,0,'Données projet'!$E$10+1,1))-AVERAGE(OFFSET($H$3,0,0,'Données projet'!$E$10+1,1))</f>
        <v>382.55387448074327</v>
      </c>
      <c r="AO88" s="59">
        <f t="shared" si="90"/>
        <v>476.29465646955543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59.56748051674068</v>
      </c>
      <c r="AV88" s="21">
        <f>EXP(-LN(2)/25)*AV87+(1-EXP(-LN(2)/25))/(LN(2)/25)*Calculateur!AQ88*Calculateur!AS88*VLOOKUP('Données projet'!$B$10,Paramètres!$A$1:$I$89,3,0)*0.475*44/12</f>
        <v>4.7743831094550293</v>
      </c>
      <c r="AW88" s="21">
        <f>EXP(-LN(2)/2)*AW87+(1-EXP(-LN(2)/2))/(LN(2)/2)*AQ88*AT88*VLOOKUP('Données projet'!$B$10,Paramètres!$A$1:$I$89,3,0)*0.475*44/12</f>
        <v>3.1830337022555911E-8</v>
      </c>
      <c r="AX88" s="21">
        <f t="shared" si="60"/>
        <v>64.341863658026043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269</v>
      </c>
      <c r="BB88" s="12">
        <f>VLOOKUP(A88,'Données projet'!$A$87:$I$107,9,0)</f>
        <v>5.8</v>
      </c>
      <c r="BC88" s="12">
        <f t="array" ref="BC88">INDEX(BB:BB,MIN(IF(ISNUMBER(BB88:BB284),ROW(BB88:BB284),"")))</f>
        <v>5.8</v>
      </c>
      <c r="BD88" s="12">
        <f>IF('Données projet'!$A$88&gt;35,BD87+BC88-BL87,IF(A88&lt;'Données projet'!$A$88,$BA$205^A88,IF(A88='Données projet'!$A$88,'Données projet'!$B$88,BD87+BC88-BL87)))</f>
        <v>268.99999999999994</v>
      </c>
      <c r="BE88" s="13">
        <f>BD88*VLOOKUP('Données projet'!$B$11,Paramètres!$A$1:$I$89,3,0)*VLOOKUP('Données projet'!$B$11,Paramètres!$A$1:$I$89,5,0)</f>
        <v>272.76599999999996</v>
      </c>
      <c r="BF88" s="13">
        <f t="shared" si="91"/>
        <v>65.43593563008757</v>
      </c>
      <c r="BG88" s="20">
        <f t="shared" si="61"/>
        <v>589.03503788906914</v>
      </c>
      <c r="BH88" s="59">
        <f t="shared" si="62"/>
        <v>882.3683712224024</v>
      </c>
      <c r="BI88" s="59">
        <f ca="1">AVERAGE(OFFSET($BH$3,0,0,'Données projet'!$E$11+1,1))-AVERAGE(OFFSET($H$3,0,0,'Données projet'!$E$11+1,1))</f>
        <v>308.80022073574963</v>
      </c>
      <c r="BJ88" s="59">
        <f t="shared" si="92"/>
        <v>183.96267407004115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21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71.240569160752386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71.240569160752386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795.00000000000068</v>
      </c>
      <c r="O89" s="13">
        <f>N89*VLOOKUP('Données projet'!$B$9,Paramètres!$A$1:$I$89,3,0)*VLOOKUP('Données projet'!$B$9,Paramètres!$A$1:$I$89,5,0)</f>
        <v>372.06000000000029</v>
      </c>
      <c r="P89" s="13">
        <f t="shared" si="87"/>
        <v>86.088609967897526</v>
      </c>
      <c r="Q89" s="20">
        <f t="shared" si="54"/>
        <v>797.94216236075533</v>
      </c>
      <c r="R89" s="59">
        <f t="shared" si="55"/>
        <v>1091.2754956940887</v>
      </c>
      <c r="S89" s="59">
        <f ca="1">AVERAGE(OFFSET($R$3,0,0,'Données projet'!$E$9+1,1))-AVERAGE(OFFSET($H$3,0,0,'Données projet'!$E$9+1,1))</f>
        <v>379.12827535040157</v>
      </c>
      <c r="T89" s="59">
        <f t="shared" si="88"/>
        <v>317.29813413796956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114.1677920844308</v>
      </c>
      <c r="AA89" s="21">
        <f>EXP(-LN(2)/25)*AA88+(1-EXP(-LN(2)/25))/(LN(2)/25)*Calculateur!V89*Calculateur!X89*VLOOKUP('Données projet'!$B$9,Paramètres!$A$1:$I$89,3,0)*0.475*44/12</f>
        <v>9.4272243546121981</v>
      </c>
      <c r="AB89" s="21">
        <f>EXP(-LN(2)/2)*AB88+(1-EXP(-LN(2)/2))/(LN(2)/2)*V89*Y89*VLOOKUP('Données projet'!$B$9,Paramètres!$A$1:$I$89,3,0)*0.475*44/12</f>
        <v>1.6038541910590183E-9</v>
      </c>
      <c r="AC89" s="22">
        <f t="shared" si="57"/>
        <v>123.59501644064684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636.99999999999977</v>
      </c>
      <c r="AJ89" s="13">
        <f>AI89*VLOOKUP('Données projet'!$B$10,Paramètres!$A$1:$I$89,3,0)*VLOOKUP('Données projet'!$B$10,Paramètres!$A$1:$I$89,5,0)</f>
        <v>356.08299999999991</v>
      </c>
      <c r="AK89" s="13">
        <f t="shared" si="89"/>
        <v>82.813805255716545</v>
      </c>
      <c r="AL89" s="20">
        <f t="shared" si="58"/>
        <v>764.41193582037283</v>
      </c>
      <c r="AM89" s="59">
        <f t="shared" si="59"/>
        <v>1057.7452691537062</v>
      </c>
      <c r="AN89" s="59">
        <f ca="1">AVERAGE(OFFSET($AM$3,0,0,'Données projet'!$E$10+1,1))-AVERAGE(OFFSET($H$3,0,0,'Données projet'!$E$10+1,1))</f>
        <v>382.55387448074327</v>
      </c>
      <c r="AO89" s="59">
        <f t="shared" si="90"/>
        <v>476.29465646955543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58.39939855638297</v>
      </c>
      <c r="AV89" s="21">
        <f>EXP(-LN(2)/25)*AV88+(1-EXP(-LN(2)/25))/(LN(2)/25)*Calculateur!AQ89*Calculateur!AS89*VLOOKUP('Données projet'!$B$10,Paramètres!$A$1:$I$89,3,0)*0.475*44/12</f>
        <v>4.6438273522530862</v>
      </c>
      <c r="AW89" s="21">
        <f>EXP(-LN(2)/2)*AW88+(1-EXP(-LN(2)/2))/(LN(2)/2)*AQ89*AT89*VLOOKUP('Données projet'!$B$10,Paramètres!$A$1:$I$89,3,0)*0.475*44/12</f>
        <v>2.2507447156102506E-8</v>
      </c>
      <c r="AX89" s="21">
        <f t="shared" si="60"/>
        <v>63.043225931143503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5.4</v>
      </c>
      <c r="BD89" s="12">
        <f>IF('Données projet'!$A$88&gt;35,BD88+BC89-BL88,IF(A89&lt;'Données projet'!$A$88,$BA$205^A89,IF(A89='Données projet'!$A$88,'Données projet'!$B$88,BD88+BC89-BL88)))</f>
        <v>253.39999999999992</v>
      </c>
      <c r="BE89" s="13">
        <f>BD89*VLOOKUP('Données projet'!$B$11,Paramètres!$A$1:$I$89,3,0)*VLOOKUP('Données projet'!$B$11,Paramètres!$A$1:$I$89,5,0)</f>
        <v>256.94759999999991</v>
      </c>
      <c r="BF89" s="13">
        <f t="shared" si="91"/>
        <v>62.071283104858246</v>
      </c>
      <c r="BG89" s="20">
        <f t="shared" si="61"/>
        <v>555.62455474096134</v>
      </c>
      <c r="BH89" s="59">
        <f t="shared" si="62"/>
        <v>848.95788807429471</v>
      </c>
      <c r="BI89" s="59">
        <f ca="1">AVERAGE(OFFSET($BH$3,0,0,'Données projet'!$E$11+1,1))-AVERAGE(OFFSET($H$3,0,0,'Données projet'!$E$11+1,1))</f>
        <v>308.80022073574963</v>
      </c>
      <c r="BJ89" s="59">
        <f t="shared" si="92"/>
        <v>183.96267407004115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69.843585051966642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69.843585051966642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795.00000000000068</v>
      </c>
      <c r="O90" s="13">
        <f>N90*VLOOKUP('Données projet'!$B$9,Paramètres!$A$1:$I$89,3,0)*VLOOKUP('Données projet'!$B$9,Paramètres!$A$1:$I$89,5,0)</f>
        <v>372.06000000000029</v>
      </c>
      <c r="P90" s="13">
        <f t="shared" si="87"/>
        <v>86.088609967897526</v>
      </c>
      <c r="Q90" s="20">
        <f t="shared" si="54"/>
        <v>797.94216236075533</v>
      </c>
      <c r="R90" s="59">
        <f t="shared" si="55"/>
        <v>1091.2754956940887</v>
      </c>
      <c r="S90" s="59">
        <f ca="1">AVERAGE(OFFSET($R$3,0,0,'Données projet'!$E$9+1,1))-AVERAGE(OFFSET($H$3,0,0,'Données projet'!$E$9+1,1))</f>
        <v>379.12827535040157</v>
      </c>
      <c r="T90" s="59">
        <f t="shared" si="88"/>
        <v>317.29813413796956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111.92903131713236</v>
      </c>
      <c r="AA90" s="21">
        <f>EXP(-LN(2)/25)*AA89+(1-EXP(-LN(2)/25))/(LN(2)/25)*Calculateur!V90*Calculateur!X90*VLOOKUP('Données projet'!$B$9,Paramètres!$A$1:$I$89,3,0)*0.475*44/12</f>
        <v>9.1694364088791449</v>
      </c>
      <c r="AB90" s="21">
        <f>EXP(-LN(2)/2)*AB89+(1-EXP(-LN(2)/2))/(LN(2)/2)*V90*Y90*VLOOKUP('Données projet'!$B$9,Paramètres!$A$1:$I$89,3,0)*0.475*44/12</f>
        <v>1.1340961745322964E-9</v>
      </c>
      <c r="AC90" s="22">
        <f t="shared" si="57"/>
        <v>121.0984677271456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636.99999999999977</v>
      </c>
      <c r="AJ90" s="13">
        <f>AI90*VLOOKUP('Données projet'!$B$10,Paramètres!$A$1:$I$89,3,0)*VLOOKUP('Données projet'!$B$10,Paramètres!$A$1:$I$89,5,0)</f>
        <v>356.08299999999991</v>
      </c>
      <c r="AK90" s="13">
        <f t="shared" si="89"/>
        <v>82.813805255716545</v>
      </c>
      <c r="AL90" s="20">
        <f t="shared" si="58"/>
        <v>764.41193582037283</v>
      </c>
      <c r="AM90" s="59">
        <f t="shared" si="59"/>
        <v>1057.7452691537062</v>
      </c>
      <c r="AN90" s="59">
        <f ca="1">AVERAGE(OFFSET($AM$3,0,0,'Données projet'!$E$10+1,1))-AVERAGE(OFFSET($H$3,0,0,'Données projet'!$E$10+1,1))</f>
        <v>382.55387448074327</v>
      </c>
      <c r="AO90" s="59">
        <f t="shared" si="90"/>
        <v>476.29465646955543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57.254221970808224</v>
      </c>
      <c r="AV90" s="21">
        <f>EXP(-LN(2)/25)*AV89+(1-EXP(-LN(2)/25))/(LN(2)/25)*Calculateur!AQ90*Calculateur!AS90*VLOOKUP('Données projet'!$B$10,Paramètres!$A$1:$I$89,3,0)*0.475*44/12</f>
        <v>4.5168416490974588</v>
      </c>
      <c r="AW90" s="21">
        <f>EXP(-LN(2)/2)*AW89+(1-EXP(-LN(2)/2))/(LN(2)/2)*AQ90*AT90*VLOOKUP('Données projet'!$B$10,Paramètres!$A$1:$I$89,3,0)*0.475*44/12</f>
        <v>1.5915168511277956E-8</v>
      </c>
      <c r="AX90" s="21">
        <f t="shared" si="60"/>
        <v>61.771063635820852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5.4</v>
      </c>
      <c r="BD90" s="12">
        <f>IF('Données projet'!$A$88&gt;35,BD89+BC90-BL89,IF(A90&lt;'Données projet'!$A$88,$BA$205^A90,IF(A90='Données projet'!$A$88,'Données projet'!$B$88,BD89+BC90-BL89)))</f>
        <v>258.7999999999999</v>
      </c>
      <c r="BE90" s="13">
        <f>BD90*VLOOKUP('Données projet'!$B$11,Paramètres!$A$1:$I$89,3,0)*VLOOKUP('Données projet'!$B$11,Paramètres!$A$1:$I$89,5,0)</f>
        <v>262.42319999999989</v>
      </c>
      <c r="BF90" s="13">
        <f t="shared" si="91"/>
        <v>63.238627062047733</v>
      </c>
      <c r="BG90" s="20">
        <f t="shared" si="61"/>
        <v>567.19434879973289</v>
      </c>
      <c r="BH90" s="59">
        <f t="shared" si="62"/>
        <v>860.52768213306626</v>
      </c>
      <c r="BI90" s="59">
        <f ca="1">AVERAGE(OFFSET($BH$3,0,0,'Données projet'!$E$11+1,1))-AVERAGE(OFFSET($H$3,0,0,'Données projet'!$E$11+1,1))</f>
        <v>308.80022073574963</v>
      </c>
      <c r="BJ90" s="59">
        <f t="shared" si="92"/>
        <v>183.96267407004115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68.473994949478026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68.473994949478026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795.00000000000068</v>
      </c>
      <c r="O91" s="13">
        <f>N91*VLOOKUP('Données projet'!$B$9,Paramètres!$A$1:$I$89,3,0)*VLOOKUP('Données projet'!$B$9,Paramètres!$A$1:$I$89,5,0)</f>
        <v>372.06000000000029</v>
      </c>
      <c r="P91" s="13">
        <f t="shared" si="87"/>
        <v>86.088609967897526</v>
      </c>
      <c r="Q91" s="20">
        <f t="shared" si="54"/>
        <v>797.94216236075533</v>
      </c>
      <c r="R91" s="59">
        <f t="shared" si="55"/>
        <v>1091.2754956940887</v>
      </c>
      <c r="S91" s="59">
        <f ca="1">AVERAGE(OFFSET($R$3,0,0,'Données projet'!$E$9+1,1))-AVERAGE(OFFSET($H$3,0,0,'Données projet'!$E$9+1,1))</f>
        <v>379.12827535040157</v>
      </c>
      <c r="T91" s="59">
        <f t="shared" si="88"/>
        <v>317.29813413796956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109.73417128297139</v>
      </c>
      <c r="AA91" s="21">
        <f>EXP(-LN(2)/25)*AA90+(1-EXP(-LN(2)/25))/(LN(2)/25)*Calculateur!V91*Calculateur!X91*VLOOKUP('Données projet'!$B$9,Paramètres!$A$1:$I$89,3,0)*0.475*44/12</f>
        <v>8.9186976880786411</v>
      </c>
      <c r="AB91" s="21">
        <f>EXP(-LN(2)/2)*AB90+(1-EXP(-LN(2)/2))/(LN(2)/2)*V91*Y91*VLOOKUP('Données projet'!$B$9,Paramètres!$A$1:$I$89,3,0)*0.475*44/12</f>
        <v>8.0192709552950915E-10</v>
      </c>
      <c r="AC91" s="22">
        <f t="shared" si="57"/>
        <v>118.65286897185196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636.99999999999977</v>
      </c>
      <c r="AJ91" s="13">
        <f>AI91*VLOOKUP('Données projet'!$B$10,Paramètres!$A$1:$I$89,3,0)*VLOOKUP('Données projet'!$B$10,Paramètres!$A$1:$I$89,5,0)</f>
        <v>356.08299999999991</v>
      </c>
      <c r="AK91" s="13">
        <f t="shared" si="89"/>
        <v>82.813805255716545</v>
      </c>
      <c r="AL91" s="20">
        <f t="shared" si="58"/>
        <v>764.41193582037283</v>
      </c>
      <c r="AM91" s="59">
        <f t="shared" si="59"/>
        <v>1057.7452691537062</v>
      </c>
      <c r="AN91" s="59">
        <f ca="1">AVERAGE(OFFSET($AM$3,0,0,'Données projet'!$E$10+1,1))-AVERAGE(OFFSET($H$3,0,0,'Données projet'!$E$10+1,1))</f>
        <v>382.55387448074327</v>
      </c>
      <c r="AO91" s="59">
        <f t="shared" si="90"/>
        <v>476.29465646955543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56.13150159958785</v>
      </c>
      <c r="AV91" s="21">
        <f>EXP(-LN(2)/25)*AV90+(1-EXP(-LN(2)/25))/(LN(2)/25)*Calculateur!AQ91*Calculateur!AS91*VLOOKUP('Données projet'!$B$10,Paramètres!$A$1:$I$89,3,0)*0.475*44/12</f>
        <v>4.3933283766725095</v>
      </c>
      <c r="AW91" s="21">
        <f>EXP(-LN(2)/2)*AW90+(1-EXP(-LN(2)/2))/(LN(2)/2)*AQ91*AT91*VLOOKUP('Données projet'!$B$10,Paramètres!$A$1:$I$89,3,0)*0.475*44/12</f>
        <v>1.1253723578051253E-8</v>
      </c>
      <c r="AX91" s="21">
        <f t="shared" si="60"/>
        <v>60.524829987514082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5.4</v>
      </c>
      <c r="BD91" s="12">
        <f>IF('Données projet'!$A$88&gt;35,BD90+BC91-BL90,IF(A91&lt;'Données projet'!$A$88,$BA$205^A91,IF(A91='Données projet'!$A$88,'Données projet'!$B$88,BD90+BC91-BL90)))</f>
        <v>264.19999999999987</v>
      </c>
      <c r="BE91" s="13">
        <f>BD91*VLOOKUP('Données projet'!$B$11,Paramètres!$A$1:$I$89,3,0)*VLOOKUP('Données projet'!$B$11,Paramètres!$A$1:$I$89,5,0)</f>
        <v>267.89879999999988</v>
      </c>
      <c r="BF91" s="13">
        <f t="shared" si="91"/>
        <v>64.403139057834508</v>
      </c>
      <c r="BG91" s="20">
        <f t="shared" si="61"/>
        <v>578.75921052572812</v>
      </c>
      <c r="BH91" s="59">
        <f t="shared" si="62"/>
        <v>872.09254385906138</v>
      </c>
      <c r="BI91" s="59">
        <f ca="1">AVERAGE(OFFSET($BH$3,0,0,'Données projet'!$E$11+1,1))-AVERAGE(OFFSET($H$3,0,0,'Données projet'!$E$11+1,1))</f>
        <v>308.80022073574963</v>
      </c>
      <c r="BJ91" s="59">
        <f t="shared" si="92"/>
        <v>183.96267407004115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67.131261673531725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67.131261673531725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795.00000000000068</v>
      </c>
      <c r="O92" s="13">
        <f>N92*VLOOKUP('Données projet'!$B$9,Paramètres!$A$1:$I$89,3,0)*VLOOKUP('Données projet'!$B$9,Paramètres!$A$1:$I$89,5,0)</f>
        <v>372.06000000000029</v>
      </c>
      <c r="P92" s="13">
        <f t="shared" si="87"/>
        <v>86.088609967897526</v>
      </c>
      <c r="Q92" s="20">
        <f t="shared" si="54"/>
        <v>797.94216236075533</v>
      </c>
      <c r="R92" s="59">
        <f t="shared" si="55"/>
        <v>1091.2754956940887</v>
      </c>
      <c r="S92" s="59">
        <f ca="1">AVERAGE(OFFSET($R$3,0,0,'Données projet'!$E$9+1,1))-AVERAGE(OFFSET($H$3,0,0,'Données projet'!$E$9+1,1))</f>
        <v>379.12827535040157</v>
      </c>
      <c r="T92" s="59">
        <f t="shared" si="88"/>
        <v>317.29813413796956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107.58235111534789</v>
      </c>
      <c r="AA92" s="21">
        <f>EXP(-LN(2)/25)*AA91+(1-EXP(-LN(2)/25))/(LN(2)/25)*Calculateur!V92*Calculateur!X92*VLOOKUP('Données projet'!$B$9,Paramètres!$A$1:$I$89,3,0)*0.475*44/12</f>
        <v>8.6748154307842036</v>
      </c>
      <c r="AB92" s="21">
        <f>EXP(-LN(2)/2)*AB91+(1-EXP(-LN(2)/2))/(LN(2)/2)*V92*Y92*VLOOKUP('Données projet'!$B$9,Paramètres!$A$1:$I$89,3,0)*0.475*44/12</f>
        <v>5.6704808726614822E-10</v>
      </c>
      <c r="AC92" s="22">
        <f t="shared" si="57"/>
        <v>116.25716654669914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636.99999999999977</v>
      </c>
      <c r="AJ92" s="13">
        <f>AI92*VLOOKUP('Données projet'!$B$10,Paramètres!$A$1:$I$89,3,0)*VLOOKUP('Données projet'!$B$10,Paramètres!$A$1:$I$89,5,0)</f>
        <v>356.08299999999991</v>
      </c>
      <c r="AK92" s="13">
        <f t="shared" si="89"/>
        <v>82.813805255716545</v>
      </c>
      <c r="AL92" s="20">
        <f t="shared" si="58"/>
        <v>764.41193582037283</v>
      </c>
      <c r="AM92" s="59">
        <f t="shared" si="59"/>
        <v>1057.7452691537062</v>
      </c>
      <c r="AN92" s="59">
        <f ca="1">AVERAGE(OFFSET($AM$3,0,0,'Données projet'!$E$10+1,1))-AVERAGE(OFFSET($H$3,0,0,'Données projet'!$E$10+1,1))</f>
        <v>382.55387448074327</v>
      </c>
      <c r="AO92" s="59">
        <f t="shared" si="90"/>
        <v>476.29465646955543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55.030797090055302</v>
      </c>
      <c r="AV92" s="21">
        <f>EXP(-LN(2)/25)*AV91+(1-EXP(-LN(2)/25))/(LN(2)/25)*Calculateur!AQ92*Calculateur!AS92*VLOOKUP('Données projet'!$B$10,Paramètres!$A$1:$I$89,3,0)*0.475*44/12</f>
        <v>4.2731925811773017</v>
      </c>
      <c r="AW92" s="21">
        <f>EXP(-LN(2)/2)*AW91+(1-EXP(-LN(2)/2))/(LN(2)/2)*AQ92*AT92*VLOOKUP('Données projet'!$B$10,Paramètres!$A$1:$I$89,3,0)*0.475*44/12</f>
        <v>7.9575842556389778E-9</v>
      </c>
      <c r="AX92" s="21">
        <f t="shared" si="60"/>
        <v>59.303989679190181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5.4</v>
      </c>
      <c r="BD92" s="12">
        <f>IF('Données projet'!$A$88&gt;35,BD91+BC92-BL91,IF(A92&lt;'Données projet'!$A$88,$BA$205^A92,IF(A92='Données projet'!$A$88,'Données projet'!$B$88,BD91+BC92-BL91)))</f>
        <v>269.59999999999985</v>
      </c>
      <c r="BE92" s="13">
        <f>BD92*VLOOKUP('Données projet'!$B$11,Paramètres!$A$1:$I$89,3,0)*VLOOKUP('Données projet'!$B$11,Paramètres!$A$1:$I$89,5,0)</f>
        <v>273.37439999999987</v>
      </c>
      <c r="BF92" s="13">
        <f t="shared" si="91"/>
        <v>65.564883644654373</v>
      </c>
      <c r="BG92" s="20">
        <f t="shared" si="61"/>
        <v>590.3192523477727</v>
      </c>
      <c r="BH92" s="59">
        <f t="shared" si="62"/>
        <v>883.65258568110607</v>
      </c>
      <c r="BI92" s="59">
        <f ca="1">AVERAGE(OFFSET($BH$3,0,0,'Données projet'!$E$11+1,1))-AVERAGE(OFFSET($H$3,0,0,'Données projet'!$E$11+1,1))</f>
        <v>308.80022073574963</v>
      </c>
      <c r="BJ92" s="59">
        <f t="shared" si="92"/>
        <v>183.96267407004115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65.814858578140303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65.814858578140303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795.00000000000068</v>
      </c>
      <c r="O93" s="13">
        <f>N93*VLOOKUP('Données projet'!$B$9,Paramètres!$A$1:$I$89,3,0)*VLOOKUP('Données projet'!$B$9,Paramètres!$A$1:$I$89,5,0)</f>
        <v>372.06000000000029</v>
      </c>
      <c r="P93" s="13">
        <f t="shared" si="87"/>
        <v>86.088609967897526</v>
      </c>
      <c r="Q93" s="20">
        <f t="shared" si="54"/>
        <v>797.94216236075533</v>
      </c>
      <c r="R93" s="59">
        <f t="shared" si="55"/>
        <v>1091.2754956940887</v>
      </c>
      <c r="S93" s="59">
        <f ca="1">AVERAGE(OFFSET($R$3,0,0,'Données projet'!$E$9+1,1))-AVERAGE(OFFSET($H$3,0,0,'Données projet'!$E$9+1,1))</f>
        <v>379.12827535040157</v>
      </c>
      <c r="T93" s="59">
        <f t="shared" si="88"/>
        <v>317.29813413796956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105.47272682873079</v>
      </c>
      <c r="AA93" s="21">
        <f>EXP(-LN(2)/25)*AA92+(1-EXP(-LN(2)/25))/(LN(2)/25)*Calculateur!V93*Calculateur!X93*VLOOKUP('Données projet'!$B$9,Paramètres!$A$1:$I$89,3,0)*0.475*44/12</f>
        <v>8.4376021466406925</v>
      </c>
      <c r="AB93" s="21">
        <f>EXP(-LN(2)/2)*AB92+(1-EXP(-LN(2)/2))/(LN(2)/2)*V93*Y93*VLOOKUP('Données projet'!$B$9,Paramètres!$A$1:$I$89,3,0)*0.475*44/12</f>
        <v>4.0096354776475457E-10</v>
      </c>
      <c r="AC93" s="22">
        <f t="shared" si="57"/>
        <v>113.91032897577243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636.99999999999977</v>
      </c>
      <c r="AJ93" s="13">
        <f>AI93*VLOOKUP('Données projet'!$B$10,Paramètres!$A$1:$I$89,3,0)*VLOOKUP('Données projet'!$B$10,Paramètres!$A$1:$I$89,5,0)</f>
        <v>356.08299999999991</v>
      </c>
      <c r="AK93" s="13">
        <f t="shared" si="89"/>
        <v>82.813805255716545</v>
      </c>
      <c r="AL93" s="20">
        <f t="shared" si="58"/>
        <v>764.41193582037283</v>
      </c>
      <c r="AM93" s="59">
        <f t="shared" si="59"/>
        <v>1057.7452691537062</v>
      </c>
      <c r="AN93" s="59">
        <f ca="1">AVERAGE(OFFSET($AM$3,0,0,'Données projet'!$E$10+1,1))-AVERAGE(OFFSET($H$3,0,0,'Données projet'!$E$10+1,1))</f>
        <v>382.55387448074327</v>
      </c>
      <c r="AO93" s="59">
        <f t="shared" si="90"/>
        <v>476.29465646955543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53.951676724591231</v>
      </c>
      <c r="AV93" s="21">
        <f>EXP(-LN(2)/25)*AV92+(1-EXP(-LN(2)/25))/(LN(2)/25)*Calculateur!AQ93*Calculateur!AS93*VLOOKUP('Données projet'!$B$10,Paramètres!$A$1:$I$89,3,0)*0.475*44/12</f>
        <v>4.1563419053275767</v>
      </c>
      <c r="AW93" s="21">
        <f>EXP(-LN(2)/2)*AW92+(1-EXP(-LN(2)/2))/(LN(2)/2)*AQ93*AT93*VLOOKUP('Données projet'!$B$10,Paramètres!$A$1:$I$89,3,0)*0.475*44/12</f>
        <v>5.6268617890256264E-9</v>
      </c>
      <c r="AX93" s="21">
        <f t="shared" si="60"/>
        <v>58.108018635545669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275</v>
      </c>
      <c r="BB93" s="12">
        <f>VLOOKUP(A93,'Données projet'!$A$87:$I$107,9,0)</f>
        <v>5.4</v>
      </c>
      <c r="BC93" s="12">
        <f t="array" ref="BC93">INDEX(BB:BB,MIN(IF(ISNUMBER(BB93:BB289),ROW(BB93:BB289),"")))</f>
        <v>5.4</v>
      </c>
      <c r="BD93" s="12">
        <f>IF('Données projet'!$A$88&gt;35,BD92+BC93-BL92,IF(A93&lt;'Données projet'!$A$88,$BA$205^A93,IF(A93='Données projet'!$A$88,'Données projet'!$B$88,BD92+BC93-BL92)))</f>
        <v>274.99999999999983</v>
      </c>
      <c r="BE93" s="13">
        <f>BD93*VLOOKUP('Données projet'!$B$11,Paramètres!$A$1:$I$89,3,0)*VLOOKUP('Données projet'!$B$11,Paramètres!$A$1:$I$89,5,0)</f>
        <v>278.84999999999985</v>
      </c>
      <c r="BF93" s="13">
        <f t="shared" si="91"/>
        <v>66.723922641152967</v>
      </c>
      <c r="BG93" s="20">
        <f t="shared" si="61"/>
        <v>601.87458193334112</v>
      </c>
      <c r="BH93" s="59">
        <f t="shared" si="62"/>
        <v>895.20791526667449</v>
      </c>
      <c r="BI93" s="59">
        <f ca="1">AVERAGE(OFFSET($BH$3,0,0,'Données projet'!$E$11+1,1))-AVERAGE(OFFSET($H$3,0,0,'Données projet'!$E$11+1,1))</f>
        <v>308.80022073574963</v>
      </c>
      <c r="BJ93" s="59">
        <f t="shared" si="92"/>
        <v>183.96267407004115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21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74.646420437086007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74.646420437086007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795.00000000000068</v>
      </c>
      <c r="O94" s="13">
        <f>N94*VLOOKUP('Données projet'!$B$9,Paramètres!$A$1:$I$89,3,0)*VLOOKUP('Données projet'!$B$9,Paramètres!$A$1:$I$89,5,0)</f>
        <v>372.06000000000029</v>
      </c>
      <c r="P94" s="13">
        <f t="shared" si="87"/>
        <v>86.088609967897526</v>
      </c>
      <c r="Q94" s="20">
        <f t="shared" si="54"/>
        <v>797.94216236075533</v>
      </c>
      <c r="R94" s="59">
        <f t="shared" si="55"/>
        <v>1091.2754956940887</v>
      </c>
      <c r="S94" s="59">
        <f ca="1">AVERAGE(OFFSET($R$3,0,0,'Données projet'!$E$9+1,1))-AVERAGE(OFFSET($H$3,0,0,'Données projet'!$E$9+1,1))</f>
        <v>379.12827535040157</v>
      </c>
      <c r="T94" s="59">
        <f t="shared" si="88"/>
        <v>317.29813413796956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103.40447098763048</v>
      </c>
      <c r="AA94" s="21">
        <f>EXP(-LN(2)/25)*AA93+(1-EXP(-LN(2)/25))/(LN(2)/25)*Calculateur!V94*Calculateur!X94*VLOOKUP('Données projet'!$B$9,Paramètres!$A$1:$I$89,3,0)*0.475*44/12</f>
        <v>8.2068754722265904</v>
      </c>
      <c r="AB94" s="21">
        <f>EXP(-LN(2)/2)*AB93+(1-EXP(-LN(2)/2))/(LN(2)/2)*V94*Y94*VLOOKUP('Données projet'!$B$9,Paramètres!$A$1:$I$89,3,0)*0.475*44/12</f>
        <v>2.8352404363307411E-10</v>
      </c>
      <c r="AC94" s="22">
        <f t="shared" si="57"/>
        <v>111.61134646014058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636.99999999999977</v>
      </c>
      <c r="AJ94" s="13">
        <f>AI94*VLOOKUP('Données projet'!$B$10,Paramètres!$A$1:$I$89,3,0)*VLOOKUP('Données projet'!$B$10,Paramètres!$A$1:$I$89,5,0)</f>
        <v>356.08299999999991</v>
      </c>
      <c r="AK94" s="13">
        <f t="shared" si="89"/>
        <v>82.813805255716545</v>
      </c>
      <c r="AL94" s="20">
        <f t="shared" si="58"/>
        <v>764.41193582037283</v>
      </c>
      <c r="AM94" s="59">
        <f t="shared" si="59"/>
        <v>1057.7452691537062</v>
      </c>
      <c r="AN94" s="59">
        <f ca="1">AVERAGE(OFFSET($AM$3,0,0,'Données projet'!$E$10+1,1))-AVERAGE(OFFSET($H$3,0,0,'Données projet'!$E$10+1,1))</f>
        <v>382.55387448074327</v>
      </c>
      <c r="AO94" s="59">
        <f t="shared" si="90"/>
        <v>476.29465646955543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52.893717251295477</v>
      </c>
      <c r="AV94" s="21">
        <f>EXP(-LN(2)/25)*AV93+(1-EXP(-LN(2)/25))/(LN(2)/25)*Calculateur!AQ94*Calculateur!AS94*VLOOKUP('Données projet'!$B$10,Paramètres!$A$1:$I$89,3,0)*0.475*44/12</f>
        <v>4.0426865173538724</v>
      </c>
      <c r="AW94" s="21">
        <f>EXP(-LN(2)/2)*AW93+(1-EXP(-LN(2)/2))/(LN(2)/2)*AQ94*AT94*VLOOKUP('Données projet'!$B$10,Paramètres!$A$1:$I$89,3,0)*0.475*44/12</f>
        <v>3.9787921278194889E-9</v>
      </c>
      <c r="AX94" s="21">
        <f t="shared" si="60"/>
        <v>56.93640377262814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</v>
      </c>
      <c r="BD94" s="12">
        <f>IF('Données projet'!$A$88&gt;35,BD93+BC94-BL93,IF(A94&lt;'Données projet'!$A$88,$BA$205^A94,IF(A94='Données projet'!$A$88,'Données projet'!$B$88,BD93+BC94-BL93)))</f>
        <v>258.99999999999983</v>
      </c>
      <c r="BE94" s="13">
        <f>BD94*VLOOKUP('Données projet'!$B$11,Paramètres!$A$1:$I$89,3,0)*VLOOKUP('Données projet'!$B$11,Paramètres!$A$1:$I$89,5,0)</f>
        <v>262.62599999999986</v>
      </c>
      <c r="BF94" s="13">
        <f t="shared" si="91"/>
        <v>63.281807230823397</v>
      </c>
      <c r="BG94" s="20">
        <f t="shared" si="61"/>
        <v>567.62276426035044</v>
      </c>
      <c r="BH94" s="59">
        <f t="shared" si="62"/>
        <v>860.95609759368381</v>
      </c>
      <c r="BI94" s="59">
        <f ca="1">AVERAGE(OFFSET($BH$3,0,0,'Données projet'!$E$11+1,1))-AVERAGE(OFFSET($H$3,0,0,'Données projet'!$E$11+1,1))</f>
        <v>308.80022073574963</v>
      </c>
      <c r="BJ94" s="59">
        <f t="shared" si="92"/>
        <v>183.96267407004115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73.182649662135518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73.182649662135518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795.00000000000068</v>
      </c>
      <c r="O95" s="13">
        <f>N95*VLOOKUP('Données projet'!$B$9,Paramètres!$A$1:$I$89,3,0)*VLOOKUP('Données projet'!$B$9,Paramètres!$A$1:$I$89,5,0)</f>
        <v>372.06000000000029</v>
      </c>
      <c r="P95" s="13">
        <f t="shared" si="87"/>
        <v>86.088609967897526</v>
      </c>
      <c r="Q95" s="20">
        <f t="shared" si="54"/>
        <v>797.94216236075533</v>
      </c>
      <c r="R95" s="59">
        <f t="shared" si="55"/>
        <v>1091.2754956940887</v>
      </c>
      <c r="S95" s="59">
        <f ca="1">AVERAGE(OFFSET($R$3,0,0,'Données projet'!$E$9+1,1))-AVERAGE(OFFSET($H$3,0,0,'Données projet'!$E$9+1,1))</f>
        <v>379.12827535040157</v>
      </c>
      <c r="T95" s="59">
        <f t="shared" si="88"/>
        <v>317.29813413796956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101.37677238206265</v>
      </c>
      <c r="AA95" s="21">
        <f>EXP(-LN(2)/25)*AA94+(1-EXP(-LN(2)/25))/(LN(2)/25)*Calculateur!V95*Calculateur!X95*VLOOKUP('Données projet'!$B$9,Paramètres!$A$1:$I$89,3,0)*0.475*44/12</f>
        <v>7.98245803085773</v>
      </c>
      <c r="AB95" s="21">
        <f>EXP(-LN(2)/2)*AB94+(1-EXP(-LN(2)/2))/(LN(2)/2)*V95*Y95*VLOOKUP('Données projet'!$B$9,Paramètres!$A$1:$I$89,3,0)*0.475*44/12</f>
        <v>2.0048177388237729E-10</v>
      </c>
      <c r="AC95" s="22">
        <f t="shared" si="57"/>
        <v>109.35923041312087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636.99999999999977</v>
      </c>
      <c r="AJ95" s="13">
        <f>AI95*VLOOKUP('Données projet'!$B$10,Paramètres!$A$1:$I$89,3,0)*VLOOKUP('Données projet'!$B$10,Paramètres!$A$1:$I$89,5,0)</f>
        <v>356.08299999999991</v>
      </c>
      <c r="AK95" s="13">
        <f t="shared" si="89"/>
        <v>82.813805255716545</v>
      </c>
      <c r="AL95" s="20">
        <f t="shared" si="58"/>
        <v>764.41193582037283</v>
      </c>
      <c r="AM95" s="59">
        <f t="shared" si="59"/>
        <v>1057.7452691537062</v>
      </c>
      <c r="AN95" s="59">
        <f ca="1">AVERAGE(OFFSET($AM$3,0,0,'Données projet'!$E$10+1,1))-AVERAGE(OFFSET($H$3,0,0,'Données projet'!$E$10+1,1))</f>
        <v>382.55387448074327</v>
      </c>
      <c r="AO95" s="59">
        <f t="shared" si="90"/>
        <v>476.29465646955543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51.856503717979493</v>
      </c>
      <c r="AV95" s="21">
        <f>EXP(-LN(2)/25)*AV94+(1-EXP(-LN(2)/25))/(LN(2)/25)*Calculateur!AQ95*Calculateur!AS95*VLOOKUP('Données projet'!$B$10,Paramètres!$A$1:$I$89,3,0)*0.475*44/12</f>
        <v>3.9321390419411864</v>
      </c>
      <c r="AW95" s="21">
        <f>EXP(-LN(2)/2)*AW94+(1-EXP(-LN(2)/2))/(LN(2)/2)*AQ95*AT95*VLOOKUP('Données projet'!$B$10,Paramètres!$A$1:$I$89,3,0)*0.475*44/12</f>
        <v>2.8134308945128132E-9</v>
      </c>
      <c r="AX95" s="21">
        <f t="shared" si="60"/>
        <v>55.788642762734106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</v>
      </c>
      <c r="BD95" s="12">
        <f>IF('Données projet'!$A$88&gt;35,BD94+BC95-BL94,IF(A95&lt;'Données projet'!$A$88,$BA$205^A95,IF(A95='Données projet'!$A$88,'Données projet'!$B$88,BD94+BC95-BL94)))</f>
        <v>263.99999999999983</v>
      </c>
      <c r="BE95" s="13">
        <f>BD95*VLOOKUP('Données projet'!$B$11,Paramètres!$A$1:$I$89,3,0)*VLOOKUP('Données projet'!$B$11,Paramètres!$A$1:$I$89,5,0)</f>
        <v>267.69599999999986</v>
      </c>
      <c r="BF95" s="13">
        <f t="shared" si="91"/>
        <v>64.360058723585439</v>
      </c>
      <c r="BG95" s="20">
        <f t="shared" si="61"/>
        <v>578.33096894357766</v>
      </c>
      <c r="BH95" s="59">
        <f t="shared" si="62"/>
        <v>871.66430227691103</v>
      </c>
      <c r="BI95" s="59">
        <f ca="1">AVERAGE(OFFSET($BH$3,0,0,'Données projet'!$E$11+1,1))-AVERAGE(OFFSET($H$3,0,0,'Données projet'!$E$11+1,1))</f>
        <v>308.80022073574963</v>
      </c>
      <c r="BJ95" s="59">
        <f t="shared" si="92"/>
        <v>183.96267407004115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71.7475825392698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71.7475825392698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795.00000000000068</v>
      </c>
      <c r="O96" s="13">
        <f>N96*VLOOKUP('Données projet'!$B$9,Paramètres!$A$1:$I$89,3,0)*VLOOKUP('Données projet'!$B$9,Paramètres!$A$1:$I$89,5,0)</f>
        <v>372.06000000000029</v>
      </c>
      <c r="P96" s="13">
        <f t="shared" si="87"/>
        <v>86.088609967897526</v>
      </c>
      <c r="Q96" s="20">
        <f t="shared" si="54"/>
        <v>797.94216236075533</v>
      </c>
      <c r="R96" s="59">
        <f t="shared" si="55"/>
        <v>1091.2754956940887</v>
      </c>
      <c r="S96" s="59">
        <f ca="1">AVERAGE(OFFSET($R$3,0,0,'Données projet'!$E$9+1,1))-AVERAGE(OFFSET($H$3,0,0,'Données projet'!$E$9+1,1))</f>
        <v>379.12827535040157</v>
      </c>
      <c r="T96" s="59">
        <f t="shared" si="88"/>
        <v>317.29813413796956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99.388835709375982</v>
      </c>
      <c r="AA96" s="21">
        <f>EXP(-LN(2)/25)*AA95+(1-EXP(-LN(2)/25))/(LN(2)/25)*Calculateur!V96*Calculateur!X96*VLOOKUP('Données projet'!$B$9,Paramètres!$A$1:$I$89,3,0)*0.475*44/12</f>
        <v>7.7641772962247018</v>
      </c>
      <c r="AB96" s="21">
        <f>EXP(-LN(2)/2)*AB95+(1-EXP(-LN(2)/2))/(LN(2)/2)*V96*Y96*VLOOKUP('Données projet'!$B$9,Paramètres!$A$1:$I$89,3,0)*0.475*44/12</f>
        <v>1.4176202181653705E-10</v>
      </c>
      <c r="AC96" s="22">
        <f t="shared" si="57"/>
        <v>107.15301300574245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636.99999999999977</v>
      </c>
      <c r="AJ96" s="13">
        <f>AI96*VLOOKUP('Données projet'!$B$10,Paramètres!$A$1:$I$89,3,0)*VLOOKUP('Données projet'!$B$10,Paramètres!$A$1:$I$89,5,0)</f>
        <v>356.08299999999991</v>
      </c>
      <c r="AK96" s="13">
        <f t="shared" si="89"/>
        <v>82.813805255716545</v>
      </c>
      <c r="AL96" s="20">
        <f t="shared" si="58"/>
        <v>764.41193582037283</v>
      </c>
      <c r="AM96" s="59">
        <f t="shared" si="59"/>
        <v>1057.7452691537062</v>
      </c>
      <c r="AN96" s="59">
        <f ca="1">AVERAGE(OFFSET($AM$3,0,0,'Données projet'!$E$10+1,1))-AVERAGE(OFFSET($H$3,0,0,'Données projet'!$E$10+1,1))</f>
        <v>382.55387448074327</v>
      </c>
      <c r="AO96" s="59">
        <f t="shared" si="90"/>
        <v>476.29465646955543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50.839629309414043</v>
      </c>
      <c r="AV96" s="21">
        <f>EXP(-LN(2)/25)*AV95+(1-EXP(-LN(2)/25))/(LN(2)/25)*Calculateur!AQ96*Calculateur!AS96*VLOOKUP('Données projet'!$B$10,Paramètres!$A$1:$I$89,3,0)*0.475*44/12</f>
        <v>3.8246144930570996</v>
      </c>
      <c r="AW96" s="21">
        <f>EXP(-LN(2)/2)*AW95+(1-EXP(-LN(2)/2))/(LN(2)/2)*AQ96*AT96*VLOOKUP('Données projet'!$B$10,Paramètres!$A$1:$I$89,3,0)*0.475*44/12</f>
        <v>1.9893960639097444E-9</v>
      </c>
      <c r="AX96" s="21">
        <f t="shared" si="60"/>
        <v>54.66424380446054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5</v>
      </c>
      <c r="BD96" s="12">
        <f>IF('Données projet'!$A$88&gt;35,BD95+BC96-BL95,IF(A96&lt;'Données projet'!$A$88,$BA$205^A96,IF(A96='Données projet'!$A$88,'Données projet'!$B$88,BD95+BC96-BL95)))</f>
        <v>268.99999999999983</v>
      </c>
      <c r="BE96" s="13">
        <f>BD96*VLOOKUP('Données projet'!$B$11,Paramètres!$A$1:$I$89,3,0)*VLOOKUP('Données projet'!$B$11,Paramètres!$A$1:$I$89,5,0)</f>
        <v>272.76599999999985</v>
      </c>
      <c r="BF96" s="13">
        <f t="shared" si="91"/>
        <v>65.43593563008757</v>
      </c>
      <c r="BG96" s="20">
        <f t="shared" si="61"/>
        <v>589.03503788906892</v>
      </c>
      <c r="BH96" s="59">
        <f t="shared" si="62"/>
        <v>882.36837122240217</v>
      </c>
      <c r="BI96" s="59">
        <f ca="1">AVERAGE(OFFSET($BH$3,0,0,'Données projet'!$E$11+1,1))-AVERAGE(OFFSET($H$3,0,0,'Données projet'!$E$11+1,1))</f>
        <v>308.80022073574963</v>
      </c>
      <c r="BJ96" s="59">
        <f t="shared" si="92"/>
        <v>183.96267407004115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70.340656207378956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70.340656207378956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795.00000000000068</v>
      </c>
      <c r="O97" s="13">
        <f>N97*VLOOKUP('Données projet'!$B$9,Paramètres!$A$1:$I$89,3,0)*VLOOKUP('Données projet'!$B$9,Paramètres!$A$1:$I$89,5,0)</f>
        <v>372.06000000000029</v>
      </c>
      <c r="P97" s="13">
        <f t="shared" si="87"/>
        <v>86.088609967897526</v>
      </c>
      <c r="Q97" s="20">
        <f t="shared" si="54"/>
        <v>797.94216236075533</v>
      </c>
      <c r="R97" s="59">
        <f t="shared" si="55"/>
        <v>1091.2754956940887</v>
      </c>
      <c r="S97" s="59">
        <f ca="1">AVERAGE(OFFSET($R$3,0,0,'Données projet'!$E$9+1,1))-AVERAGE(OFFSET($H$3,0,0,'Données projet'!$E$9+1,1))</f>
        <v>379.12827535040157</v>
      </c>
      <c r="T97" s="59">
        <f t="shared" si="88"/>
        <v>317.29813413796956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97.439881262319062</v>
      </c>
      <c r="AA97" s="21">
        <f>EXP(-LN(2)/25)*AA96+(1-EXP(-LN(2)/25))/(LN(2)/25)*Calculateur!V97*Calculateur!X97*VLOOKUP('Données projet'!$B$9,Paramètres!$A$1:$I$89,3,0)*0.475*44/12</f>
        <v>7.5518654597590986</v>
      </c>
      <c r="AB97" s="21">
        <f>EXP(-LN(2)/2)*AB96+(1-EXP(-LN(2)/2))/(LN(2)/2)*V97*Y97*VLOOKUP('Données projet'!$B$9,Paramètres!$A$1:$I$89,3,0)*0.475*44/12</f>
        <v>1.0024088694118864E-10</v>
      </c>
      <c r="AC97" s="22">
        <f t="shared" si="57"/>
        <v>104.99174672217841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636.99999999999977</v>
      </c>
      <c r="AJ97" s="13">
        <f>AI97*VLOOKUP('Données projet'!$B$10,Paramètres!$A$1:$I$89,3,0)*VLOOKUP('Données projet'!$B$10,Paramètres!$A$1:$I$89,5,0)</f>
        <v>356.08299999999991</v>
      </c>
      <c r="AK97" s="13">
        <f t="shared" si="89"/>
        <v>82.813805255716545</v>
      </c>
      <c r="AL97" s="20">
        <f t="shared" si="58"/>
        <v>764.41193582037283</v>
      </c>
      <c r="AM97" s="59">
        <f t="shared" si="59"/>
        <v>1057.7452691537062</v>
      </c>
      <c r="AN97" s="59">
        <f ca="1">AVERAGE(OFFSET($AM$3,0,0,'Données projet'!$E$10+1,1))-AVERAGE(OFFSET($H$3,0,0,'Données projet'!$E$10+1,1))</f>
        <v>382.55387448074327</v>
      </c>
      <c r="AO97" s="59">
        <f t="shared" si="90"/>
        <v>476.29465646955543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49.84269518776842</v>
      </c>
      <c r="AV97" s="21">
        <f>EXP(-LN(2)/25)*AV96+(1-EXP(-LN(2)/25))/(LN(2)/25)*Calculateur!AQ97*Calculateur!AS97*VLOOKUP('Données projet'!$B$10,Paramètres!$A$1:$I$89,3,0)*0.475*44/12</f>
        <v>3.7200302086167181</v>
      </c>
      <c r="AW97" s="21">
        <f>EXP(-LN(2)/2)*AW96+(1-EXP(-LN(2)/2))/(LN(2)/2)*AQ97*AT97*VLOOKUP('Données projet'!$B$10,Paramètres!$A$1:$I$89,3,0)*0.475*44/12</f>
        <v>1.4067154472564066E-9</v>
      </c>
      <c r="AX97" s="21">
        <f t="shared" si="60"/>
        <v>53.562725397791858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</v>
      </c>
      <c r="BD97" s="12">
        <f>IF('Données projet'!$A$88&gt;35,BD96+BC97-BL96,IF(A97&lt;'Données projet'!$A$88,$BA$205^A97,IF(A97='Données projet'!$A$88,'Données projet'!$B$88,BD96+BC97-BL96)))</f>
        <v>273.99999999999983</v>
      </c>
      <c r="BE97" s="13">
        <f>BD97*VLOOKUP('Données projet'!$B$11,Paramètres!$A$1:$I$89,3,0)*VLOOKUP('Données projet'!$B$11,Paramètres!$A$1:$I$89,5,0)</f>
        <v>277.83599999999984</v>
      </c>
      <c r="BF97" s="13">
        <f t="shared" si="91"/>
        <v>66.509487177652261</v>
      </c>
      <c r="BG97" s="20">
        <f t="shared" si="61"/>
        <v>599.73505683441078</v>
      </c>
      <c r="BH97" s="59">
        <f t="shared" si="62"/>
        <v>893.06839016774416</v>
      </c>
      <c r="BI97" s="59">
        <f ca="1">AVERAGE(OFFSET($BH$3,0,0,'Données projet'!$E$11+1,1))-AVERAGE(OFFSET($H$3,0,0,'Données projet'!$E$11+1,1))</f>
        <v>308.80022073574963</v>
      </c>
      <c r="BJ97" s="59">
        <f t="shared" si="92"/>
        <v>183.96267407004115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68.961318842716167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68.961318842716167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795.00000000000068</v>
      </c>
      <c r="O98" s="13">
        <f>N98*VLOOKUP('Données projet'!$B$9,Paramètres!$A$1:$I$89,3,0)*VLOOKUP('Données projet'!$B$9,Paramètres!$A$1:$I$89,5,0)</f>
        <v>372.06000000000029</v>
      </c>
      <c r="P98" s="13">
        <f t="shared" si="87"/>
        <v>86.088609967897526</v>
      </c>
      <c r="Q98" s="20">
        <f t="shared" si="54"/>
        <v>797.94216236075533</v>
      </c>
      <c r="R98" s="59">
        <f t="shared" si="55"/>
        <v>1091.2754956940887</v>
      </c>
      <c r="S98" s="59">
        <f ca="1">AVERAGE(OFFSET($R$3,0,0,'Données projet'!$E$9+1,1))-AVERAGE(OFFSET($H$3,0,0,'Données projet'!$E$9+1,1))</f>
        <v>379.12827535040157</v>
      </c>
      <c r="T98" s="59">
        <f t="shared" si="88"/>
        <v>317.29813413796956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95.529144623224084</v>
      </c>
      <c r="AA98" s="21">
        <f>EXP(-LN(2)/25)*AA97+(1-EXP(-LN(2)/25))/(LN(2)/25)*Calculateur!V98*Calculateur!X98*VLOOKUP('Données projet'!$B$9,Paramètres!$A$1:$I$89,3,0)*0.475*44/12</f>
        <v>7.3453593016266412</v>
      </c>
      <c r="AB98" s="21">
        <f>EXP(-LN(2)/2)*AB97+(1-EXP(-LN(2)/2))/(LN(2)/2)*V98*Y98*VLOOKUP('Données projet'!$B$9,Paramètres!$A$1:$I$89,3,0)*0.475*44/12</f>
        <v>7.0881010908268527E-11</v>
      </c>
      <c r="AC98" s="22">
        <f t="shared" si="57"/>
        <v>102.87450392492161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636.99999999999977</v>
      </c>
      <c r="AJ98" s="13">
        <f>AI98*VLOOKUP('Données projet'!$B$10,Paramètres!$A$1:$I$89,3,0)*VLOOKUP('Données projet'!$B$10,Paramètres!$A$1:$I$89,5,0)</f>
        <v>356.08299999999991</v>
      </c>
      <c r="AK98" s="13">
        <f t="shared" si="89"/>
        <v>82.813805255716545</v>
      </c>
      <c r="AL98" s="20">
        <f t="shared" si="58"/>
        <v>764.41193582037283</v>
      </c>
      <c r="AM98" s="59">
        <f t="shared" si="59"/>
        <v>1057.7452691537062</v>
      </c>
      <c r="AN98" s="59">
        <f ca="1">AVERAGE(OFFSET($AM$3,0,0,'Données projet'!$E$10+1,1))-AVERAGE(OFFSET($H$3,0,0,'Données projet'!$E$10+1,1))</f>
        <v>382.55387448074327</v>
      </c>
      <c r="AO98" s="59">
        <f t="shared" si="90"/>
        <v>476.29465646955543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48.865310336178496</v>
      </c>
      <c r="AV98" s="21">
        <f>EXP(-LN(2)/25)*AV97+(1-EXP(-LN(2)/25))/(LN(2)/25)*Calculateur!AQ98*Calculateur!AS98*VLOOKUP('Données projet'!$B$10,Paramètres!$A$1:$I$89,3,0)*0.475*44/12</f>
        <v>3.6183057869342075</v>
      </c>
      <c r="AW98" s="21">
        <f>EXP(-LN(2)/2)*AW97+(1-EXP(-LN(2)/2))/(LN(2)/2)*AQ98*AT98*VLOOKUP('Données projet'!$B$10,Paramètres!$A$1:$I$89,3,0)*0.475*44/12</f>
        <v>9.9469803195487222E-10</v>
      </c>
      <c r="AX98" s="21">
        <f t="shared" si="60"/>
        <v>52.4836161241074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279</v>
      </c>
      <c r="BB98" s="12">
        <f>VLOOKUP(A98,'Données projet'!$A$87:$I$107,9,0)</f>
        <v>5</v>
      </c>
      <c r="BC98" s="12">
        <f t="array" ref="BC98">INDEX(BB:BB,MIN(IF(ISNUMBER(BB98:BB294),ROW(BB98:BB294),"")))</f>
        <v>5</v>
      </c>
      <c r="BD98" s="12">
        <f>IF('Données projet'!$A$88&gt;35,BD97+BC98-BL97,IF(A98&lt;'Données projet'!$A$88,$BA$205^A98,IF(A98='Données projet'!$A$88,'Données projet'!$B$88,BD97+BC98-BL97)))</f>
        <v>278.99999999999983</v>
      </c>
      <c r="BE98" s="13">
        <f>BD98*VLOOKUP('Données projet'!$B$11,Paramètres!$A$1:$I$89,3,0)*VLOOKUP('Données projet'!$B$11,Paramètres!$A$1:$I$89,5,0)</f>
        <v>282.90599999999989</v>
      </c>
      <c r="BF98" s="13">
        <f t="shared" si="91"/>
        <v>67.580760694123455</v>
      </c>
      <c r="BG98" s="20">
        <f t="shared" si="61"/>
        <v>610.43110820893151</v>
      </c>
      <c r="BH98" s="59">
        <f t="shared" si="62"/>
        <v>903.76444154226488</v>
      </c>
      <c r="BI98" s="59">
        <f ca="1">AVERAGE(OFFSET($BH$3,0,0,'Données projet'!$E$11+1,1))-AVERAGE(OFFSET($H$3,0,0,'Données projet'!$E$11+1,1))</f>
        <v>308.80022073574963</v>
      </c>
      <c r="BJ98" s="59">
        <f t="shared" si="92"/>
        <v>183.96267407004115</v>
      </c>
      <c r="BK98" s="15">
        <f>IF(ISNA(VLOOKUP(A98,'Données projet'!$A$87:$I$107,3,0)),0,VLOOKUP(A98,'Données projet'!$A$87:$I$107,3,0))</f>
        <v>15</v>
      </c>
      <c r="BL98" s="15">
        <f>IF(ISNA(VLOOKUP(A98,'Données projet'!$A$87:$I$107,4,0)),0,VLOOKUP(A98,'Données projet'!$A$87:$I$107,4,0))</f>
        <v>21</v>
      </c>
      <c r="BM98" s="16">
        <f>IF(ISNA(VLOOKUP(A98,'Données projet'!$A$87:$I$107,5,0)),0%,VLOOKUP(A98,'Données projet'!$A$87:$I$107,5,0)*VLOOKUP('Données projet'!$B$11,Paramètres!$A$1:$I$89,7,0))</f>
        <v>0.43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77.731180535024791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77.731180535024791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795.00000000000068</v>
      </c>
      <c r="O99" s="13">
        <f>N99*VLOOKUP('Données projet'!$B$9,Paramètres!$A$1:$I$89,3,0)*VLOOKUP('Données projet'!$B$9,Paramètres!$A$1:$I$89,5,0)</f>
        <v>372.06000000000029</v>
      </c>
      <c r="P99" s="13">
        <f t="shared" si="87"/>
        <v>86.088609967897526</v>
      </c>
      <c r="Q99" s="20">
        <f t="shared" ref="Q99:Q130" si="107">(O99+P99)*0.475*44/12</f>
        <v>797.94216236075533</v>
      </c>
      <c r="R99" s="59">
        <f t="shared" si="55"/>
        <v>1091.2754956940887</v>
      </c>
      <c r="S99" s="59">
        <f ca="1">AVERAGE(OFFSET($R$3,0,0,'Données projet'!$E$9+1,1))-AVERAGE(OFFSET($H$3,0,0,'Données projet'!$E$9+1,1))</f>
        <v>379.12827535040157</v>
      </c>
      <c r="T99" s="59">
        <f t="shared" si="88"/>
        <v>317.29813413796956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93.655876364187492</v>
      </c>
      <c r="AA99" s="21">
        <f>EXP(-LN(2)/25)*AA98+(1-EXP(-LN(2)/25))/(LN(2)/25)*Calculateur!V99*Calculateur!X99*VLOOKUP('Données projet'!$B$9,Paramètres!$A$1:$I$89,3,0)*0.475*44/12</f>
        <v>7.1445000652480033</v>
      </c>
      <c r="AB99" s="21">
        <f>EXP(-LN(2)/2)*AB98+(1-EXP(-LN(2)/2))/(LN(2)/2)*V99*Y99*VLOOKUP('Données projet'!$B$9,Paramètres!$A$1:$I$89,3,0)*0.475*44/12</f>
        <v>5.0120443470594322E-11</v>
      </c>
      <c r="AC99" s="22">
        <f t="shared" si="57"/>
        <v>100.80037642948561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636.99999999999977</v>
      </c>
      <c r="AJ99" s="13">
        <f>AI99*VLOOKUP('Données projet'!$B$10,Paramètres!$A$1:$I$89,3,0)*VLOOKUP('Données projet'!$B$10,Paramètres!$A$1:$I$89,5,0)</f>
        <v>356.08299999999991</v>
      </c>
      <c r="AK99" s="13">
        <f t="shared" si="89"/>
        <v>82.813805255716545</v>
      </c>
      <c r="AL99" s="20">
        <f t="shared" si="58"/>
        <v>764.41193582037283</v>
      </c>
      <c r="AM99" s="59">
        <f t="shared" si="59"/>
        <v>1057.7452691537062</v>
      </c>
      <c r="AN99" s="59">
        <f ca="1">AVERAGE(OFFSET($AM$3,0,0,'Données projet'!$E$10+1,1))-AVERAGE(OFFSET($H$3,0,0,'Données projet'!$E$10+1,1))</f>
        <v>382.55387448074327</v>
      </c>
      <c r="AO99" s="59">
        <f t="shared" si="90"/>
        <v>476.29465646955543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47.907091405382353</v>
      </c>
      <c r="AV99" s="21">
        <f>EXP(-LN(2)/25)*AV98+(1-EXP(-LN(2)/25))/(LN(2)/25)*Calculateur!AQ99*Calculateur!AS99*VLOOKUP('Données projet'!$B$10,Paramètres!$A$1:$I$89,3,0)*0.475*44/12</f>
        <v>3.5193630249120598</v>
      </c>
      <c r="AW99" s="21">
        <f>EXP(-LN(2)/2)*AW98+(1-EXP(-LN(2)/2))/(LN(2)/2)*AQ99*AT99*VLOOKUP('Données projet'!$B$10,Paramètres!$A$1:$I$89,3,0)*0.475*44/12</f>
        <v>7.033577236282033E-10</v>
      </c>
      <c r="AX99" s="21">
        <f t="shared" si="60"/>
        <v>51.426454430997772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4.8</v>
      </c>
      <c r="BD99" s="12">
        <f>IF('Données projet'!$A$88&gt;35,BD98+BC99-BL98,IF(A99&lt;'Données projet'!$A$88,$BA$205^A99,IF(A99='Données projet'!$A$88,'Données projet'!$B$88,BD98+BC99-BL98)))</f>
        <v>262.79999999999984</v>
      </c>
      <c r="BE99" s="13">
        <f>BD99*VLOOKUP('Données projet'!$B$11,Paramètres!$A$1:$I$89,3,0)*VLOOKUP('Données projet'!$B$11,Paramètres!$A$1:$I$89,5,0)</f>
        <v>266.47919999999988</v>
      </c>
      <c r="BF99" s="13">
        <f t="shared" si="91"/>
        <v>64.101496824889622</v>
      </c>
      <c r="BG99" s="20">
        <f t="shared" si="61"/>
        <v>575.76138030334926</v>
      </c>
      <c r="BH99" s="59">
        <f t="shared" si="62"/>
        <v>869.09471363668263</v>
      </c>
      <c r="BI99" s="59">
        <f ca="1">AVERAGE(OFFSET($BH$3,0,0,'Données projet'!$E$11+1,1))-AVERAGE(OFFSET($H$3,0,0,'Données projet'!$E$11+1,1))</f>
        <v>308.80022073574963</v>
      </c>
      <c r="BJ99" s="59">
        <f t="shared" si="92"/>
        <v>183.96267407004115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76.206919496071606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76.206919496071606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795.00000000000068</v>
      </c>
      <c r="O100" s="13">
        <f>N100*VLOOKUP('Données projet'!$B$9,Paramètres!$A$1:$I$89,3,0)*VLOOKUP('Données projet'!$B$9,Paramètres!$A$1:$I$89,5,0)</f>
        <v>372.06000000000029</v>
      </c>
      <c r="P100" s="13">
        <f t="shared" si="87"/>
        <v>86.088609967897526</v>
      </c>
      <c r="Q100" s="20">
        <f t="shared" si="107"/>
        <v>797.94216236075533</v>
      </c>
      <c r="R100" s="59">
        <f t="shared" si="55"/>
        <v>1091.2754956940887</v>
      </c>
      <c r="S100" s="59">
        <f ca="1">AVERAGE(OFFSET($R$3,0,0,'Données projet'!$E$9+1,1))-AVERAGE(OFFSET($H$3,0,0,'Données projet'!$E$9+1,1))</f>
        <v>379.12827535040157</v>
      </c>
      <c r="T100" s="59">
        <f t="shared" si="88"/>
        <v>317.29813413796956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91.819341753129791</v>
      </c>
      <c r="AA100" s="21">
        <f>EXP(-LN(2)/25)*AA99+(1-EXP(-LN(2)/25))/(LN(2)/25)*Calculateur!V100*Calculateur!X100*VLOOKUP('Données projet'!$B$9,Paramètres!$A$1:$I$89,3,0)*0.475*44/12</f>
        <v>6.9491333352508668</v>
      </c>
      <c r="AB100" s="21">
        <f>EXP(-LN(2)/2)*AB99+(1-EXP(-LN(2)/2))/(LN(2)/2)*V100*Y100*VLOOKUP('Données projet'!$B$9,Paramètres!$A$1:$I$89,3,0)*0.475*44/12</f>
        <v>3.5440505454134263E-11</v>
      </c>
      <c r="AC100" s="22">
        <f t="shared" si="57"/>
        <v>98.768475088416096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636.99999999999977</v>
      </c>
      <c r="AJ100" s="13">
        <f>AI100*VLOOKUP('Données projet'!$B$10,Paramètres!$A$1:$I$89,3,0)*VLOOKUP('Données projet'!$B$10,Paramètres!$A$1:$I$89,5,0)</f>
        <v>356.08299999999991</v>
      </c>
      <c r="AK100" s="13">
        <f t="shared" si="89"/>
        <v>82.813805255716545</v>
      </c>
      <c r="AL100" s="20">
        <f t="shared" si="58"/>
        <v>764.41193582037283</v>
      </c>
      <c r="AM100" s="59">
        <f t="shared" si="59"/>
        <v>1057.7452691537062</v>
      </c>
      <c r="AN100" s="59">
        <f ca="1">AVERAGE(OFFSET($AM$3,0,0,'Données projet'!$E$10+1,1))-AVERAGE(OFFSET($H$3,0,0,'Données projet'!$E$10+1,1))</f>
        <v>382.55387448074327</v>
      </c>
      <c r="AO100" s="59">
        <f t="shared" si="90"/>
        <v>476.29465646955543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46.967662563363284</v>
      </c>
      <c r="AV100" s="21">
        <f>EXP(-LN(2)/25)*AV99+(1-EXP(-LN(2)/25))/(LN(2)/25)*Calculateur!AQ100*Calculateur!AS100*VLOOKUP('Données projet'!$B$10,Paramètres!$A$1:$I$89,3,0)*0.475*44/12</f>
        <v>3.4231258579205814</v>
      </c>
      <c r="AW100" s="21">
        <f>EXP(-LN(2)/2)*AW99+(1-EXP(-LN(2)/2))/(LN(2)/2)*AQ100*AT100*VLOOKUP('Données projet'!$B$10,Paramètres!$A$1:$I$89,3,0)*0.475*44/12</f>
        <v>4.9734901597743611E-10</v>
      </c>
      <c r="AX100" s="21">
        <f t="shared" si="60"/>
        <v>50.390788421781217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4.8</v>
      </c>
      <c r="BD100" s="12">
        <f>IF('Données projet'!$A$88&gt;35,BD99+BC100-BL99,IF(A100&lt;'Données projet'!$A$88,$BA$205^A100,IF(A100='Données projet'!$A$88,'Données projet'!$B$88,BD99+BC100-BL99)))</f>
        <v>267.59999999999985</v>
      </c>
      <c r="BE100" s="13">
        <f>BD100*VLOOKUP('Données projet'!$B$11,Paramètres!$A$1:$I$89,3,0)*VLOOKUP('Données projet'!$B$11,Paramètres!$A$1:$I$89,5,0)</f>
        <v>271.34639999999985</v>
      </c>
      <c r="BF100" s="13">
        <f t="shared" si="91"/>
        <v>65.134926573557308</v>
      </c>
      <c r="BG100" s="20">
        <f t="shared" si="61"/>
        <v>586.03831044894537</v>
      </c>
      <c r="BH100" s="59">
        <f t="shared" si="62"/>
        <v>879.37164378227862</v>
      </c>
      <c r="BI100" s="59">
        <f ca="1">AVERAGE(OFFSET($BH$3,0,0,'Données projet'!$E$11+1,1))-AVERAGE(OFFSET($H$3,0,0,'Données projet'!$E$11+1,1))</f>
        <v>308.80022073574963</v>
      </c>
      <c r="BJ100" s="59">
        <f t="shared" si="92"/>
        <v>183.96267407004115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74.712548286384859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74.712548286384859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795.00000000000068</v>
      </c>
      <c r="O101" s="13">
        <f>N101*VLOOKUP('Données projet'!$B$9,Paramètres!$A$1:$I$89,3,0)*VLOOKUP('Données projet'!$B$9,Paramètres!$A$1:$I$89,5,0)</f>
        <v>372.06000000000029</v>
      </c>
      <c r="P101" s="13">
        <f t="shared" si="87"/>
        <v>86.088609967897526</v>
      </c>
      <c r="Q101" s="20">
        <f t="shared" si="107"/>
        <v>797.94216236075533</v>
      </c>
      <c r="R101" s="59">
        <f t="shared" si="55"/>
        <v>1091.2754956940887</v>
      </c>
      <c r="S101" s="59">
        <f ca="1">AVERAGE(OFFSET($R$3,0,0,'Données projet'!$E$9+1,1))-AVERAGE(OFFSET($H$3,0,0,'Données projet'!$E$9+1,1))</f>
        <v>379.12827535040157</v>
      </c>
      <c r="T101" s="59">
        <f t="shared" si="88"/>
        <v>317.29813413796956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90.018820465619427</v>
      </c>
      <c r="AA101" s="21">
        <f>EXP(-LN(2)/25)*AA100+(1-EXP(-LN(2)/25))/(LN(2)/25)*Calculateur!V101*Calculateur!X101*VLOOKUP('Données projet'!$B$9,Paramètres!$A$1:$I$89,3,0)*0.475*44/12</f>
        <v>6.7591089187593925</v>
      </c>
      <c r="AB101" s="21">
        <f>EXP(-LN(2)/2)*AB100+(1-EXP(-LN(2)/2))/(LN(2)/2)*V101*Y101*VLOOKUP('Données projet'!$B$9,Paramètres!$A$1:$I$89,3,0)*0.475*44/12</f>
        <v>2.5060221735297161E-11</v>
      </c>
      <c r="AC101" s="22">
        <f t="shared" si="57"/>
        <v>96.777929384403876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636.99999999999977</v>
      </c>
      <c r="AJ101" s="13">
        <f>AI101*VLOOKUP('Données projet'!$B$10,Paramètres!$A$1:$I$89,3,0)*VLOOKUP('Données projet'!$B$10,Paramètres!$A$1:$I$89,5,0)</f>
        <v>356.08299999999991</v>
      </c>
      <c r="AK101" s="13">
        <f t="shared" si="89"/>
        <v>82.813805255716545</v>
      </c>
      <c r="AL101" s="20">
        <f t="shared" si="58"/>
        <v>764.41193582037283</v>
      </c>
      <c r="AM101" s="59">
        <f t="shared" si="59"/>
        <v>1057.7452691537062</v>
      </c>
      <c r="AN101" s="59">
        <f ca="1">AVERAGE(OFFSET($AM$3,0,0,'Données projet'!$E$10+1,1))-AVERAGE(OFFSET($H$3,0,0,'Données projet'!$E$10+1,1))</f>
        <v>382.55387448074327</v>
      </c>
      <c r="AO101" s="59">
        <f t="shared" si="90"/>
        <v>476.29465646955543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46.04665534794119</v>
      </c>
      <c r="AV101" s="21">
        <f>EXP(-LN(2)/25)*AV100+(1-EXP(-LN(2)/25))/(LN(2)/25)*Calculateur!AQ101*Calculateur!AS101*VLOOKUP('Données projet'!$B$10,Paramètres!$A$1:$I$89,3,0)*0.475*44/12</f>
        <v>3.3295203013213781</v>
      </c>
      <c r="AW101" s="21">
        <f>EXP(-LN(2)/2)*AW100+(1-EXP(-LN(2)/2))/(LN(2)/2)*AQ101*AT101*VLOOKUP('Données projet'!$B$10,Paramètres!$A$1:$I$89,3,0)*0.475*44/12</f>
        <v>3.5167886181410165E-10</v>
      </c>
      <c r="AX101" s="21">
        <f t="shared" si="60"/>
        <v>49.376175649614247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4.8</v>
      </c>
      <c r="BD101" s="12">
        <f>IF('Données projet'!$A$88&gt;35,BD100+BC101-BL100,IF(A101&lt;'Données projet'!$A$88,$BA$205^A101,IF(A101='Données projet'!$A$88,'Données projet'!$B$88,BD100+BC101-BL100)))</f>
        <v>272.39999999999986</v>
      </c>
      <c r="BE101" s="13">
        <f>BD101*VLOOKUP('Données projet'!$B$11,Paramètres!$A$1:$I$89,3,0)*VLOOKUP('Données projet'!$B$11,Paramètres!$A$1:$I$89,5,0)</f>
        <v>276.21359999999987</v>
      </c>
      <c r="BF101" s="13">
        <f t="shared" si="91"/>
        <v>66.166200760877416</v>
      </c>
      <c r="BG101" s="20">
        <f t="shared" si="61"/>
        <v>596.31148632519455</v>
      </c>
      <c r="BH101" s="59">
        <f t="shared" si="62"/>
        <v>889.64481965852792</v>
      </c>
      <c r="BI101" s="59">
        <f ca="1">AVERAGE(OFFSET($BH$3,0,0,'Données projet'!$E$11+1,1))-AVERAGE(OFFSET($H$3,0,0,'Données projet'!$E$11+1,1))</f>
        <v>308.80022073574963</v>
      </c>
      <c r="BJ101" s="59">
        <f t="shared" si="92"/>
        <v>183.96267407004115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73.247480784643628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73.247480784643628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795.00000000000068</v>
      </c>
      <c r="O102" s="13">
        <f>N102*VLOOKUP('Données projet'!$B$9,Paramètres!$A$1:$I$89,3,0)*VLOOKUP('Données projet'!$B$9,Paramètres!$A$1:$I$89,5,0)</f>
        <v>372.06000000000029</v>
      </c>
      <c r="P102" s="13">
        <f t="shared" si="87"/>
        <v>86.088609967897526</v>
      </c>
      <c r="Q102" s="20">
        <f t="shared" si="107"/>
        <v>797.94216236075533</v>
      </c>
      <c r="R102" s="59">
        <f t="shared" si="55"/>
        <v>1091.2754956940887</v>
      </c>
      <c r="S102" s="59">
        <f ca="1">AVERAGE(OFFSET($R$3,0,0,'Données projet'!$E$9+1,1))-AVERAGE(OFFSET($H$3,0,0,'Données projet'!$E$9+1,1))</f>
        <v>379.12827535040157</v>
      </c>
      <c r="T102" s="59">
        <f t="shared" si="88"/>
        <v>317.29813413796956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88.253606302347592</v>
      </c>
      <c r="AA102" s="21">
        <f>EXP(-LN(2)/25)*AA101+(1-EXP(-LN(2)/25))/(LN(2)/25)*Calculateur!V102*Calculateur!X102*VLOOKUP('Données projet'!$B$9,Paramètres!$A$1:$I$89,3,0)*0.475*44/12</f>
        <v>6.5742807299298267</v>
      </c>
      <c r="AB102" s="21">
        <f>EXP(-LN(2)/2)*AB101+(1-EXP(-LN(2)/2))/(LN(2)/2)*V102*Y102*VLOOKUP('Données projet'!$B$9,Paramètres!$A$1:$I$89,3,0)*0.475*44/12</f>
        <v>1.7720252727067132E-11</v>
      </c>
      <c r="AC102" s="22">
        <f t="shared" si="57"/>
        <v>94.827887032295138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636.99999999999977</v>
      </c>
      <c r="AJ102" s="13">
        <f>AI102*VLOOKUP('Données projet'!$B$10,Paramètres!$A$1:$I$89,3,0)*VLOOKUP('Données projet'!$B$10,Paramètres!$A$1:$I$89,5,0)</f>
        <v>356.08299999999991</v>
      </c>
      <c r="AK102" s="13">
        <f t="shared" si="89"/>
        <v>82.813805255716545</v>
      </c>
      <c r="AL102" s="20">
        <f t="shared" si="58"/>
        <v>764.41193582037283</v>
      </c>
      <c r="AM102" s="59">
        <f t="shared" si="59"/>
        <v>1057.7452691537062</v>
      </c>
      <c r="AN102" s="59">
        <f ca="1">AVERAGE(OFFSET($AM$3,0,0,'Données projet'!$E$10+1,1))-AVERAGE(OFFSET($H$3,0,0,'Données projet'!$E$10+1,1))</f>
        <v>382.55387448074327</v>
      </c>
      <c r="AO102" s="59">
        <f t="shared" si="90"/>
        <v>476.29465646955543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45.143708522254592</v>
      </c>
      <c r="AV102" s="21">
        <f>EXP(-LN(2)/25)*AV101+(1-EXP(-LN(2)/25))/(LN(2)/25)*Calculateur!AQ102*Calculateur!AS102*VLOOKUP('Données projet'!$B$10,Paramètres!$A$1:$I$89,3,0)*0.475*44/12</f>
        <v>3.2384743935898821</v>
      </c>
      <c r="AW102" s="21">
        <f>EXP(-LN(2)/2)*AW101+(1-EXP(-LN(2)/2))/(LN(2)/2)*AQ102*AT102*VLOOKUP('Données projet'!$B$10,Paramètres!$A$1:$I$89,3,0)*0.475*44/12</f>
        <v>2.4867450798871805E-10</v>
      </c>
      <c r="AX102" s="21">
        <f t="shared" si="60"/>
        <v>48.38218291609315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4.8</v>
      </c>
      <c r="BD102" s="12">
        <f>IF('Données projet'!$A$88&gt;35,BD101+BC102-BL101,IF(A102&lt;'Données projet'!$A$88,$BA$205^A102,IF(A102='Données projet'!$A$88,'Données projet'!$B$88,BD101+BC102-BL101)))</f>
        <v>277.19999999999987</v>
      </c>
      <c r="BE102" s="13">
        <f>BD102*VLOOKUP('Données projet'!$B$11,Paramètres!$A$1:$I$89,3,0)*VLOOKUP('Données projet'!$B$11,Paramètres!$A$1:$I$89,5,0)</f>
        <v>281.0807999999999</v>
      </c>
      <c r="BF102" s="13">
        <f t="shared" si="91"/>
        <v>67.19536175254612</v>
      </c>
      <c r="BG102" s="20">
        <f t="shared" si="61"/>
        <v>606.58098171901759</v>
      </c>
      <c r="BH102" s="59">
        <f t="shared" si="62"/>
        <v>899.91431505235096</v>
      </c>
      <c r="BI102" s="59">
        <f ca="1">AVERAGE(OFFSET($BH$3,0,0,'Données projet'!$E$11+1,1))-AVERAGE(OFFSET($H$3,0,0,'Données projet'!$E$11+1,1))</f>
        <v>308.80022073574963</v>
      </c>
      <c r="BJ102" s="59">
        <f t="shared" si="92"/>
        <v>183.96267407004115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71.811142363008599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71.811142363008599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795.00000000000068</v>
      </c>
      <c r="O103" s="13">
        <f>N103*VLOOKUP('Données projet'!$B$9,Paramètres!$A$1:$I$89,3,0)*VLOOKUP('Données projet'!$B$9,Paramètres!$A$1:$I$89,5,0)</f>
        <v>372.06000000000029</v>
      </c>
      <c r="P103" s="13">
        <f t="shared" si="87"/>
        <v>86.088609967897526</v>
      </c>
      <c r="Q103" s="20">
        <f t="shared" si="107"/>
        <v>797.94216236075533</v>
      </c>
      <c r="R103" s="59">
        <f t="shared" si="55"/>
        <v>1091.2754956940887</v>
      </c>
      <c r="S103" s="59">
        <f ca="1">AVERAGE(OFFSET($R$3,0,0,'Données projet'!$E$9+1,1))-AVERAGE(OFFSET($H$3,0,0,'Données projet'!$E$9+1,1))</f>
        <v>379.12827535040157</v>
      </c>
      <c r="T103" s="59">
        <f t="shared" si="88"/>
        <v>317.29813413796956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86.523006912143188</v>
      </c>
      <c r="AA103" s="21">
        <f>EXP(-LN(2)/25)*AA102+(1-EXP(-LN(2)/25))/(LN(2)/25)*Calculateur!V103*Calculateur!X103*VLOOKUP('Données projet'!$B$9,Paramètres!$A$1:$I$89,3,0)*0.475*44/12</f>
        <v>6.3945066776434976</v>
      </c>
      <c r="AB103" s="21">
        <f>EXP(-LN(2)/2)*AB102+(1-EXP(-LN(2)/2))/(LN(2)/2)*V103*Y103*VLOOKUP('Données projet'!$B$9,Paramètres!$A$1:$I$89,3,0)*0.475*44/12</f>
        <v>1.253011086764858E-11</v>
      </c>
      <c r="AC103" s="22">
        <f t="shared" si="57"/>
        <v>92.917513589799213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636.99999999999977</v>
      </c>
      <c r="AJ103" s="13">
        <f>AI103*VLOOKUP('Données projet'!$B$10,Paramètres!$A$1:$I$89,3,0)*VLOOKUP('Données projet'!$B$10,Paramètres!$A$1:$I$89,5,0)</f>
        <v>356.08299999999991</v>
      </c>
      <c r="AK103" s="13">
        <f t="shared" si="89"/>
        <v>82.813805255716545</v>
      </c>
      <c r="AL103" s="20">
        <f t="shared" si="58"/>
        <v>764.41193582037283</v>
      </c>
      <c r="AM103" s="59">
        <f t="shared" si="59"/>
        <v>1057.7452691537062</v>
      </c>
      <c r="AN103" s="59">
        <f ca="1">AVERAGE(OFFSET($AM$3,0,0,'Données projet'!$E$10+1,1))-AVERAGE(OFFSET($H$3,0,0,'Données projet'!$E$10+1,1))</f>
        <v>382.55387448074327</v>
      </c>
      <c r="AO103" s="59">
        <f t="shared" si="90"/>
        <v>476.29465646955543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44.258467933076531</v>
      </c>
      <c r="AV103" s="21">
        <f>EXP(-LN(2)/25)*AV102+(1-EXP(-LN(2)/25))/(LN(2)/25)*Calculateur!AQ103*Calculateur!AS103*VLOOKUP('Données projet'!$B$10,Paramètres!$A$1:$I$89,3,0)*0.475*44/12</f>
        <v>3.1499181409932002</v>
      </c>
      <c r="AW103" s="21">
        <f>EXP(-LN(2)/2)*AW102+(1-EXP(-LN(2)/2))/(LN(2)/2)*AQ103*AT103*VLOOKUP('Données projet'!$B$10,Paramètres!$A$1:$I$89,3,0)*0.475*44/12</f>
        <v>1.7583943090705082E-10</v>
      </c>
      <c r="AX103" s="21">
        <f t="shared" si="60"/>
        <v>47.40838607424557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282</v>
      </c>
      <c r="BB103" s="12">
        <f>VLOOKUP(A103,'Données projet'!$A$87:$I$107,9,0)</f>
        <v>4.8</v>
      </c>
      <c r="BC103" s="12">
        <f t="array" ref="BC103">INDEX(BB:BB,MIN(IF(ISNUMBER(BB103:BB299),ROW(BB103:BB299),"")))</f>
        <v>4.8</v>
      </c>
      <c r="BD103" s="12">
        <f>IF('Données projet'!$A$88&gt;35,BD102+BC103-BL102,IF(A103&lt;'Données projet'!$A$88,$BA$205^A103,IF(A103='Données projet'!$A$88,'Données projet'!$B$88,BD102+BC103-BL102)))</f>
        <v>281.99999999999989</v>
      </c>
      <c r="BE103" s="13">
        <f>BD103*VLOOKUP('Données projet'!$B$11,Paramètres!$A$1:$I$89,3,0)*VLOOKUP('Données projet'!$B$11,Paramètres!$A$1:$I$89,5,0)</f>
        <v>285.94799999999992</v>
      </c>
      <c r="BF103" s="13">
        <f t="shared" si="91"/>
        <v>68.222450362989363</v>
      </c>
      <c r="BG103" s="20">
        <f t="shared" si="61"/>
        <v>616.84686771553959</v>
      </c>
      <c r="BH103" s="59">
        <f t="shared" si="62"/>
        <v>910.18020104887296</v>
      </c>
      <c r="BI103" s="59">
        <f ca="1">AVERAGE(OFFSET($BH$3,0,0,'Données projet'!$E$11+1,1))-AVERAGE(OFFSET($H$3,0,0,'Données projet'!$E$11+1,1))</f>
        <v>308.80022073574963</v>
      </c>
      <c r="BJ103" s="59">
        <f t="shared" si="92"/>
        <v>183.96267407004115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21</v>
      </c>
      <c r="BM103" s="16">
        <f>IF(ISNA(VLOOKUP(A103,'Données projet'!$A$87:$I$107,5,0)),0%,VLOOKUP(A103,'Données projet'!$A$87:$I$107,5,0)*VLOOKUP('Données projet'!$B$11,Paramètres!$A$1:$I$89,7,0))</f>
        <v>0.43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80.525120754305007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80.525120754305007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795.00000000000068</v>
      </c>
      <c r="O104" s="13">
        <f>N104*VLOOKUP('Données projet'!$B$9,Paramètres!$A$1:$I$89,3,0)*VLOOKUP('Données projet'!$B$9,Paramètres!$A$1:$I$89,5,0)</f>
        <v>372.06000000000029</v>
      </c>
      <c r="P104" s="13">
        <f t="shared" si="87"/>
        <v>86.088609967897526</v>
      </c>
      <c r="Q104" s="20">
        <f t="shared" si="107"/>
        <v>797.94216236075533</v>
      </c>
      <c r="R104" s="59">
        <f t="shared" si="55"/>
        <v>1091.2754956940887</v>
      </c>
      <c r="S104" s="59">
        <f ca="1">AVERAGE(OFFSET($R$3,0,0,'Données projet'!$E$9+1,1))-AVERAGE(OFFSET($H$3,0,0,'Données projet'!$E$9+1,1))</f>
        <v>379.12827535040157</v>
      </c>
      <c r="T104" s="59">
        <f t="shared" si="88"/>
        <v>317.29813413796956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84.8263435204193</v>
      </c>
      <c r="AA104" s="21">
        <f>EXP(-LN(2)/25)*AA103+(1-EXP(-LN(2)/25))/(LN(2)/25)*Calculateur!V104*Calculateur!X104*VLOOKUP('Données projet'!$B$9,Paramètres!$A$1:$I$89,3,0)*0.475*44/12</f>
        <v>6.2196485562708448</v>
      </c>
      <c r="AB104" s="21">
        <f>EXP(-LN(2)/2)*AB103+(1-EXP(-LN(2)/2))/(LN(2)/2)*V104*Y104*VLOOKUP('Données projet'!$B$9,Paramètres!$A$1:$I$89,3,0)*0.475*44/12</f>
        <v>8.8601263635335659E-12</v>
      </c>
      <c r="AC104" s="22">
        <f t="shared" si="57"/>
        <v>91.045992076698994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636.99999999999977</v>
      </c>
      <c r="AJ104" s="13">
        <f>AI104*VLOOKUP('Données projet'!$B$10,Paramètres!$A$1:$I$89,3,0)*VLOOKUP('Données projet'!$B$10,Paramètres!$A$1:$I$89,5,0)</f>
        <v>356.08299999999991</v>
      </c>
      <c r="AK104" s="13">
        <f t="shared" si="89"/>
        <v>82.813805255716545</v>
      </c>
      <c r="AL104" s="20">
        <f t="shared" si="58"/>
        <v>764.41193582037283</v>
      </c>
      <c r="AM104" s="59">
        <f t="shared" si="59"/>
        <v>1057.7452691537062</v>
      </c>
      <c r="AN104" s="59">
        <f ca="1">AVERAGE(OFFSET($AM$3,0,0,'Données projet'!$E$10+1,1))-AVERAGE(OFFSET($H$3,0,0,'Données projet'!$E$10+1,1))</f>
        <v>382.55387448074327</v>
      </c>
      <c r="AO104" s="59">
        <f t="shared" si="90"/>
        <v>476.29465646955543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43.390586371908803</v>
      </c>
      <c r="AV104" s="21">
        <f>EXP(-LN(2)/25)*AV103+(1-EXP(-LN(2)/25))/(LN(2)/25)*Calculateur!AQ104*Calculateur!AS104*VLOOKUP('Données projet'!$B$10,Paramètres!$A$1:$I$89,3,0)*0.475*44/12</f>
        <v>3.0637834637807453</v>
      </c>
      <c r="AW104" s="21">
        <f>EXP(-LN(2)/2)*AW103+(1-EXP(-LN(2)/2))/(LN(2)/2)*AQ104*AT104*VLOOKUP('Données projet'!$B$10,Paramètres!$A$1:$I$89,3,0)*0.475*44/12</f>
        <v>1.2433725399435903E-10</v>
      </c>
      <c r="AX104" s="21">
        <f t="shared" si="60"/>
        <v>46.454369835813885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4.5999999999999996</v>
      </c>
      <c r="BD104" s="12">
        <f>IF('Données projet'!$A$88&gt;35,BD103+BC104-BL103,IF(A104&lt;'Données projet'!$A$88,$BA$205^A104,IF(A104='Données projet'!$A$88,'Données projet'!$B$88,BD103+BC104-BL103)))</f>
        <v>265.59999999999991</v>
      </c>
      <c r="BE104" s="13">
        <f>BD104*VLOOKUP('Données projet'!$B$11,Paramètres!$A$1:$I$89,3,0)*VLOOKUP('Données projet'!$B$11,Paramètres!$A$1:$I$89,5,0)</f>
        <v>269.31839999999994</v>
      </c>
      <c r="BF104" s="13">
        <f t="shared" si="91"/>
        <v>64.70459529265311</v>
      </c>
      <c r="BG104" s="20">
        <f t="shared" si="61"/>
        <v>581.75671680137077</v>
      </c>
      <c r="BH104" s="59">
        <f t="shared" si="62"/>
        <v>875.09005013470414</v>
      </c>
      <c r="BI104" s="59">
        <f ca="1">AVERAGE(OFFSET($BH$3,0,0,'Données projet'!$E$11+1,1))-AVERAGE(OFFSET($H$3,0,0,'Données projet'!$E$11+1,1))</f>
        <v>308.80022073574963</v>
      </c>
      <c r="BJ104" s="59">
        <f t="shared" si="92"/>
        <v>183.96267407004115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78.946072251787001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78.946072251787001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795.00000000000068</v>
      </c>
      <c r="O105" s="13">
        <f>N105*VLOOKUP('Données projet'!$B$9,Paramètres!$A$1:$I$89,3,0)*VLOOKUP('Données projet'!$B$9,Paramètres!$A$1:$I$89,5,0)</f>
        <v>372.06000000000029</v>
      </c>
      <c r="P105" s="13">
        <f t="shared" si="87"/>
        <v>86.088609967897526</v>
      </c>
      <c r="Q105" s="20">
        <f t="shared" si="107"/>
        <v>797.94216236075533</v>
      </c>
      <c r="R105" s="59">
        <f t="shared" si="55"/>
        <v>1091.2754956940887</v>
      </c>
      <c r="S105" s="59">
        <f ca="1">AVERAGE(OFFSET($R$3,0,0,'Données projet'!$E$9+1,1))-AVERAGE(OFFSET($H$3,0,0,'Données projet'!$E$9+1,1))</f>
        <v>379.12827535040157</v>
      </c>
      <c r="T105" s="59">
        <f t="shared" si="88"/>
        <v>317.29813413796956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83.162950662944624</v>
      </c>
      <c r="AA105" s="21">
        <f>EXP(-LN(2)/25)*AA104+(1-EXP(-LN(2)/25))/(LN(2)/25)*Calculateur!V105*Calculateur!X105*VLOOKUP('Données projet'!$B$9,Paramètres!$A$1:$I$89,3,0)*0.475*44/12</f>
        <v>6.049571939422516</v>
      </c>
      <c r="AB105" s="21">
        <f>EXP(-LN(2)/2)*AB104+(1-EXP(-LN(2)/2))/(LN(2)/2)*V105*Y105*VLOOKUP('Données projet'!$B$9,Paramètres!$A$1:$I$89,3,0)*0.475*44/12</f>
        <v>6.2650554338242902E-12</v>
      </c>
      <c r="AC105" s="22">
        <f t="shared" si="57"/>
        <v>89.212522602373411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636.99999999999977</v>
      </c>
      <c r="AJ105" s="13">
        <f>AI105*VLOOKUP('Données projet'!$B$10,Paramètres!$A$1:$I$89,3,0)*VLOOKUP('Données projet'!$B$10,Paramètres!$A$1:$I$89,5,0)</f>
        <v>356.08299999999991</v>
      </c>
      <c r="AK105" s="13">
        <f t="shared" si="89"/>
        <v>82.813805255716545</v>
      </c>
      <c r="AL105" s="20">
        <f t="shared" si="58"/>
        <v>764.41193582037283</v>
      </c>
      <c r="AM105" s="59">
        <f t="shared" si="59"/>
        <v>1057.7452691537062</v>
      </c>
      <c r="AN105" s="59">
        <f ca="1">AVERAGE(OFFSET($AM$3,0,0,'Données projet'!$E$10+1,1))-AVERAGE(OFFSET($H$3,0,0,'Données projet'!$E$10+1,1))</f>
        <v>382.55387448074327</v>
      </c>
      <c r="AO105" s="59">
        <f t="shared" si="90"/>
        <v>476.29465646955543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42.539723438800095</v>
      </c>
      <c r="AV105" s="21">
        <f>EXP(-LN(2)/25)*AV104+(1-EXP(-LN(2)/25))/(LN(2)/25)*Calculateur!AQ105*Calculateur!AS105*VLOOKUP('Données projet'!$B$10,Paramètres!$A$1:$I$89,3,0)*0.475*44/12</f>
        <v>2.980004143846291</v>
      </c>
      <c r="AW105" s="21">
        <f>EXP(-LN(2)/2)*AW104+(1-EXP(-LN(2)/2))/(LN(2)/2)*AQ105*AT105*VLOOKUP('Données projet'!$B$10,Paramètres!$A$1:$I$89,3,0)*0.475*44/12</f>
        <v>8.7919715453525412E-11</v>
      </c>
      <c r="AX105" s="21">
        <f t="shared" si="60"/>
        <v>45.519727582734312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4.5999999999999996</v>
      </c>
      <c r="BD105" s="12">
        <f>IF('Données projet'!$A$88&gt;35,BD104+BC105-BL104,IF(A105&lt;'Données projet'!$A$88,$BA$205^A105,IF(A105='Données projet'!$A$88,'Données projet'!$B$88,BD104+BC105-BL104)))</f>
        <v>270.19999999999993</v>
      </c>
      <c r="BE105" s="13">
        <f>BD105*VLOOKUP('Données projet'!$B$11,Paramètres!$A$1:$I$89,3,0)*VLOOKUP('Données projet'!$B$11,Paramètres!$A$1:$I$89,5,0)</f>
        <v>273.98279999999994</v>
      </c>
      <c r="BF105" s="13">
        <f t="shared" si="91"/>
        <v>65.693798259477774</v>
      </c>
      <c r="BG105" s="20">
        <f t="shared" si="61"/>
        <v>591.6034086352571</v>
      </c>
      <c r="BH105" s="59">
        <f t="shared" si="62"/>
        <v>884.93674196859047</v>
      </c>
      <c r="BI105" s="59">
        <f ca="1">AVERAGE(OFFSET($BH$3,0,0,'Données projet'!$E$11+1,1))-AVERAGE(OFFSET($H$3,0,0,'Données projet'!$E$11+1,1))</f>
        <v>308.80022073574963</v>
      </c>
      <c r="BJ105" s="59">
        <f t="shared" si="92"/>
        <v>183.96267407004115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77.397987927278876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77.397987927278876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795.00000000000068</v>
      </c>
      <c r="O106" s="13">
        <f>N106*VLOOKUP('Données projet'!$B$9,Paramètres!$A$1:$I$89,3,0)*VLOOKUP('Données projet'!$B$9,Paramètres!$A$1:$I$89,5,0)</f>
        <v>372.06000000000029</v>
      </c>
      <c r="P106" s="13">
        <f t="shared" si="87"/>
        <v>86.088609967897526</v>
      </c>
      <c r="Q106" s="20">
        <f t="shared" si="107"/>
        <v>797.94216236075533</v>
      </c>
      <c r="R106" s="59">
        <f t="shared" si="55"/>
        <v>1091.2754956940887</v>
      </c>
      <c r="S106" s="59">
        <f ca="1">AVERAGE(OFFSET($R$3,0,0,'Données projet'!$E$9+1,1))-AVERAGE(OFFSET($H$3,0,0,'Données projet'!$E$9+1,1))</f>
        <v>379.12827535040157</v>
      </c>
      <c r="T106" s="59">
        <f t="shared" si="88"/>
        <v>317.29813413796956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81.53217592483557</v>
      </c>
      <c r="AA106" s="21">
        <f>EXP(-LN(2)/25)*AA105+(1-EXP(-LN(2)/25))/(LN(2)/25)*Calculateur!V106*Calculateur!X106*VLOOKUP('Données projet'!$B$9,Paramètres!$A$1:$I$89,3,0)*0.475*44/12</f>
        <v>5.8841460766058455</v>
      </c>
      <c r="AB106" s="21">
        <f>EXP(-LN(2)/2)*AB105+(1-EXP(-LN(2)/2))/(LN(2)/2)*V106*Y106*VLOOKUP('Données projet'!$B$9,Paramètres!$A$1:$I$89,3,0)*0.475*44/12</f>
        <v>4.4300631817667829E-12</v>
      </c>
      <c r="AC106" s="22">
        <f t="shared" si="57"/>
        <v>87.416322001445849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636.99999999999977</v>
      </c>
      <c r="AJ106" s="13">
        <f>AI106*VLOOKUP('Données projet'!$B$10,Paramètres!$A$1:$I$89,3,0)*VLOOKUP('Données projet'!$B$10,Paramètres!$A$1:$I$89,5,0)</f>
        <v>356.08299999999991</v>
      </c>
      <c r="AK106" s="13">
        <f t="shared" si="89"/>
        <v>82.813805255716545</v>
      </c>
      <c r="AL106" s="20">
        <f t="shared" si="58"/>
        <v>764.41193582037283</v>
      </c>
      <c r="AM106" s="59">
        <f t="shared" si="59"/>
        <v>1057.7452691537062</v>
      </c>
      <c r="AN106" s="59">
        <f ca="1">AVERAGE(OFFSET($AM$3,0,0,'Données projet'!$E$10+1,1))-AVERAGE(OFFSET($H$3,0,0,'Données projet'!$E$10+1,1))</f>
        <v>382.55387448074327</v>
      </c>
      <c r="AO106" s="59">
        <f t="shared" si="90"/>
        <v>476.29465646955543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41.705545408834503</v>
      </c>
      <c r="AV106" s="21">
        <f>EXP(-LN(2)/25)*AV105+(1-EXP(-LN(2)/25))/(LN(2)/25)*Calculateur!AQ106*Calculateur!AS106*VLOOKUP('Données projet'!$B$10,Paramètres!$A$1:$I$89,3,0)*0.475*44/12</f>
        <v>2.8985157738212073</v>
      </c>
      <c r="AW106" s="21">
        <f>EXP(-LN(2)/2)*AW105+(1-EXP(-LN(2)/2))/(LN(2)/2)*AQ106*AT106*VLOOKUP('Données projet'!$B$10,Paramètres!$A$1:$I$89,3,0)*0.475*44/12</f>
        <v>6.2168626997179514E-11</v>
      </c>
      <c r="AX106" s="21">
        <f t="shared" si="60"/>
        <v>44.604061182717878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4.5999999999999996</v>
      </c>
      <c r="BD106" s="12">
        <f>IF('Données projet'!$A$88&gt;35,BD105+BC106-BL105,IF(A106&lt;'Données projet'!$A$88,$BA$205^A106,IF(A106='Données projet'!$A$88,'Données projet'!$B$88,BD105+BC106-BL105)))</f>
        <v>274.79999999999995</v>
      </c>
      <c r="BE106" s="13">
        <f>BD106*VLOOKUP('Données projet'!$B$11,Paramètres!$A$1:$I$89,3,0)*VLOOKUP('Données projet'!$B$11,Paramètres!$A$1:$I$89,5,0)</f>
        <v>278.6472</v>
      </c>
      <c r="BF106" s="13">
        <f t="shared" si="91"/>
        <v>66.681042819901123</v>
      </c>
      <c r="BG106" s="20">
        <f t="shared" si="61"/>
        <v>601.44668957799445</v>
      </c>
      <c r="BH106" s="59">
        <f t="shared" si="62"/>
        <v>894.78002291132771</v>
      </c>
      <c r="BI106" s="59">
        <f ca="1">AVERAGE(OFFSET($BH$3,0,0,'Données projet'!$E$11+1,1))-AVERAGE(OFFSET($H$3,0,0,'Données projet'!$E$11+1,1))</f>
        <v>308.80022073574963</v>
      </c>
      <c r="BJ106" s="59">
        <f t="shared" si="92"/>
        <v>183.96267407004115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75.880260592136153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75.880260592136153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795.00000000000068</v>
      </c>
      <c r="O107" s="13">
        <f>N107*VLOOKUP('Données projet'!$B$9,Paramètres!$A$1:$I$89,3,0)*VLOOKUP('Données projet'!$B$9,Paramètres!$A$1:$I$89,5,0)</f>
        <v>372.06000000000029</v>
      </c>
      <c r="P107" s="13">
        <f t="shared" si="87"/>
        <v>86.088609967897526</v>
      </c>
      <c r="Q107" s="20">
        <f t="shared" si="107"/>
        <v>797.94216236075533</v>
      </c>
      <c r="R107" s="59">
        <f t="shared" si="55"/>
        <v>1091.2754956940887</v>
      </c>
      <c r="S107" s="59">
        <f ca="1">AVERAGE(OFFSET($R$3,0,0,'Données projet'!$E$9+1,1))-AVERAGE(OFFSET($H$3,0,0,'Données projet'!$E$9+1,1))</f>
        <v>379.12827535040157</v>
      </c>
      <c r="T107" s="59">
        <f t="shared" si="88"/>
        <v>317.29813413796956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79.933379684666463</v>
      </c>
      <c r="AA107" s="21">
        <f>EXP(-LN(2)/25)*AA106+(1-EXP(-LN(2)/25))/(LN(2)/25)*Calculateur!V107*Calculateur!X107*VLOOKUP('Données projet'!$B$9,Paramètres!$A$1:$I$89,3,0)*0.475*44/12</f>
        <v>5.7232437927072652</v>
      </c>
      <c r="AB107" s="21">
        <f>EXP(-LN(2)/2)*AB106+(1-EXP(-LN(2)/2))/(LN(2)/2)*V107*Y107*VLOOKUP('Données projet'!$B$9,Paramètres!$A$1:$I$89,3,0)*0.475*44/12</f>
        <v>3.1325277169121451E-12</v>
      </c>
      <c r="AC107" s="22">
        <f t="shared" si="57"/>
        <v>85.656623477376854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636.99999999999977</v>
      </c>
      <c r="AJ107" s="13">
        <f>AI107*VLOOKUP('Données projet'!$B$10,Paramètres!$A$1:$I$89,3,0)*VLOOKUP('Données projet'!$B$10,Paramètres!$A$1:$I$89,5,0)</f>
        <v>356.08299999999991</v>
      </c>
      <c r="AK107" s="13">
        <f t="shared" si="89"/>
        <v>82.813805255716545</v>
      </c>
      <c r="AL107" s="20">
        <f t="shared" si="58"/>
        <v>764.41193582037283</v>
      </c>
      <c r="AM107" s="59">
        <f t="shared" si="59"/>
        <v>1057.7452691537062</v>
      </c>
      <c r="AN107" s="59">
        <f ca="1">AVERAGE(OFFSET($AM$3,0,0,'Données projet'!$E$10+1,1))-AVERAGE(OFFSET($H$3,0,0,'Données projet'!$E$10+1,1))</f>
        <v>382.55387448074327</v>
      </c>
      <c r="AO107" s="59">
        <f t="shared" si="90"/>
        <v>476.29465646955543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40.887725101238175</v>
      </c>
      <c r="AV107" s="21">
        <f>EXP(-LN(2)/25)*AV106+(1-EXP(-LN(2)/25))/(LN(2)/25)*Calculateur!AQ107*Calculateur!AS107*VLOOKUP('Données projet'!$B$10,Paramètres!$A$1:$I$89,3,0)*0.475*44/12</f>
        <v>2.8192557075597464</v>
      </c>
      <c r="AW107" s="21">
        <f>EXP(-LN(2)/2)*AW106+(1-EXP(-LN(2)/2))/(LN(2)/2)*AQ107*AT107*VLOOKUP('Données projet'!$B$10,Paramètres!$A$1:$I$89,3,0)*0.475*44/12</f>
        <v>4.3959857726762706E-11</v>
      </c>
      <c r="AX107" s="21">
        <f t="shared" si="60"/>
        <v>43.706980808841884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4.5999999999999996</v>
      </c>
      <c r="BD107" s="12">
        <f>IF('Données projet'!$A$88&gt;35,BD106+BC107-BL106,IF(A107&lt;'Données projet'!$A$88,$BA$205^A107,IF(A107='Données projet'!$A$88,'Données projet'!$B$88,BD106+BC107-BL106)))</f>
        <v>279.39999999999998</v>
      </c>
      <c r="BE107" s="13">
        <f>BD107*VLOOKUP('Données projet'!$B$11,Paramètres!$A$1:$I$89,3,0)*VLOOKUP('Données projet'!$B$11,Paramètres!$A$1:$I$89,5,0)</f>
        <v>283.3116</v>
      </c>
      <c r="BF107" s="13">
        <f t="shared" si="91"/>
        <v>67.666365540271272</v>
      </c>
      <c r="BG107" s="20">
        <f t="shared" si="61"/>
        <v>611.28662331597241</v>
      </c>
      <c r="BH107" s="59">
        <f t="shared" si="62"/>
        <v>904.61995664930578</v>
      </c>
      <c r="BI107" s="59">
        <f ca="1">AVERAGE(OFFSET($BH$3,0,0,'Données projet'!$E$11+1,1))-AVERAGE(OFFSET($H$3,0,0,'Données projet'!$E$11+1,1))</f>
        <v>308.80022073574963</v>
      </c>
      <c r="BJ107" s="59">
        <f t="shared" si="92"/>
        <v>183.96267407004115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74.392294964313322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74.392294964313322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795.00000000000068</v>
      </c>
      <c r="O108" s="13">
        <f>N108*VLOOKUP('Données projet'!$B$9,Paramètres!$A$1:$I$89,3,0)*VLOOKUP('Données projet'!$B$9,Paramètres!$A$1:$I$89,5,0)</f>
        <v>372.06000000000029</v>
      </c>
      <c r="P108" s="13">
        <f t="shared" si="87"/>
        <v>86.088609967897526</v>
      </c>
      <c r="Q108" s="20">
        <f t="shared" si="107"/>
        <v>797.94216236075533</v>
      </c>
      <c r="R108" s="59">
        <f t="shared" si="55"/>
        <v>1091.2754956940887</v>
      </c>
      <c r="S108" s="59">
        <f ca="1">AVERAGE(OFFSET($R$3,0,0,'Données projet'!$E$9+1,1))-AVERAGE(OFFSET($H$3,0,0,'Données projet'!$E$9+1,1))</f>
        <v>379.12827535040157</v>
      </c>
      <c r="T108" s="59">
        <f t="shared" si="88"/>
        <v>317.29813413796956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78.365934863597644</v>
      </c>
      <c r="AA108" s="21">
        <f>EXP(-LN(2)/25)*AA107+(1-EXP(-LN(2)/25))/(LN(2)/25)*Calculateur!V108*Calculateur!X108*VLOOKUP('Données projet'!$B$9,Paramètres!$A$1:$I$89,3,0)*0.475*44/12</f>
        <v>5.5667413902233749</v>
      </c>
      <c r="AB108" s="21">
        <f>EXP(-LN(2)/2)*AB107+(1-EXP(-LN(2)/2))/(LN(2)/2)*V108*Y108*VLOOKUP('Données projet'!$B$9,Paramètres!$A$1:$I$89,3,0)*0.475*44/12</f>
        <v>2.2150315908833915E-12</v>
      </c>
      <c r="AC108" s="22">
        <f t="shared" si="57"/>
        <v>83.932676253823232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636.99999999999977</v>
      </c>
      <c r="AJ108" s="13">
        <f>AI108*VLOOKUP('Données projet'!$B$10,Paramètres!$A$1:$I$89,3,0)*VLOOKUP('Données projet'!$B$10,Paramètres!$A$1:$I$89,5,0)</f>
        <v>356.08299999999991</v>
      </c>
      <c r="AK108" s="13">
        <f t="shared" si="89"/>
        <v>82.813805255716545</v>
      </c>
      <c r="AL108" s="20">
        <f t="shared" si="58"/>
        <v>764.41193582037283</v>
      </c>
      <c r="AM108" s="59">
        <f t="shared" si="59"/>
        <v>1057.7452691537062</v>
      </c>
      <c r="AN108" s="59">
        <f ca="1">AVERAGE(OFFSET($AM$3,0,0,'Données projet'!$E$10+1,1))-AVERAGE(OFFSET($H$3,0,0,'Données projet'!$E$10+1,1))</f>
        <v>382.55387448074327</v>
      </c>
      <c r="AO108" s="59">
        <f t="shared" si="90"/>
        <v>476.29465646955543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40.08594175105268</v>
      </c>
      <c r="AV108" s="21">
        <f>EXP(-LN(2)/25)*AV107+(1-EXP(-LN(2)/25))/(LN(2)/25)*Calculateur!AQ108*Calculateur!AS108*VLOOKUP('Données projet'!$B$10,Paramètres!$A$1:$I$89,3,0)*0.475*44/12</f>
        <v>2.7421630119783109</v>
      </c>
      <c r="AW108" s="21">
        <f>EXP(-LN(2)/2)*AW107+(1-EXP(-LN(2)/2))/(LN(2)/2)*AQ108*AT108*VLOOKUP('Données projet'!$B$10,Paramètres!$A$1:$I$89,3,0)*0.475*44/12</f>
        <v>3.1084313498589757E-11</v>
      </c>
      <c r="AX108" s="21">
        <f t="shared" si="60"/>
        <v>42.828104763062079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284</v>
      </c>
      <c r="BB108" s="12">
        <f>VLOOKUP(A108,'Données projet'!$A$87:$I$107,9,0)</f>
        <v>4.5999999999999996</v>
      </c>
      <c r="BC108" s="12">
        <f t="array" ref="BC108">INDEX(BB:BB,MIN(IF(ISNUMBER(BB108:BB304),ROW(BB108:BB304),"")))</f>
        <v>4.5999999999999996</v>
      </c>
      <c r="BD108" s="12">
        <f>IF('Données projet'!$A$88&gt;35,BD107+BC108-BL107,IF(A108&lt;'Données projet'!$A$88,$BA$205^A108,IF(A108='Données projet'!$A$88,'Données projet'!$B$88,BD107+BC108-BL107)))</f>
        <v>284</v>
      </c>
      <c r="BE108" s="13">
        <f>BD108*VLOOKUP('Données projet'!$B$11,Paramètres!$A$1:$I$89,3,0)*VLOOKUP('Données projet'!$B$11,Paramètres!$A$1:$I$89,5,0)</f>
        <v>287.976</v>
      </c>
      <c r="BF108" s="13">
        <f t="shared" si="91"/>
        <v>68.649801713863141</v>
      </c>
      <c r="BG108" s="20">
        <f t="shared" si="61"/>
        <v>621.12327131831159</v>
      </c>
      <c r="BH108" s="59">
        <f t="shared" si="62"/>
        <v>914.45660465164497</v>
      </c>
      <c r="BI108" s="59">
        <f ca="1">AVERAGE(OFFSET($BH$3,0,0,'Données projet'!$E$11+1,1))-AVERAGE(OFFSET($H$3,0,0,'Données projet'!$E$11+1,1))</f>
        <v>308.80022073574963</v>
      </c>
      <c r="BJ108" s="59">
        <f t="shared" si="92"/>
        <v>183.96267407004115</v>
      </c>
      <c r="BK108" s="15">
        <f>IF(ISNA(VLOOKUP(A108,'Données projet'!$A$87:$I$107,3,0)),0,VLOOKUP(A108,'Données projet'!$A$87:$I$107,3,0))</f>
        <v>17</v>
      </c>
      <c r="BL108" s="15">
        <f>IF(ISNA(VLOOKUP(A108,'Données projet'!$A$87:$I$107,4,0)),0,VLOOKUP(A108,'Données projet'!$A$87:$I$107,4,0))</f>
        <v>20</v>
      </c>
      <c r="BM108" s="16">
        <f>IF(ISNA(VLOOKUP(A108,'Données projet'!$A$87:$I$107,5,0)),0%,VLOOKUP(A108,'Données projet'!$A$87:$I$107,5,0)*VLOOKUP('Données projet'!$B$11,Paramètres!$A$1:$I$89,7,0))</f>
        <v>0.43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82.573651332561809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82.573651332561809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795.00000000000068</v>
      </c>
      <c r="O109" s="13">
        <f>N109*VLOOKUP('Données projet'!$B$9,Paramètres!$A$1:$I$89,3,0)*VLOOKUP('Données projet'!$B$9,Paramètres!$A$1:$I$89,5,0)</f>
        <v>372.06000000000029</v>
      </c>
      <c r="P109" s="13">
        <f t="shared" si="87"/>
        <v>86.088609967897526</v>
      </c>
      <c r="Q109" s="20">
        <f t="shared" si="107"/>
        <v>797.94216236075533</v>
      </c>
      <c r="R109" s="59">
        <f t="shared" si="55"/>
        <v>1091.2754956940887</v>
      </c>
      <c r="S109" s="59">
        <f ca="1">AVERAGE(OFFSET($R$3,0,0,'Données projet'!$E$9+1,1))-AVERAGE(OFFSET($H$3,0,0,'Données projet'!$E$9+1,1))</f>
        <v>379.12827535040157</v>
      </c>
      <c r="T109" s="59">
        <f t="shared" si="88"/>
        <v>317.29813413796956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76.829226679423044</v>
      </c>
      <c r="AA109" s="21">
        <f>EXP(-LN(2)/25)*AA108+(1-EXP(-LN(2)/25))/(LN(2)/25)*Calculateur!V109*Calculateur!X109*VLOOKUP('Données projet'!$B$9,Paramètres!$A$1:$I$89,3,0)*0.475*44/12</f>
        <v>5.4145185541655101</v>
      </c>
      <c r="AB109" s="21">
        <f>EXP(-LN(2)/2)*AB108+(1-EXP(-LN(2)/2))/(LN(2)/2)*V109*Y109*VLOOKUP('Données projet'!$B$9,Paramètres!$A$1:$I$89,3,0)*0.475*44/12</f>
        <v>1.5662638584560726E-12</v>
      </c>
      <c r="AC109" s="22">
        <f t="shared" si="57"/>
        <v>82.243745233590118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636.99999999999977</v>
      </c>
      <c r="AJ109" s="13">
        <f>AI109*VLOOKUP('Données projet'!$B$10,Paramètres!$A$1:$I$89,3,0)*VLOOKUP('Données projet'!$B$10,Paramètres!$A$1:$I$89,5,0)</f>
        <v>356.08299999999991</v>
      </c>
      <c r="AK109" s="13">
        <f t="shared" si="89"/>
        <v>82.813805255716545</v>
      </c>
      <c r="AL109" s="20">
        <f t="shared" si="58"/>
        <v>764.41193582037283</v>
      </c>
      <c r="AM109" s="59">
        <f t="shared" si="59"/>
        <v>1057.7452691537062</v>
      </c>
      <c r="AN109" s="59">
        <f ca="1">AVERAGE(OFFSET($AM$3,0,0,'Données projet'!$E$10+1,1))-AVERAGE(OFFSET($H$3,0,0,'Données projet'!$E$10+1,1))</f>
        <v>382.55387448074327</v>
      </c>
      <c r="AO109" s="59">
        <f t="shared" si="90"/>
        <v>476.29465646955543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39.299880883324768</v>
      </c>
      <c r="AV109" s="21">
        <f>EXP(-LN(2)/25)*AV108+(1-EXP(-LN(2)/25))/(LN(2)/25)*Calculateur!AQ109*Calculateur!AS109*VLOOKUP('Données projet'!$B$10,Paramètres!$A$1:$I$89,3,0)*0.475*44/12</f>
        <v>2.6671784202116786</v>
      </c>
      <c r="AW109" s="21">
        <f>EXP(-LN(2)/2)*AW108+(1-EXP(-LN(2)/2))/(LN(2)/2)*AQ109*AT109*VLOOKUP('Données projet'!$B$10,Paramètres!$A$1:$I$89,3,0)*0.475*44/12</f>
        <v>2.1979928863381353E-11</v>
      </c>
      <c r="AX109" s="21">
        <f t="shared" si="60"/>
        <v>41.967059303558422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4.2</v>
      </c>
      <c r="BD109" s="12">
        <f>IF('Données projet'!$A$88&gt;35,BD108+BC109-BL108,IF(A109&lt;'Données projet'!$A$88,$BA$205^A109,IF(A109='Données projet'!$A$88,'Données projet'!$B$88,BD108+BC109-BL108)))</f>
        <v>268.2</v>
      </c>
      <c r="BE109" s="13">
        <f>BD109*VLOOKUP('Données projet'!$B$11,Paramètres!$A$1:$I$89,3,0)*VLOOKUP('Données projet'!$B$11,Paramètres!$A$1:$I$89,5,0)</f>
        <v>271.95480000000003</v>
      </c>
      <c r="BF109" s="13">
        <f t="shared" si="91"/>
        <v>65.263952845017442</v>
      </c>
      <c r="BG109" s="20">
        <f t="shared" si="61"/>
        <v>587.322661205072</v>
      </c>
      <c r="BH109" s="59">
        <f t="shared" si="62"/>
        <v>880.65599453840537</v>
      </c>
      <c r="BI109" s="59">
        <f ca="1">AVERAGE(OFFSET($BH$3,0,0,'Données projet'!$E$11+1,1))-AVERAGE(OFFSET($H$3,0,0,'Données projet'!$E$11+1,1))</f>
        <v>308.80022073574963</v>
      </c>
      <c r="BJ109" s="59">
        <f t="shared" si="92"/>
        <v>183.96267407004115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80.954432394884464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80.954432394884464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795.00000000000068</v>
      </c>
      <c r="O110" s="13">
        <f>N110*VLOOKUP('Données projet'!$B$9,Paramètres!$A$1:$I$89,3,0)*VLOOKUP('Données projet'!$B$9,Paramètres!$A$1:$I$89,5,0)</f>
        <v>372.06000000000029</v>
      </c>
      <c r="P110" s="13">
        <f t="shared" si="87"/>
        <v>86.088609967897526</v>
      </c>
      <c r="Q110" s="20">
        <f t="shared" si="107"/>
        <v>797.94216236075533</v>
      </c>
      <c r="R110" s="59">
        <f t="shared" si="55"/>
        <v>1091.2754956940887</v>
      </c>
      <c r="S110" s="59">
        <f ca="1">AVERAGE(OFFSET($R$3,0,0,'Données projet'!$E$9+1,1))-AVERAGE(OFFSET($H$3,0,0,'Données projet'!$E$9+1,1))</f>
        <v>379.12827535040157</v>
      </c>
      <c r="T110" s="59">
        <f t="shared" si="88"/>
        <v>317.29813413796956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75.322652405440678</v>
      </c>
      <c r="AA110" s="21">
        <f>EXP(-LN(2)/25)*AA109+(1-EXP(-LN(2)/25))/(LN(2)/25)*Calculateur!V110*Calculateur!X110*VLOOKUP('Données projet'!$B$9,Paramètres!$A$1:$I$89,3,0)*0.475*44/12</f>
        <v>5.2664582595646987</v>
      </c>
      <c r="AB110" s="21">
        <f>EXP(-LN(2)/2)*AB109+(1-EXP(-LN(2)/2))/(LN(2)/2)*V110*Y110*VLOOKUP('Données projet'!$B$9,Paramètres!$A$1:$I$89,3,0)*0.475*44/12</f>
        <v>1.1075157954416957E-12</v>
      </c>
      <c r="AC110" s="22">
        <f t="shared" si="57"/>
        <v>80.589110665006487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636.99999999999977</v>
      </c>
      <c r="AJ110" s="13">
        <f>AI110*VLOOKUP('Données projet'!$B$10,Paramètres!$A$1:$I$89,3,0)*VLOOKUP('Données projet'!$B$10,Paramètres!$A$1:$I$89,5,0)</f>
        <v>356.08299999999991</v>
      </c>
      <c r="AK110" s="13">
        <f t="shared" si="89"/>
        <v>82.813805255716545</v>
      </c>
      <c r="AL110" s="20">
        <f t="shared" si="58"/>
        <v>764.41193582037283</v>
      </c>
      <c r="AM110" s="59">
        <f t="shared" si="59"/>
        <v>1057.7452691537062</v>
      </c>
      <c r="AN110" s="59">
        <f ca="1">AVERAGE(OFFSET($AM$3,0,0,'Données projet'!$E$10+1,1))-AVERAGE(OFFSET($H$3,0,0,'Données projet'!$E$10+1,1))</f>
        <v>382.55387448074327</v>
      </c>
      <c r="AO110" s="59">
        <f t="shared" si="90"/>
        <v>476.29465646955543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38.529234189763208</v>
      </c>
      <c r="AV110" s="21">
        <f>EXP(-LN(2)/25)*AV109+(1-EXP(-LN(2)/25))/(LN(2)/25)*Calculateur!AQ110*Calculateur!AS110*VLOOKUP('Données projet'!$B$10,Paramètres!$A$1:$I$89,3,0)*0.475*44/12</f>
        <v>2.5942442860501731</v>
      </c>
      <c r="AW110" s="21">
        <f>EXP(-LN(2)/2)*AW109+(1-EXP(-LN(2)/2))/(LN(2)/2)*AQ110*AT110*VLOOKUP('Données projet'!$B$10,Paramètres!$A$1:$I$89,3,0)*0.475*44/12</f>
        <v>1.5542156749294878E-11</v>
      </c>
      <c r="AX110" s="21">
        <f t="shared" si="60"/>
        <v>41.123478475828918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4.2</v>
      </c>
      <c r="BD110" s="12">
        <f>IF('Données projet'!$A$88&gt;35,BD109+BC110-BL109,IF(A110&lt;'Données projet'!$A$88,$BA$205^A110,IF(A110='Données projet'!$A$88,'Données projet'!$B$88,BD109+BC110-BL109)))</f>
        <v>272.39999999999998</v>
      </c>
      <c r="BE110" s="13">
        <f>BD110*VLOOKUP('Données projet'!$B$11,Paramètres!$A$1:$I$89,3,0)*VLOOKUP('Données projet'!$B$11,Paramètres!$A$1:$I$89,5,0)</f>
        <v>276.21359999999999</v>
      </c>
      <c r="BF110" s="13">
        <f t="shared" si="91"/>
        <v>66.166200760877473</v>
      </c>
      <c r="BG110" s="20">
        <f t="shared" si="61"/>
        <v>596.31148632519489</v>
      </c>
      <c r="BH110" s="59">
        <f t="shared" si="62"/>
        <v>889.64481965852815</v>
      </c>
      <c r="BI110" s="59">
        <f ca="1">AVERAGE(OFFSET($BH$3,0,0,'Données projet'!$E$11+1,1))-AVERAGE(OFFSET($H$3,0,0,'Données projet'!$E$11+1,1))</f>
        <v>308.80022073574963</v>
      </c>
      <c r="BJ110" s="59">
        <f t="shared" si="92"/>
        <v>183.96267407004115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79.366965352948938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79.366965352948938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795.00000000000068</v>
      </c>
      <c r="O111" s="13">
        <f>N111*VLOOKUP('Données projet'!$B$9,Paramètres!$A$1:$I$89,3,0)*VLOOKUP('Données projet'!$B$9,Paramètres!$A$1:$I$89,5,0)</f>
        <v>372.06000000000029</v>
      </c>
      <c r="P111" s="13">
        <f t="shared" si="87"/>
        <v>86.088609967897526</v>
      </c>
      <c r="Q111" s="20">
        <f t="shared" si="107"/>
        <v>797.94216236075533</v>
      </c>
      <c r="R111" s="59">
        <f t="shared" si="55"/>
        <v>1091.2754956940887</v>
      </c>
      <c r="S111" s="59">
        <f ca="1">AVERAGE(OFFSET($R$3,0,0,'Données projet'!$E$9+1,1))-AVERAGE(OFFSET($H$3,0,0,'Données projet'!$E$9+1,1))</f>
        <v>379.12827535040157</v>
      </c>
      <c r="T111" s="59">
        <f t="shared" si="88"/>
        <v>317.29813413796956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73.845621134051527</v>
      </c>
      <c r="AA111" s="21">
        <f>EXP(-LN(2)/25)*AA110+(1-EXP(-LN(2)/25))/(LN(2)/25)*Calculateur!V111*Calculateur!X111*VLOOKUP('Données projet'!$B$9,Paramètres!$A$1:$I$89,3,0)*0.475*44/12</f>
        <v>5.1224466815058989</v>
      </c>
      <c r="AB111" s="21">
        <f>EXP(-LN(2)/2)*AB110+(1-EXP(-LN(2)/2))/(LN(2)/2)*V111*Y111*VLOOKUP('Données projet'!$B$9,Paramètres!$A$1:$I$89,3,0)*0.475*44/12</f>
        <v>7.8313192922803628E-13</v>
      </c>
      <c r="AC111" s="22">
        <f t="shared" si="57"/>
        <v>78.9680678155582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636.99999999999977</v>
      </c>
      <c r="AJ111" s="13">
        <f>AI111*VLOOKUP('Données projet'!$B$10,Paramètres!$A$1:$I$89,3,0)*VLOOKUP('Données projet'!$B$10,Paramètres!$A$1:$I$89,5,0)</f>
        <v>356.08299999999991</v>
      </c>
      <c r="AK111" s="13">
        <f t="shared" si="89"/>
        <v>82.813805255716545</v>
      </c>
      <c r="AL111" s="20">
        <f t="shared" si="58"/>
        <v>764.41193582037283</v>
      </c>
      <c r="AM111" s="59">
        <f t="shared" si="59"/>
        <v>1057.7452691537062</v>
      </c>
      <c r="AN111" s="59">
        <f ca="1">AVERAGE(OFFSET($AM$3,0,0,'Données projet'!$E$10+1,1))-AVERAGE(OFFSET($H$3,0,0,'Données projet'!$E$10+1,1))</f>
        <v>382.55387448074327</v>
      </c>
      <c r="AO111" s="59">
        <f t="shared" si="90"/>
        <v>476.29465646955543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37.773699407814327</v>
      </c>
      <c r="AV111" s="21">
        <f>EXP(-LN(2)/25)*AV110+(1-EXP(-LN(2)/25))/(LN(2)/25)*Calculateur!AQ111*Calculateur!AS111*VLOOKUP('Données projet'!$B$10,Paramètres!$A$1:$I$89,3,0)*0.475*44/12</f>
        <v>2.5233045396227531</v>
      </c>
      <c r="AW111" s="21">
        <f>EXP(-LN(2)/2)*AW110+(1-EXP(-LN(2)/2))/(LN(2)/2)*AQ111*AT111*VLOOKUP('Données projet'!$B$10,Paramètres!$A$1:$I$89,3,0)*0.475*44/12</f>
        <v>1.0989964431690677E-11</v>
      </c>
      <c r="AX111" s="21">
        <f t="shared" si="60"/>
        <v>40.297003947448069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4.2</v>
      </c>
      <c r="BD111" s="12">
        <f>IF('Données projet'!$A$88&gt;35,BD110+BC111-BL110,IF(A111&lt;'Données projet'!$A$88,$BA$205^A111,IF(A111='Données projet'!$A$88,'Données projet'!$B$88,BD110+BC111-BL110)))</f>
        <v>276.59999999999997</v>
      </c>
      <c r="BE111" s="13">
        <f>BD111*VLOOKUP('Données projet'!$B$11,Paramètres!$A$1:$I$89,3,0)*VLOOKUP('Données projet'!$B$11,Paramètres!$A$1:$I$89,5,0)</f>
        <v>280.47239999999999</v>
      </c>
      <c r="BF111" s="13">
        <f t="shared" si="91"/>
        <v>67.066830784504006</v>
      </c>
      <c r="BG111" s="20">
        <f t="shared" si="61"/>
        <v>605.29749361634447</v>
      </c>
      <c r="BH111" s="59">
        <f t="shared" si="62"/>
        <v>898.63082694967784</v>
      </c>
      <c r="BI111" s="59">
        <f ca="1">AVERAGE(OFFSET($BH$3,0,0,'Données projet'!$E$11+1,1))-AVERAGE(OFFSET($H$3,0,0,'Données projet'!$E$11+1,1))</f>
        <v>308.80022073574963</v>
      </c>
      <c r="BJ111" s="59">
        <f t="shared" si="92"/>
        <v>183.96267407004115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77.810627571446474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77.810627571446474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795.00000000000068</v>
      </c>
      <c r="O112" s="13">
        <f>N112*VLOOKUP('Données projet'!$B$9,Paramètres!$A$1:$I$89,3,0)*VLOOKUP('Données projet'!$B$9,Paramètres!$A$1:$I$89,5,0)</f>
        <v>372.06000000000029</v>
      </c>
      <c r="P112" s="13">
        <f t="shared" si="87"/>
        <v>86.088609967897526</v>
      </c>
      <c r="Q112" s="20">
        <f t="shared" si="107"/>
        <v>797.94216236075533</v>
      </c>
      <c r="R112" s="59">
        <f t="shared" si="55"/>
        <v>1091.2754956940887</v>
      </c>
      <c r="S112" s="59">
        <f ca="1">AVERAGE(OFFSET($R$3,0,0,'Données projet'!$E$9+1,1))-AVERAGE(OFFSET($H$3,0,0,'Données projet'!$E$9+1,1))</f>
        <v>379.12827535040157</v>
      </c>
      <c r="T112" s="59">
        <f t="shared" si="88"/>
        <v>317.29813413796956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72.397553544994196</v>
      </c>
      <c r="AA112" s="21">
        <f>EXP(-LN(2)/25)*AA111+(1-EXP(-LN(2)/25))/(LN(2)/25)*Calculateur!V112*Calculateur!X112*VLOOKUP('Données projet'!$B$9,Paramètres!$A$1:$I$89,3,0)*0.475*44/12</f>
        <v>4.9823731076223563</v>
      </c>
      <c r="AB112" s="21">
        <f>EXP(-LN(2)/2)*AB111+(1-EXP(-LN(2)/2))/(LN(2)/2)*V112*Y112*VLOOKUP('Données projet'!$B$9,Paramètres!$A$1:$I$89,3,0)*0.475*44/12</f>
        <v>5.5375789772084787E-13</v>
      </c>
      <c r="AC112" s="22">
        <f t="shared" si="57"/>
        <v>77.379926652617101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636.99999999999977</v>
      </c>
      <c r="AJ112" s="13">
        <f>AI112*VLOOKUP('Données projet'!$B$10,Paramètres!$A$1:$I$89,3,0)*VLOOKUP('Données projet'!$B$10,Paramètres!$A$1:$I$89,5,0)</f>
        <v>356.08299999999991</v>
      </c>
      <c r="AK112" s="13">
        <f t="shared" si="89"/>
        <v>82.813805255716545</v>
      </c>
      <c r="AL112" s="20">
        <f t="shared" si="58"/>
        <v>764.41193582037283</v>
      </c>
      <c r="AM112" s="59">
        <f t="shared" si="59"/>
        <v>1057.7452691537062</v>
      </c>
      <c r="AN112" s="59">
        <f ca="1">AVERAGE(OFFSET($AM$3,0,0,'Données projet'!$E$10+1,1))-AVERAGE(OFFSET($H$3,0,0,'Données projet'!$E$10+1,1))</f>
        <v>382.55387448074327</v>
      </c>
      <c r="AO112" s="59">
        <f t="shared" si="90"/>
        <v>476.29465646955543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37.032980202108746</v>
      </c>
      <c r="AV112" s="21">
        <f>EXP(-LN(2)/25)*AV111+(1-EXP(-LN(2)/25))/(LN(2)/25)*Calculateur!AQ112*Calculateur!AS112*VLOOKUP('Données projet'!$B$10,Paramètres!$A$1:$I$89,3,0)*0.475*44/12</f>
        <v>2.4543046442919505</v>
      </c>
      <c r="AW112" s="21">
        <f>EXP(-LN(2)/2)*AW111+(1-EXP(-LN(2)/2))/(LN(2)/2)*AQ112*AT112*VLOOKUP('Données projet'!$B$10,Paramètres!$A$1:$I$89,3,0)*0.475*44/12</f>
        <v>7.7710783746474392E-12</v>
      </c>
      <c r="AX112" s="21">
        <f t="shared" si="60"/>
        <v>39.487284846408471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4.2</v>
      </c>
      <c r="BD112" s="12">
        <f>IF('Données projet'!$A$88&gt;35,BD111+BC112-BL111,IF(A112&lt;'Données projet'!$A$88,$BA$205^A112,IF(A112='Données projet'!$A$88,'Données projet'!$B$88,BD111+BC112-BL111)))</f>
        <v>280.79999999999995</v>
      </c>
      <c r="BE112" s="13">
        <f>BD112*VLOOKUP('Données projet'!$B$11,Paramètres!$A$1:$I$89,3,0)*VLOOKUP('Données projet'!$B$11,Paramètres!$A$1:$I$89,5,0)</f>
        <v>284.7312</v>
      </c>
      <c r="BF112" s="13">
        <f t="shared" si="91"/>
        <v>67.96587032005101</v>
      </c>
      <c r="BG112" s="20">
        <f t="shared" si="61"/>
        <v>614.28073080742217</v>
      </c>
      <c r="BH112" s="59">
        <f t="shared" si="62"/>
        <v>907.61406414075554</v>
      </c>
      <c r="BI112" s="59">
        <f ca="1">AVERAGE(OFFSET($BH$3,0,0,'Données projet'!$E$11+1,1))-AVERAGE(OFFSET($H$3,0,0,'Données projet'!$E$11+1,1))</f>
        <v>308.80022073574963</v>
      </c>
      <c r="BJ112" s="59">
        <f t="shared" si="92"/>
        <v>183.96267407004115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76.284808624566963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76.284808624566963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795.00000000000068</v>
      </c>
      <c r="O113" s="13">
        <f>N113*VLOOKUP('Données projet'!$B$9,Paramètres!$A$1:$I$89,3,0)*VLOOKUP('Données projet'!$B$9,Paramètres!$A$1:$I$89,5,0)</f>
        <v>372.06000000000029</v>
      </c>
      <c r="P113" s="13">
        <f t="shared" si="87"/>
        <v>86.088609967897526</v>
      </c>
      <c r="Q113" s="20">
        <f t="shared" si="107"/>
        <v>797.94216236075533</v>
      </c>
      <c r="R113" s="59">
        <f t="shared" si="55"/>
        <v>1091.2754956940887</v>
      </c>
      <c r="S113" s="59">
        <f ca="1">AVERAGE(OFFSET($R$3,0,0,'Données projet'!$E$9+1,1))-AVERAGE(OFFSET($H$3,0,0,'Données projet'!$E$9+1,1))</f>
        <v>379.12827535040157</v>
      </c>
      <c r="T113" s="59">
        <f t="shared" si="88"/>
        <v>317.29813413796956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70.977881678124263</v>
      </c>
      <c r="AA113" s="21">
        <f>EXP(-LN(2)/25)*AA112+(1-EXP(-LN(2)/25))/(LN(2)/25)*Calculateur!V113*Calculateur!X113*VLOOKUP('Données projet'!$B$9,Paramètres!$A$1:$I$89,3,0)*0.475*44/12</f>
        <v>4.8461298529828083</v>
      </c>
      <c r="AB113" s="21">
        <f>EXP(-LN(2)/2)*AB112+(1-EXP(-LN(2)/2))/(LN(2)/2)*V113*Y113*VLOOKUP('Données projet'!$B$9,Paramètres!$A$1:$I$89,3,0)*0.475*44/12</f>
        <v>3.9156596461401814E-13</v>
      </c>
      <c r="AC113" s="22">
        <f t="shared" si="57"/>
        <v>75.824011531107473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636.99999999999977</v>
      </c>
      <c r="AJ113" s="13">
        <f>AI113*VLOOKUP('Données projet'!$B$10,Paramètres!$A$1:$I$89,3,0)*VLOOKUP('Données projet'!$B$10,Paramètres!$A$1:$I$89,5,0)</f>
        <v>356.08299999999991</v>
      </c>
      <c r="AK113" s="13">
        <f t="shared" si="89"/>
        <v>82.813805255716545</v>
      </c>
      <c r="AL113" s="20">
        <f t="shared" si="58"/>
        <v>764.41193582037283</v>
      </c>
      <c r="AM113" s="59">
        <f t="shared" si="59"/>
        <v>1057.7452691537062</v>
      </c>
      <c r="AN113" s="59">
        <f ca="1">AVERAGE(OFFSET($AM$3,0,0,'Données projet'!$E$10+1,1))-AVERAGE(OFFSET($H$3,0,0,'Données projet'!$E$10+1,1))</f>
        <v>382.55387448074327</v>
      </c>
      <c r="AO113" s="59">
        <f t="shared" si="90"/>
        <v>476.29465646955543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36.306786048232951</v>
      </c>
      <c r="AV113" s="21">
        <f>EXP(-LN(2)/25)*AV112+(1-EXP(-LN(2)/25))/(LN(2)/25)*Calculateur!AQ113*Calculateur!AS113*VLOOKUP('Données projet'!$B$10,Paramètres!$A$1:$I$89,3,0)*0.475*44/12</f>
        <v>2.3871915547275151</v>
      </c>
      <c r="AW113" s="21">
        <f>EXP(-LN(2)/2)*AW112+(1-EXP(-LN(2)/2))/(LN(2)/2)*AQ113*AT113*VLOOKUP('Données projet'!$B$10,Paramètres!$A$1:$I$89,3,0)*0.475*44/12</f>
        <v>5.4949822158453383E-12</v>
      </c>
      <c r="AX113" s="21">
        <f t="shared" si="60"/>
        <v>38.693977602965958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285</v>
      </c>
      <c r="BB113" s="12">
        <f>VLOOKUP(A113,'Données projet'!$A$87:$I$107,9,0)</f>
        <v>4.2</v>
      </c>
      <c r="BC113" s="12">
        <f t="array" ref="BC113">INDEX(BB:BB,MIN(IF(ISNUMBER(BB113:BB309),ROW(BB113:BB309),"")))</f>
        <v>4.2</v>
      </c>
      <c r="BD113" s="12">
        <f>IF('Données projet'!$A$88&gt;35,BD112+BC113-BL112,IF(A113&lt;'Données projet'!$A$88,$BA$205^A113,IF(A113='Données projet'!$A$88,'Données projet'!$B$88,BD112+BC113-BL112)))</f>
        <v>284.99999999999994</v>
      </c>
      <c r="BE113" s="13">
        <f>BD113*VLOOKUP('Données projet'!$B$11,Paramètres!$A$1:$I$89,3,0)*VLOOKUP('Données projet'!$B$11,Paramètres!$A$1:$I$89,5,0)</f>
        <v>288.98999999999995</v>
      </c>
      <c r="BF113" s="13">
        <f t="shared" si="91"/>
        <v>68.863345904836791</v>
      </c>
      <c r="BG113" s="20">
        <f t="shared" si="61"/>
        <v>623.26124411759065</v>
      </c>
      <c r="BH113" s="59">
        <f t="shared" si="62"/>
        <v>916.59457745092391</v>
      </c>
      <c r="BI113" s="59">
        <f ca="1">AVERAGE(OFFSET($BH$3,0,0,'Données projet'!$E$11+1,1))-AVERAGE(OFFSET($H$3,0,0,'Données projet'!$E$11+1,1))</f>
        <v>308.80022073574963</v>
      </c>
      <c r="BJ113" s="59">
        <f t="shared" si="92"/>
        <v>183.96267407004115</v>
      </c>
      <c r="BK113" s="15">
        <f>IF(ISNA(VLOOKUP(A113,'Données projet'!$A$87:$I$107,3,0)),0,VLOOKUP(A113,'Données projet'!$A$87:$I$107,3,0))</f>
        <v>18</v>
      </c>
      <c r="BL113" s="15">
        <f>IF(ISNA(VLOOKUP(A113,'Données projet'!$A$87:$I$107,4,0)),0,VLOOKUP(A113,'Données projet'!$A$87:$I$107,4,0))</f>
        <v>19</v>
      </c>
      <c r="BM113" s="16">
        <f>IF(ISNA(VLOOKUP(A113,'Données projet'!$A$87:$I$107,5,0)),0%,VLOOKUP(A113,'Données projet'!$A$87:$I$107,5,0)*VLOOKUP('Données projet'!$B$11,Paramètres!$A$1:$I$89,7,0))</f>
        <v>0.43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83.947046759373265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83.947046759373265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795.00000000000068</v>
      </c>
      <c r="O114" s="13">
        <f>N114*VLOOKUP('Données projet'!$B$9,Paramètres!$A$1:$I$89,3,0)*VLOOKUP('Données projet'!$B$9,Paramètres!$A$1:$I$89,5,0)</f>
        <v>372.06000000000029</v>
      </c>
      <c r="P114" s="13">
        <f t="shared" si="87"/>
        <v>86.088609967897526</v>
      </c>
      <c r="Q114" s="20">
        <f t="shared" si="107"/>
        <v>797.94216236075533</v>
      </c>
      <c r="R114" s="59">
        <f t="shared" si="55"/>
        <v>1091.2754956940887</v>
      </c>
      <c r="S114" s="59">
        <f ca="1">AVERAGE(OFFSET($R$3,0,0,'Données projet'!$E$9+1,1))-AVERAGE(OFFSET($H$3,0,0,'Données projet'!$E$9+1,1))</f>
        <v>379.12827535040157</v>
      </c>
      <c r="T114" s="59">
        <f t="shared" si="88"/>
        <v>317.29813413796956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69.586048710649322</v>
      </c>
      <c r="AA114" s="21">
        <f>EXP(-LN(2)/25)*AA113+(1-EXP(-LN(2)/25))/(LN(2)/25)*Calculateur!V114*Calculateur!X114*VLOOKUP('Données projet'!$B$9,Paramètres!$A$1:$I$89,3,0)*0.475*44/12</f>
        <v>4.7136121773061008</v>
      </c>
      <c r="AB114" s="21">
        <f>EXP(-LN(2)/2)*AB113+(1-EXP(-LN(2)/2))/(LN(2)/2)*V114*Y114*VLOOKUP('Données projet'!$B$9,Paramètres!$A$1:$I$89,3,0)*0.475*44/12</f>
        <v>2.7687894886042393E-13</v>
      </c>
      <c r="AC114" s="22">
        <f t="shared" si="57"/>
        <v>74.299660887955696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636.99999999999977</v>
      </c>
      <c r="AJ114" s="13">
        <f>AI114*VLOOKUP('Données projet'!$B$10,Paramètres!$A$1:$I$89,3,0)*VLOOKUP('Données projet'!$B$10,Paramètres!$A$1:$I$89,5,0)</f>
        <v>356.08299999999991</v>
      </c>
      <c r="AK114" s="13">
        <f t="shared" si="89"/>
        <v>82.813805255716545</v>
      </c>
      <c r="AL114" s="20">
        <f t="shared" si="58"/>
        <v>764.41193582037283</v>
      </c>
      <c r="AM114" s="59">
        <f t="shared" si="59"/>
        <v>1057.7452691537062</v>
      </c>
      <c r="AN114" s="59">
        <f ca="1">AVERAGE(OFFSET($AM$3,0,0,'Données projet'!$E$10+1,1))-AVERAGE(OFFSET($H$3,0,0,'Données projet'!$E$10+1,1))</f>
        <v>382.55387448074327</v>
      </c>
      <c r="AO114" s="59">
        <f t="shared" si="90"/>
        <v>476.29465646955543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35.594832118779962</v>
      </c>
      <c r="AV114" s="21">
        <f>EXP(-LN(2)/25)*AV113+(1-EXP(-LN(2)/25))/(LN(2)/25)*Calculateur!AQ114*Calculateur!AS114*VLOOKUP('Données projet'!$B$10,Paramètres!$A$1:$I$89,3,0)*0.475*44/12</f>
        <v>2.3219136761265435</v>
      </c>
      <c r="AW114" s="21">
        <f>EXP(-LN(2)/2)*AW113+(1-EXP(-LN(2)/2))/(LN(2)/2)*AQ114*AT114*VLOOKUP('Données projet'!$B$10,Paramètres!$A$1:$I$89,3,0)*0.475*44/12</f>
        <v>3.8855391873237196E-12</v>
      </c>
      <c r="AX114" s="21">
        <f t="shared" si="60"/>
        <v>37.916745794910391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3.8</v>
      </c>
      <c r="BD114" s="12">
        <f>IF('Données projet'!$A$88&gt;35,BD113+BC114-BL113,IF(A114&lt;'Données projet'!$A$88,$BA$205^A114,IF(A114='Données projet'!$A$88,'Données projet'!$B$88,BD113+BC114-BL113)))</f>
        <v>269.79999999999995</v>
      </c>
      <c r="BE114" s="13">
        <f>BD114*VLOOKUP('Données projet'!$B$11,Paramètres!$A$1:$I$89,3,0)*VLOOKUP('Données projet'!$B$11,Paramètres!$A$1:$I$89,5,0)</f>
        <v>273.57719999999995</v>
      </c>
      <c r="BF114" s="13">
        <f t="shared" si="91"/>
        <v>65.60785888991505</v>
      </c>
      <c r="BG114" s="20">
        <f t="shared" si="61"/>
        <v>590.74731089993531</v>
      </c>
      <c r="BH114" s="59">
        <f t="shared" si="62"/>
        <v>884.08064423326869</v>
      </c>
      <c r="BI114" s="59">
        <f ca="1">AVERAGE(OFFSET($BH$3,0,0,'Données projet'!$E$11+1,1))-AVERAGE(OFFSET($H$3,0,0,'Données projet'!$E$11+1,1))</f>
        <v>308.80022073574963</v>
      </c>
      <c r="BJ114" s="59">
        <f t="shared" si="92"/>
        <v>183.96267407004115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82.300896375064639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82.300896375064639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795.00000000000068</v>
      </c>
      <c r="O115" s="13">
        <f>N115*VLOOKUP('Données projet'!$B$9,Paramètres!$A$1:$I$89,3,0)*VLOOKUP('Données projet'!$B$9,Paramètres!$A$1:$I$89,5,0)</f>
        <v>372.06000000000029</v>
      </c>
      <c r="P115" s="13">
        <f t="shared" si="87"/>
        <v>86.088609967897526</v>
      </c>
      <c r="Q115" s="20">
        <f t="shared" si="107"/>
        <v>797.94216236075533</v>
      </c>
      <c r="R115" s="59">
        <f t="shared" si="55"/>
        <v>1091.2754956940887</v>
      </c>
      <c r="S115" s="59">
        <f ca="1">AVERAGE(OFFSET($R$3,0,0,'Données projet'!$E$9+1,1))-AVERAGE(OFFSET($H$3,0,0,'Données projet'!$E$9+1,1))</f>
        <v>379.12827535040157</v>
      </c>
      <c r="T115" s="59">
        <f t="shared" si="88"/>
        <v>317.29813413796956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68.221508738732268</v>
      </c>
      <c r="AA115" s="21">
        <f>EXP(-LN(2)/25)*AA114+(1-EXP(-LN(2)/25))/(LN(2)/25)*Calculateur!V115*Calculateur!X115*VLOOKUP('Données projet'!$B$9,Paramètres!$A$1:$I$89,3,0)*0.475*44/12</f>
        <v>4.5847182044395742</v>
      </c>
      <c r="AB115" s="21">
        <f>EXP(-LN(2)/2)*AB114+(1-EXP(-LN(2)/2))/(LN(2)/2)*V115*Y115*VLOOKUP('Données projet'!$B$9,Paramètres!$A$1:$I$89,3,0)*0.475*44/12</f>
        <v>1.9578298230700907E-13</v>
      </c>
      <c r="AC115" s="22">
        <f t="shared" si="57"/>
        <v>72.806226943172035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636.99999999999977</v>
      </c>
      <c r="AJ115" s="13">
        <f>AI115*VLOOKUP('Données projet'!$B$10,Paramètres!$A$1:$I$89,3,0)*VLOOKUP('Données projet'!$B$10,Paramètres!$A$1:$I$89,5,0)</f>
        <v>356.08299999999991</v>
      </c>
      <c r="AK115" s="13">
        <f t="shared" si="89"/>
        <v>82.813805255716545</v>
      </c>
      <c r="AL115" s="20">
        <f t="shared" si="58"/>
        <v>764.41193582037283</v>
      </c>
      <c r="AM115" s="59">
        <f t="shared" si="59"/>
        <v>1057.7452691537062</v>
      </c>
      <c r="AN115" s="59">
        <f ca="1">AVERAGE(OFFSET($AM$3,0,0,'Données projet'!$E$10+1,1))-AVERAGE(OFFSET($H$3,0,0,'Données projet'!$E$10+1,1))</f>
        <v>382.55387448074327</v>
      </c>
      <c r="AO115" s="59">
        <f t="shared" si="90"/>
        <v>476.29465646955543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34.896839171634525</v>
      </c>
      <c r="AV115" s="21">
        <f>EXP(-LN(2)/25)*AV114+(1-EXP(-LN(2)/25))/(LN(2)/25)*Calculateur!AQ115*Calculateur!AS115*VLOOKUP('Données projet'!$B$10,Paramètres!$A$1:$I$89,3,0)*0.475*44/12</f>
        <v>2.2584208245487298</v>
      </c>
      <c r="AW115" s="21">
        <f>EXP(-LN(2)/2)*AW114+(1-EXP(-LN(2)/2))/(LN(2)/2)*AQ115*AT115*VLOOKUP('Données projet'!$B$10,Paramètres!$A$1:$I$89,3,0)*0.475*44/12</f>
        <v>2.7474911079226691E-12</v>
      </c>
      <c r="AX115" s="21">
        <f t="shared" si="60"/>
        <v>37.155259996186004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3.8</v>
      </c>
      <c r="BD115" s="12">
        <f>IF('Données projet'!$A$88&gt;35,BD114+BC115-BL114,IF(A115&lt;'Données projet'!$A$88,$BA$205^A115,IF(A115='Données projet'!$A$88,'Données projet'!$B$88,BD114+BC115-BL114)))</f>
        <v>273.59999999999997</v>
      </c>
      <c r="BE115" s="13">
        <f>BD115*VLOOKUP('Données projet'!$B$11,Paramètres!$A$1:$I$89,3,0)*VLOOKUP('Données projet'!$B$11,Paramètres!$A$1:$I$89,5,0)</f>
        <v>277.43039999999996</v>
      </c>
      <c r="BF115" s="13">
        <f t="shared" si="91"/>
        <v>66.423687500715673</v>
      </c>
      <c r="BG115" s="20">
        <f t="shared" si="61"/>
        <v>598.87920239707967</v>
      </c>
      <c r="BH115" s="59">
        <f t="shared" si="62"/>
        <v>892.21253573041304</v>
      </c>
      <c r="BI115" s="59">
        <f ca="1">AVERAGE(OFFSET($BH$3,0,0,'Données projet'!$E$11+1,1))-AVERAGE(OFFSET($H$3,0,0,'Données projet'!$E$11+1,1))</f>
        <v>308.80022073574963</v>
      </c>
      <c r="BJ115" s="59">
        <f t="shared" si="92"/>
        <v>183.96267407004115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80.687025995739717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80.687025995739717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795.00000000000068</v>
      </c>
      <c r="O116" s="13">
        <f>N116*VLOOKUP('Données projet'!$B$9,Paramètres!$A$1:$I$89,3,0)*VLOOKUP('Données projet'!$B$9,Paramètres!$A$1:$I$89,5,0)</f>
        <v>372.06000000000029</v>
      </c>
      <c r="P116" s="13">
        <f t="shared" si="87"/>
        <v>86.088609967897526</v>
      </c>
      <c r="Q116" s="20">
        <f t="shared" si="107"/>
        <v>797.94216236075533</v>
      </c>
      <c r="R116" s="59">
        <f t="shared" si="55"/>
        <v>1091.2754956940887</v>
      </c>
      <c r="S116" s="59">
        <f ca="1">AVERAGE(OFFSET($R$3,0,0,'Données projet'!$E$9+1,1))-AVERAGE(OFFSET($H$3,0,0,'Données projet'!$E$9+1,1))</f>
        <v>379.12827535040157</v>
      </c>
      <c r="T116" s="59">
        <f t="shared" si="88"/>
        <v>317.29813413796956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66.883726563377309</v>
      </c>
      <c r="AA116" s="21">
        <f>EXP(-LN(2)/25)*AA115+(1-EXP(-LN(2)/25))/(LN(2)/25)*Calculateur!V116*Calculateur!X116*VLOOKUP('Données projet'!$B$9,Paramètres!$A$1:$I$89,3,0)*0.475*44/12</f>
        <v>4.4593488440393223</v>
      </c>
      <c r="AB116" s="21">
        <f>EXP(-LN(2)/2)*AB115+(1-EXP(-LN(2)/2))/(LN(2)/2)*V116*Y116*VLOOKUP('Données projet'!$B$9,Paramètres!$A$1:$I$89,3,0)*0.475*44/12</f>
        <v>1.3843947443021197E-13</v>
      </c>
      <c r="AC116" s="22">
        <f t="shared" si="57"/>
        <v>71.343075407416777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636.99999999999977</v>
      </c>
      <c r="AJ116" s="13">
        <f>AI116*VLOOKUP('Données projet'!$B$10,Paramètres!$A$1:$I$89,3,0)*VLOOKUP('Données projet'!$B$10,Paramètres!$A$1:$I$89,5,0)</f>
        <v>356.08299999999991</v>
      </c>
      <c r="AK116" s="13">
        <f t="shared" si="89"/>
        <v>82.813805255716545</v>
      </c>
      <c r="AL116" s="20">
        <f t="shared" si="58"/>
        <v>764.41193582037283</v>
      </c>
      <c r="AM116" s="59">
        <f t="shared" si="59"/>
        <v>1057.7452691537062</v>
      </c>
      <c r="AN116" s="59">
        <f ca="1">AVERAGE(OFFSET($AM$3,0,0,'Données projet'!$E$10+1,1))-AVERAGE(OFFSET($H$3,0,0,'Données projet'!$E$10+1,1))</f>
        <v>382.55387448074327</v>
      </c>
      <c r="AO116" s="59">
        <f t="shared" si="90"/>
        <v>476.29465646955543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34.212533440448951</v>
      </c>
      <c r="AV116" s="21">
        <f>EXP(-LN(2)/25)*AV115+(1-EXP(-LN(2)/25))/(LN(2)/25)*Calculateur!AQ116*Calculateur!AS116*VLOOKUP('Données projet'!$B$10,Paramètres!$A$1:$I$89,3,0)*0.475*44/12</f>
        <v>2.1966641883362552</v>
      </c>
      <c r="AW116" s="21">
        <f>EXP(-LN(2)/2)*AW115+(1-EXP(-LN(2)/2))/(LN(2)/2)*AQ116*AT116*VLOOKUP('Données projet'!$B$10,Paramètres!$A$1:$I$89,3,0)*0.475*44/12</f>
        <v>1.9427695936618598E-12</v>
      </c>
      <c r="AX116" s="21">
        <f t="shared" si="60"/>
        <v>36.409197628787147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3.8</v>
      </c>
      <c r="BD116" s="12">
        <f>IF('Données projet'!$A$88&gt;35,BD115+BC116-BL115,IF(A116&lt;'Données projet'!$A$88,$BA$205^A116,IF(A116='Données projet'!$A$88,'Données projet'!$B$88,BD115+BC116-BL115)))</f>
        <v>277.39999999999998</v>
      </c>
      <c r="BE116" s="13">
        <f>BD116*VLOOKUP('Données projet'!$B$11,Paramètres!$A$1:$I$89,3,0)*VLOOKUP('Données projet'!$B$11,Paramètres!$A$1:$I$89,5,0)</f>
        <v>281.28360000000004</v>
      </c>
      <c r="BF116" s="13">
        <f t="shared" si="91"/>
        <v>67.238198209347928</v>
      </c>
      <c r="BG116" s="20">
        <f t="shared" si="61"/>
        <v>607.00879854794766</v>
      </c>
      <c r="BH116" s="59">
        <f t="shared" si="62"/>
        <v>900.34213188128092</v>
      </c>
      <c r="BI116" s="59">
        <f ca="1">AVERAGE(OFFSET($BH$3,0,0,'Données projet'!$E$11+1,1))-AVERAGE(OFFSET($H$3,0,0,'Données projet'!$E$11+1,1))</f>
        <v>308.80022073574963</v>
      </c>
      <c r="BJ116" s="59">
        <f t="shared" si="92"/>
        <v>183.96267407004115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79.10480263018961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79.10480263018961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795.00000000000068</v>
      </c>
      <c r="O117" s="13">
        <f>N117*VLOOKUP('Données projet'!$B$9,Paramètres!$A$1:$I$89,3,0)*VLOOKUP('Données projet'!$B$9,Paramètres!$A$1:$I$89,5,0)</f>
        <v>372.06000000000029</v>
      </c>
      <c r="P117" s="13">
        <f t="shared" si="87"/>
        <v>86.088609967897526</v>
      </c>
      <c r="Q117" s="20">
        <f t="shared" si="107"/>
        <v>797.94216236075533</v>
      </c>
      <c r="R117" s="59">
        <f t="shared" si="55"/>
        <v>1091.2754956940887</v>
      </c>
      <c r="S117" s="59">
        <f ca="1">AVERAGE(OFFSET($R$3,0,0,'Données projet'!$E$9+1,1))-AVERAGE(OFFSET($H$3,0,0,'Données projet'!$E$9+1,1))</f>
        <v>379.12827535040157</v>
      </c>
      <c r="T117" s="59">
        <f t="shared" si="88"/>
        <v>317.29813413796956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65.572177480514512</v>
      </c>
      <c r="AA117" s="21">
        <f>EXP(-LN(2)/25)*AA116+(1-EXP(-LN(2)/25))/(LN(2)/25)*Calculateur!V117*Calculateur!X117*VLOOKUP('Données projet'!$B$9,Paramètres!$A$1:$I$89,3,0)*0.475*44/12</f>
        <v>4.3374077153921036</v>
      </c>
      <c r="AB117" s="21">
        <f>EXP(-LN(2)/2)*AB116+(1-EXP(-LN(2)/2))/(LN(2)/2)*V117*Y117*VLOOKUP('Données projet'!$B$9,Paramètres!$A$1:$I$89,3,0)*0.475*44/12</f>
        <v>9.7891491153504535E-14</v>
      </c>
      <c r="AC117" s="22">
        <f t="shared" si="57"/>
        <v>69.909585195906715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636.99999999999977</v>
      </c>
      <c r="AJ117" s="13">
        <f>AI117*VLOOKUP('Données projet'!$B$10,Paramètres!$A$1:$I$89,3,0)*VLOOKUP('Données projet'!$B$10,Paramètres!$A$1:$I$89,5,0)</f>
        <v>356.08299999999991</v>
      </c>
      <c r="AK117" s="13">
        <f t="shared" si="89"/>
        <v>82.813805255716545</v>
      </c>
      <c r="AL117" s="20">
        <f t="shared" si="58"/>
        <v>764.41193582037283</v>
      </c>
      <c r="AM117" s="59">
        <f t="shared" si="59"/>
        <v>1057.7452691537062</v>
      </c>
      <c r="AN117" s="59">
        <f ca="1">AVERAGE(OFFSET($AM$3,0,0,'Données projet'!$E$10+1,1))-AVERAGE(OFFSET($H$3,0,0,'Données projet'!$E$10+1,1))</f>
        <v>382.55387448074327</v>
      </c>
      <c r="AO117" s="59">
        <f t="shared" si="90"/>
        <v>476.29465646955543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33.541646527266643</v>
      </c>
      <c r="AV117" s="21">
        <f>EXP(-LN(2)/25)*AV116+(1-EXP(-LN(2)/25))/(LN(2)/25)*Calculateur!AQ117*Calculateur!AS117*VLOOKUP('Données projet'!$B$10,Paramètres!$A$1:$I$89,3,0)*0.475*44/12</f>
        <v>2.1365962905886513</v>
      </c>
      <c r="AW117" s="21">
        <f>EXP(-LN(2)/2)*AW116+(1-EXP(-LN(2)/2))/(LN(2)/2)*AQ117*AT117*VLOOKUP('Données projet'!$B$10,Paramètres!$A$1:$I$89,3,0)*0.475*44/12</f>
        <v>1.3737455539613346E-12</v>
      </c>
      <c r="AX117" s="21">
        <f t="shared" si="60"/>
        <v>35.678242817856663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3.8</v>
      </c>
      <c r="BD117" s="12">
        <f>IF('Données projet'!$A$88&gt;35,BD116+BC117-BL116,IF(A117&lt;'Données projet'!$A$88,$BA$205^A117,IF(A117='Données projet'!$A$88,'Données projet'!$B$88,BD116+BC117-BL116)))</f>
        <v>281.2</v>
      </c>
      <c r="BE117" s="13">
        <f>BD117*VLOOKUP('Données projet'!$B$11,Paramètres!$A$1:$I$89,3,0)*VLOOKUP('Données projet'!$B$11,Paramètres!$A$1:$I$89,5,0)</f>
        <v>285.13679999999999</v>
      </c>
      <c r="BF117" s="13">
        <f t="shared" si="91"/>
        <v>68.051411155895636</v>
      </c>
      <c r="BG117" s="20">
        <f t="shared" si="61"/>
        <v>615.1361344298515</v>
      </c>
      <c r="BH117" s="59">
        <f t="shared" si="62"/>
        <v>908.46946776318487</v>
      </c>
      <c r="BI117" s="59">
        <f ca="1">AVERAGE(OFFSET($BH$3,0,0,'Données projet'!$E$11+1,1))-AVERAGE(OFFSET($H$3,0,0,'Données projet'!$E$11+1,1))</f>
        <v>308.80022073574963</v>
      </c>
      <c r="BJ117" s="59">
        <f t="shared" si="92"/>
        <v>183.96267407004115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77.55360569977698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77.55360569977698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795.00000000000068</v>
      </c>
      <c r="O118" s="13">
        <f>N118*VLOOKUP('Données projet'!$B$9,Paramètres!$A$1:$I$89,3,0)*VLOOKUP('Données projet'!$B$9,Paramètres!$A$1:$I$89,5,0)</f>
        <v>372.06000000000029</v>
      </c>
      <c r="P118" s="13">
        <f t="shared" si="87"/>
        <v>86.088609967897526</v>
      </c>
      <c r="Q118" s="20">
        <f t="shared" si="107"/>
        <v>797.94216236075533</v>
      </c>
      <c r="R118" s="59">
        <f t="shared" si="55"/>
        <v>1091.2754956940887</v>
      </c>
      <c r="S118" s="59">
        <f ca="1">AVERAGE(OFFSET($R$3,0,0,'Données projet'!$E$9+1,1))-AVERAGE(OFFSET($H$3,0,0,'Données projet'!$E$9+1,1))</f>
        <v>379.12827535040157</v>
      </c>
      <c r="T118" s="59">
        <f t="shared" si="88"/>
        <v>317.29813413796956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64.286347075200695</v>
      </c>
      <c r="AA118" s="21">
        <f>EXP(-LN(2)/25)*AA117+(1-EXP(-LN(2)/25))/(LN(2)/25)*Calculateur!V118*Calculateur!X118*VLOOKUP('Données projet'!$B$9,Paramètres!$A$1:$I$89,3,0)*0.475*44/12</f>
        <v>4.218801073320348</v>
      </c>
      <c r="AB118" s="21">
        <f>EXP(-LN(2)/2)*AB117+(1-EXP(-LN(2)/2))/(LN(2)/2)*V118*Y118*VLOOKUP('Données projet'!$B$9,Paramètres!$A$1:$I$89,3,0)*0.475*44/12</f>
        <v>6.9219737215105983E-14</v>
      </c>
      <c r="AC118" s="22">
        <f t="shared" si="57"/>
        <v>68.505148148521116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636.99999999999977</v>
      </c>
      <c r="AJ118" s="13">
        <f>AI118*VLOOKUP('Données projet'!$B$10,Paramètres!$A$1:$I$89,3,0)*VLOOKUP('Données projet'!$B$10,Paramètres!$A$1:$I$89,5,0)</f>
        <v>356.08299999999991</v>
      </c>
      <c r="AK118" s="13">
        <f t="shared" si="89"/>
        <v>82.813805255716545</v>
      </c>
      <c r="AL118" s="20">
        <f t="shared" si="58"/>
        <v>764.41193582037283</v>
      </c>
      <c r="AM118" s="59">
        <f t="shared" si="59"/>
        <v>1057.7452691537062</v>
      </c>
      <c r="AN118" s="59">
        <f ca="1">AVERAGE(OFFSET($AM$3,0,0,'Données projet'!$E$10+1,1))-AVERAGE(OFFSET($H$3,0,0,'Données projet'!$E$10+1,1))</f>
        <v>382.55387448074327</v>
      </c>
      <c r="AO118" s="59">
        <f t="shared" si="90"/>
        <v>476.29465646955543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32.883915297251228</v>
      </c>
      <c r="AV118" s="21">
        <f>EXP(-LN(2)/25)*AV117+(1-EXP(-LN(2)/25))/(LN(2)/25)*Calculateur!AQ118*Calculateur!AS118*VLOOKUP('Données projet'!$B$10,Paramètres!$A$1:$I$89,3,0)*0.475*44/12</f>
        <v>2.0781709526637888</v>
      </c>
      <c r="AW118" s="21">
        <f>EXP(-LN(2)/2)*AW117+(1-EXP(-LN(2)/2))/(LN(2)/2)*AQ118*AT118*VLOOKUP('Données projet'!$B$10,Paramètres!$A$1:$I$89,3,0)*0.475*44/12</f>
        <v>9.713847968309299E-13</v>
      </c>
      <c r="AX118" s="21">
        <f t="shared" si="60"/>
        <v>34.962086249915991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285</v>
      </c>
      <c r="BB118" s="12">
        <f>VLOOKUP(A118,'Données projet'!$A$87:$I$107,9,0)</f>
        <v>3.8</v>
      </c>
      <c r="BC118" s="12">
        <f t="array" ref="BC118">INDEX(BB:BB,MIN(IF(ISNUMBER(BB118:BB314),ROW(BB118:BB314),"")))</f>
        <v>3.8</v>
      </c>
      <c r="BD118" s="12">
        <f>IF('Données projet'!$A$88&gt;35,BD117+BC118-BL117,IF(A118&lt;'Données projet'!$A$88,$BA$205^A118,IF(A118='Données projet'!$A$88,'Données projet'!$B$88,BD117+BC118-BL117)))</f>
        <v>285</v>
      </c>
      <c r="BE118" s="13">
        <f>BD118*VLOOKUP('Données projet'!$B$11,Paramètres!$A$1:$I$89,3,0)*VLOOKUP('Données projet'!$B$11,Paramètres!$A$1:$I$89,5,0)</f>
        <v>288.99</v>
      </c>
      <c r="BF118" s="13">
        <f t="shared" si="91"/>
        <v>68.863345904836791</v>
      </c>
      <c r="BG118" s="20">
        <f t="shared" si="61"/>
        <v>623.26124411759076</v>
      </c>
      <c r="BH118" s="59">
        <f t="shared" si="62"/>
        <v>916.59457745092413</v>
      </c>
      <c r="BI118" s="59">
        <f ca="1">AVERAGE(OFFSET($BH$3,0,0,'Données projet'!$E$11+1,1))-AVERAGE(OFFSET($H$3,0,0,'Données projet'!$E$11+1,1))</f>
        <v>308.80022073574963</v>
      </c>
      <c r="BJ118" s="59">
        <f t="shared" si="92"/>
        <v>183.96267407004115</v>
      </c>
      <c r="BK118" s="15">
        <f>IF(ISNA(VLOOKUP(A118,'Données projet'!$A$87:$I$107,3,0)),0,VLOOKUP(A118,'Données projet'!$A$87:$I$107,3,0))</f>
        <v>19</v>
      </c>
      <c r="BL118" s="15">
        <f>IF(ISNA(VLOOKUP(A118,'Données projet'!$A$87:$I$107,4,0)),0,VLOOKUP(A118,'Données projet'!$A$87:$I$107,4,0))</f>
        <v>18</v>
      </c>
      <c r="BM118" s="16">
        <f>IF(ISNA(VLOOKUP(A118,'Données projet'!$A$87:$I$107,5,0)),0%,VLOOKUP(A118,'Données projet'!$A$87:$I$107,5,0)*VLOOKUP('Données projet'!$B$11,Paramètres!$A$1:$I$89,7,0))</f>
        <v>0.43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84.708956302944273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84.708956302944273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795.00000000000068</v>
      </c>
      <c r="O119" s="13">
        <f>N119*VLOOKUP('Données projet'!$B$9,Paramètres!$A$1:$I$89,3,0)*VLOOKUP('Données projet'!$B$9,Paramètres!$A$1:$I$89,5,0)</f>
        <v>372.06000000000029</v>
      </c>
      <c r="P119" s="13">
        <f t="shared" si="87"/>
        <v>86.088609967897526</v>
      </c>
      <c r="Q119" s="20">
        <f t="shared" si="107"/>
        <v>797.94216236075533</v>
      </c>
      <c r="R119" s="59">
        <f t="shared" si="55"/>
        <v>1091.2754956940887</v>
      </c>
      <c r="S119" s="59">
        <f ca="1">AVERAGE(OFFSET($R$3,0,0,'Données projet'!$E$9+1,1))-AVERAGE(OFFSET($H$3,0,0,'Données projet'!$E$9+1,1))</f>
        <v>379.12827535040157</v>
      </c>
      <c r="T119" s="59">
        <f t="shared" si="88"/>
        <v>317.29813413796956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63.025731019855982</v>
      </c>
      <c r="AA119" s="21">
        <f>EXP(-LN(2)/25)*AA118+(1-EXP(-LN(2)/25))/(LN(2)/25)*Calculateur!V119*Calculateur!X119*VLOOKUP('Données projet'!$B$9,Paramètres!$A$1:$I$89,3,0)*0.475*44/12</f>
        <v>4.103437736113297</v>
      </c>
      <c r="AB119" s="21">
        <f>EXP(-LN(2)/2)*AB118+(1-EXP(-LN(2)/2))/(LN(2)/2)*V119*Y119*VLOOKUP('Données projet'!$B$9,Paramètres!$A$1:$I$89,3,0)*0.475*44/12</f>
        <v>4.8945745576752267E-14</v>
      </c>
      <c r="AC119" s="22">
        <f t="shared" si="57"/>
        <v>67.129168755969317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636.99999999999977</v>
      </c>
      <c r="AJ119" s="13">
        <f>AI119*VLOOKUP('Données projet'!$B$10,Paramètres!$A$1:$I$89,3,0)*VLOOKUP('Données projet'!$B$10,Paramètres!$A$1:$I$89,5,0)</f>
        <v>356.08299999999991</v>
      </c>
      <c r="AK119" s="13">
        <f t="shared" si="89"/>
        <v>82.813805255716545</v>
      </c>
      <c r="AL119" s="20">
        <f t="shared" si="58"/>
        <v>764.41193582037283</v>
      </c>
      <c r="AM119" s="59">
        <f t="shared" si="59"/>
        <v>1057.7452691537062</v>
      </c>
      <c r="AN119" s="59">
        <f ca="1">AVERAGE(OFFSET($AM$3,0,0,'Données projet'!$E$10+1,1))-AVERAGE(OFFSET($H$3,0,0,'Données projet'!$E$10+1,1))</f>
        <v>382.55387448074327</v>
      </c>
      <c r="AO119" s="59">
        <f t="shared" si="90"/>
        <v>476.29465646955543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32.239081775479981</v>
      </c>
      <c r="AV119" s="21">
        <f>EXP(-LN(2)/25)*AV118+(1-EXP(-LN(2)/25))/(LN(2)/25)*Calculateur!AQ119*Calculateur!AS119*VLOOKUP('Données projet'!$B$10,Paramètres!$A$1:$I$89,3,0)*0.475*44/12</f>
        <v>2.0213432586769366</v>
      </c>
      <c r="AW119" s="21">
        <f>EXP(-LN(2)/2)*AW118+(1-EXP(-LN(2)/2))/(LN(2)/2)*AQ119*AT119*VLOOKUP('Données projet'!$B$10,Paramètres!$A$1:$I$89,3,0)*0.475*44/12</f>
        <v>6.8687277698066728E-13</v>
      </c>
      <c r="AX119" s="21">
        <f t="shared" si="60"/>
        <v>34.260425034157606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267</v>
      </c>
      <c r="BE119" s="13">
        <f>BD119*VLOOKUP('Données projet'!$B$11,Paramètres!$A$1:$I$89,3,0)*VLOOKUP('Données projet'!$B$11,Paramètres!$A$1:$I$89,5,0)</f>
        <v>270.738</v>
      </c>
      <c r="BF119" s="13">
        <f t="shared" si="91"/>
        <v>65.005866623551711</v>
      </c>
      <c r="BG119" s="20">
        <f t="shared" si="61"/>
        <v>584.7539010360191</v>
      </c>
      <c r="BH119" s="59">
        <f t="shared" si="62"/>
        <v>878.08723436935247</v>
      </c>
      <c r="BI119" s="59">
        <f ca="1">AVERAGE(OFFSET($BH$3,0,0,'Données projet'!$E$11+1,1))-AVERAGE(OFFSET($H$3,0,0,'Données projet'!$E$11+1,1))</f>
        <v>308.80022073574963</v>
      </c>
      <c r="BJ119" s="59">
        <f t="shared" si="92"/>
        <v>183.96267407004115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83.047865337205153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83.047865337205153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795.00000000000068</v>
      </c>
      <c r="O120" s="13">
        <f>N120*VLOOKUP('Données projet'!$B$9,Paramètres!$A$1:$I$89,3,0)*VLOOKUP('Données projet'!$B$9,Paramètres!$A$1:$I$89,5,0)</f>
        <v>372.06000000000029</v>
      </c>
      <c r="P120" s="13">
        <f t="shared" si="87"/>
        <v>86.088609967897526</v>
      </c>
      <c r="Q120" s="20">
        <f t="shared" si="107"/>
        <v>797.94216236075533</v>
      </c>
      <c r="R120" s="59">
        <f t="shared" si="55"/>
        <v>1091.2754956940887</v>
      </c>
      <c r="S120" s="59">
        <f ca="1">AVERAGE(OFFSET($R$3,0,0,'Données projet'!$E$9+1,1))-AVERAGE(OFFSET($H$3,0,0,'Données projet'!$E$9+1,1))</f>
        <v>379.12827535040157</v>
      </c>
      <c r="T120" s="59">
        <f t="shared" si="88"/>
        <v>317.29813413796956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61.789834876456709</v>
      </c>
      <c r="AA120" s="21">
        <f>EXP(-LN(2)/25)*AA119+(1-EXP(-LN(2)/25))/(LN(2)/25)*Calculateur!V120*Calculateur!X120*VLOOKUP('Données projet'!$B$9,Paramètres!$A$1:$I$89,3,0)*0.475*44/12</f>
        <v>3.9912290154288668</v>
      </c>
      <c r="AB120" s="21">
        <f>EXP(-LN(2)/2)*AB119+(1-EXP(-LN(2)/2))/(LN(2)/2)*V120*Y120*VLOOKUP('Données projet'!$B$9,Paramètres!$A$1:$I$89,3,0)*0.475*44/12</f>
        <v>3.4609868607552992E-14</v>
      </c>
      <c r="AC120" s="22">
        <f t="shared" si="57"/>
        <v>65.781063891885609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636.99999999999977</v>
      </c>
      <c r="AJ120" s="13">
        <f>AI120*VLOOKUP('Données projet'!$B$10,Paramètres!$A$1:$I$89,3,0)*VLOOKUP('Données projet'!$B$10,Paramètres!$A$1:$I$89,5,0)</f>
        <v>356.08299999999991</v>
      </c>
      <c r="AK120" s="13">
        <f t="shared" si="89"/>
        <v>82.813805255716545</v>
      </c>
      <c r="AL120" s="20">
        <f t="shared" si="58"/>
        <v>764.41193582037283</v>
      </c>
      <c r="AM120" s="59">
        <f t="shared" si="59"/>
        <v>1057.7452691537062</v>
      </c>
      <c r="AN120" s="59">
        <f ca="1">AVERAGE(OFFSET($AM$3,0,0,'Données projet'!$E$10+1,1))-AVERAGE(OFFSET($H$3,0,0,'Données projet'!$E$10+1,1))</f>
        <v>382.55387448074327</v>
      </c>
      <c r="AO120" s="59">
        <f t="shared" si="90"/>
        <v>476.29465646955543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31.606893045761055</v>
      </c>
      <c r="AV120" s="21">
        <f>EXP(-LN(2)/25)*AV119+(1-EXP(-LN(2)/25))/(LN(2)/25)*Calculateur!AQ120*Calculateur!AS120*VLOOKUP('Données projet'!$B$10,Paramètres!$A$1:$I$89,3,0)*0.475*44/12</f>
        <v>1.9660695209705936</v>
      </c>
      <c r="AW120" s="21">
        <f>EXP(-LN(2)/2)*AW119+(1-EXP(-LN(2)/2))/(LN(2)/2)*AQ120*AT120*VLOOKUP('Données projet'!$B$10,Paramètres!$A$1:$I$89,3,0)*0.475*44/12</f>
        <v>4.8569239841546495E-13</v>
      </c>
      <c r="AX120" s="21">
        <f t="shared" si="60"/>
        <v>33.57296256673213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267</v>
      </c>
      <c r="BE120" s="13">
        <f>BD120*VLOOKUP('Données projet'!$B$11,Paramètres!$A$1:$I$89,3,0)*VLOOKUP('Données projet'!$B$11,Paramètres!$A$1:$I$89,5,0)</f>
        <v>270.738</v>
      </c>
      <c r="BF120" s="13">
        <f t="shared" si="91"/>
        <v>65.005866623551711</v>
      </c>
      <c r="BG120" s="20">
        <f t="shared" si="61"/>
        <v>584.7539010360191</v>
      </c>
      <c r="BH120" s="59">
        <f t="shared" si="62"/>
        <v>878.08723436935247</v>
      </c>
      <c r="BI120" s="59">
        <f ca="1">AVERAGE(OFFSET($BH$3,0,0,'Données projet'!$E$11+1,1))-AVERAGE(OFFSET($H$3,0,0,'Données projet'!$E$11+1,1))</f>
        <v>308.80022073574963</v>
      </c>
      <c r="BJ120" s="59">
        <f t="shared" si="92"/>
        <v>183.96267407004115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81.419347352138729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81.419347352138729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795.00000000000068</v>
      </c>
      <c r="O121" s="13">
        <f>N121*VLOOKUP('Données projet'!$B$9,Paramètres!$A$1:$I$89,3,0)*VLOOKUP('Données projet'!$B$9,Paramètres!$A$1:$I$89,5,0)</f>
        <v>372.06000000000029</v>
      </c>
      <c r="P121" s="13">
        <f t="shared" si="87"/>
        <v>86.088609967897526</v>
      </c>
      <c r="Q121" s="20">
        <f t="shared" si="107"/>
        <v>797.94216236075533</v>
      </c>
      <c r="R121" s="59">
        <f t="shared" si="55"/>
        <v>1091.2754956940887</v>
      </c>
      <c r="S121" s="59">
        <f ca="1">AVERAGE(OFFSET($R$3,0,0,'Données projet'!$E$9+1,1))-AVERAGE(OFFSET($H$3,0,0,'Données projet'!$E$9+1,1))</f>
        <v>379.12827535040157</v>
      </c>
      <c r="T121" s="59">
        <f t="shared" si="88"/>
        <v>317.29813413796956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60.578173902607276</v>
      </c>
      <c r="AA121" s="21">
        <f>EXP(-LN(2)/25)*AA120+(1-EXP(-LN(2)/25))/(LN(2)/25)*Calculateur!V121*Calculateur!X121*VLOOKUP('Données projet'!$B$9,Paramètres!$A$1:$I$89,3,0)*0.475*44/12</f>
        <v>3.8820886481123527</v>
      </c>
      <c r="AB121" s="21">
        <f>EXP(-LN(2)/2)*AB120+(1-EXP(-LN(2)/2))/(LN(2)/2)*V121*Y121*VLOOKUP('Données projet'!$B$9,Paramètres!$A$1:$I$89,3,0)*0.475*44/12</f>
        <v>2.4472872788376134E-14</v>
      </c>
      <c r="AC121" s="22">
        <f t="shared" si="57"/>
        <v>64.460262550719662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636.99999999999977</v>
      </c>
      <c r="AJ121" s="13">
        <f>AI121*VLOOKUP('Données projet'!$B$10,Paramètres!$A$1:$I$89,3,0)*VLOOKUP('Données projet'!$B$10,Paramètres!$A$1:$I$89,5,0)</f>
        <v>356.08299999999991</v>
      </c>
      <c r="AK121" s="13">
        <f t="shared" si="89"/>
        <v>82.813805255716545</v>
      </c>
      <c r="AL121" s="20">
        <f t="shared" si="58"/>
        <v>764.41193582037283</v>
      </c>
      <c r="AM121" s="59">
        <f t="shared" si="59"/>
        <v>1057.7452691537062</v>
      </c>
      <c r="AN121" s="59">
        <f ca="1">AVERAGE(OFFSET($AM$3,0,0,'Données projet'!$E$10+1,1))-AVERAGE(OFFSET($H$3,0,0,'Données projet'!$E$10+1,1))</f>
        <v>382.55387448074327</v>
      </c>
      <c r="AO121" s="59">
        <f t="shared" si="90"/>
        <v>476.29465646955543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30.987101151434864</v>
      </c>
      <c r="AV121" s="21">
        <f>EXP(-LN(2)/25)*AV120+(1-EXP(-LN(2)/25))/(LN(2)/25)*Calculateur!AQ121*Calculateur!AS121*VLOOKUP('Données projet'!$B$10,Paramètres!$A$1:$I$89,3,0)*0.475*44/12</f>
        <v>1.9123072465285502</v>
      </c>
      <c r="AW121" s="21">
        <f>EXP(-LN(2)/2)*AW120+(1-EXP(-LN(2)/2))/(LN(2)/2)*AQ121*AT121*VLOOKUP('Données projet'!$B$10,Paramètres!$A$1:$I$89,3,0)*0.475*44/12</f>
        <v>3.4343638849033364E-13</v>
      </c>
      <c r="AX121" s="21">
        <f t="shared" si="60"/>
        <v>32.899408397963754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267</v>
      </c>
      <c r="BE121" s="13">
        <f>BD121*VLOOKUP('Données projet'!$B$11,Paramètres!$A$1:$I$89,3,0)*VLOOKUP('Données projet'!$B$11,Paramètres!$A$1:$I$89,5,0)</f>
        <v>270.738</v>
      </c>
      <c r="BF121" s="13">
        <f t="shared" si="91"/>
        <v>65.005866623551711</v>
      </c>
      <c r="BG121" s="20">
        <f t="shared" si="61"/>
        <v>584.7539010360191</v>
      </c>
      <c r="BH121" s="59">
        <f t="shared" si="62"/>
        <v>878.08723436935247</v>
      </c>
      <c r="BI121" s="59">
        <f ca="1">AVERAGE(OFFSET($BH$3,0,0,'Données projet'!$E$11+1,1))-AVERAGE(OFFSET($H$3,0,0,'Données projet'!$E$11+1,1))</f>
        <v>308.80022073574963</v>
      </c>
      <c r="BJ121" s="59">
        <f t="shared" si="92"/>
        <v>183.96267407004115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79.822763611461568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79.822763611461568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795.00000000000068</v>
      </c>
      <c r="O122" s="13">
        <f>N122*VLOOKUP('Données projet'!$B$9,Paramètres!$A$1:$I$89,3,0)*VLOOKUP('Données projet'!$B$9,Paramètres!$A$1:$I$89,5,0)</f>
        <v>372.06000000000029</v>
      </c>
      <c r="P122" s="13">
        <f t="shared" si="87"/>
        <v>86.088609967897526</v>
      </c>
      <c r="Q122" s="20">
        <f t="shared" si="107"/>
        <v>797.94216236075533</v>
      </c>
      <c r="R122" s="59">
        <f t="shared" si="55"/>
        <v>1091.2754956940887</v>
      </c>
      <c r="S122" s="59">
        <f ca="1">AVERAGE(OFFSET($R$3,0,0,'Données projet'!$E$9+1,1))-AVERAGE(OFFSET($H$3,0,0,'Données projet'!$E$9+1,1))</f>
        <v>379.12827535040157</v>
      </c>
      <c r="T122" s="59">
        <f t="shared" si="88"/>
        <v>317.29813413796956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59.390272861414815</v>
      </c>
      <c r="AA122" s="21">
        <f>EXP(-LN(2)/25)*AA121+(1-EXP(-LN(2)/25))/(LN(2)/25)*Calculateur!V122*Calculateur!X122*VLOOKUP('Données projet'!$B$9,Paramètres!$A$1:$I$89,3,0)*0.475*44/12</f>
        <v>3.7759327298795511</v>
      </c>
      <c r="AB122" s="21">
        <f>EXP(-LN(2)/2)*AB121+(1-EXP(-LN(2)/2))/(LN(2)/2)*V122*Y122*VLOOKUP('Données projet'!$B$9,Paramètres!$A$1:$I$89,3,0)*0.475*44/12</f>
        <v>1.7304934303776496E-14</v>
      </c>
      <c r="AC122" s="22">
        <f t="shared" si="57"/>
        <v>63.166205591294379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636.99999999999977</v>
      </c>
      <c r="AJ122" s="13">
        <f>AI122*VLOOKUP('Données projet'!$B$10,Paramètres!$A$1:$I$89,3,0)*VLOOKUP('Données projet'!$B$10,Paramètres!$A$1:$I$89,5,0)</f>
        <v>356.08299999999991</v>
      </c>
      <c r="AK122" s="13">
        <f t="shared" si="89"/>
        <v>82.813805255716545</v>
      </c>
      <c r="AL122" s="20">
        <f t="shared" si="58"/>
        <v>764.41193582037283</v>
      </c>
      <c r="AM122" s="59">
        <f t="shared" si="59"/>
        <v>1057.7452691537062</v>
      </c>
      <c r="AN122" s="59">
        <f ca="1">AVERAGE(OFFSET($AM$3,0,0,'Données projet'!$E$10+1,1))-AVERAGE(OFFSET($H$3,0,0,'Données projet'!$E$10+1,1))</f>
        <v>382.55387448074327</v>
      </c>
      <c r="AO122" s="59">
        <f t="shared" si="90"/>
        <v>476.29465646955543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30.379462998120683</v>
      </c>
      <c r="AV122" s="21">
        <f>EXP(-LN(2)/25)*AV121+(1-EXP(-LN(2)/25))/(LN(2)/25)*Calculateur!AQ122*Calculateur!AS122*VLOOKUP('Données projet'!$B$10,Paramètres!$A$1:$I$89,3,0)*0.475*44/12</f>
        <v>1.8600151043083595</v>
      </c>
      <c r="AW122" s="21">
        <f>EXP(-LN(2)/2)*AW121+(1-EXP(-LN(2)/2))/(LN(2)/2)*AQ122*AT122*VLOOKUP('Données projet'!$B$10,Paramètres!$A$1:$I$89,3,0)*0.475*44/12</f>
        <v>2.4284619920773248E-13</v>
      </c>
      <c r="AX122" s="21">
        <f t="shared" si="60"/>
        <v>32.239478102429281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267</v>
      </c>
      <c r="BE122" s="13">
        <f>BD122*VLOOKUP('Données projet'!$B$11,Paramètres!$A$1:$I$89,3,0)*VLOOKUP('Données projet'!$B$11,Paramètres!$A$1:$I$89,5,0)</f>
        <v>270.738</v>
      </c>
      <c r="BF122" s="13">
        <f t="shared" si="91"/>
        <v>65.005866623551711</v>
      </c>
      <c r="BG122" s="20">
        <f t="shared" si="61"/>
        <v>584.7539010360191</v>
      </c>
      <c r="BH122" s="59">
        <f t="shared" si="62"/>
        <v>878.08723436935247</v>
      </c>
      <c r="BI122" s="59">
        <f ca="1">AVERAGE(OFFSET($BH$3,0,0,'Données projet'!$E$11+1,1))-AVERAGE(OFFSET($H$3,0,0,'Données projet'!$E$11+1,1))</f>
        <v>308.80022073574963</v>
      </c>
      <c r="BJ122" s="59">
        <f t="shared" si="92"/>
        <v>183.96267407004115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78.257487904119159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78.257487904119159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795.00000000000068</v>
      </c>
      <c r="O123" s="13">
        <f>N123*VLOOKUP('Données projet'!$B$9,Paramètres!$A$1:$I$89,3,0)*VLOOKUP('Données projet'!$B$9,Paramètres!$A$1:$I$89,5,0)</f>
        <v>372.06000000000029</v>
      </c>
      <c r="P123" s="13">
        <f t="shared" si="87"/>
        <v>86.088609967897526</v>
      </c>
      <c r="Q123" s="20">
        <f t="shared" si="107"/>
        <v>797.94216236075533</v>
      </c>
      <c r="R123" s="59">
        <f t="shared" si="55"/>
        <v>1091.2754956940887</v>
      </c>
      <c r="S123" s="59">
        <f ca="1">AVERAGE(OFFSET($R$3,0,0,'Données projet'!$E$9+1,1))-AVERAGE(OFFSET($H$3,0,0,'Données projet'!$E$9+1,1))</f>
        <v>379.12827535040157</v>
      </c>
      <c r="T123" s="59">
        <f t="shared" si="88"/>
        <v>317.29813413796956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58.225665835092045</v>
      </c>
      <c r="AA123" s="21">
        <f>EXP(-LN(2)/25)*AA122+(1-EXP(-LN(2)/25))/(LN(2)/25)*Calculateur!V123*Calculateur!X123*VLOOKUP('Données projet'!$B$9,Paramètres!$A$1:$I$89,3,0)*0.475*44/12</f>
        <v>3.6726796508133224</v>
      </c>
      <c r="AB123" s="21">
        <f>EXP(-LN(2)/2)*AB122+(1-EXP(-LN(2)/2))/(LN(2)/2)*V123*Y123*VLOOKUP('Données projet'!$B$9,Paramètres!$A$1:$I$89,3,0)*0.475*44/12</f>
        <v>1.2236436394188067E-14</v>
      </c>
      <c r="AC123" s="22">
        <f t="shared" si="57"/>
        <v>61.898345485905381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636.99999999999977</v>
      </c>
      <c r="AJ123" s="13">
        <f>AI123*VLOOKUP('Données projet'!$B$10,Paramètres!$A$1:$I$89,3,0)*VLOOKUP('Données projet'!$B$10,Paramètres!$A$1:$I$89,5,0)</f>
        <v>356.08299999999991</v>
      </c>
      <c r="AK123" s="13">
        <f t="shared" si="89"/>
        <v>82.813805255716545</v>
      </c>
      <c r="AL123" s="20">
        <f t="shared" si="58"/>
        <v>764.41193582037283</v>
      </c>
      <c r="AM123" s="59">
        <f t="shared" si="59"/>
        <v>1057.7452691537062</v>
      </c>
      <c r="AN123" s="59">
        <f ca="1">AVERAGE(OFFSET($AM$3,0,0,'Données projet'!$E$10+1,1))-AVERAGE(OFFSET($H$3,0,0,'Données projet'!$E$10+1,1))</f>
        <v>382.55387448074327</v>
      </c>
      <c r="AO123" s="59">
        <f t="shared" si="90"/>
        <v>476.29465646955543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29.783740258370315</v>
      </c>
      <c r="AV123" s="21">
        <f>EXP(-LN(2)/25)*AV122+(1-EXP(-LN(2)/25))/(LN(2)/25)*Calculateur!AQ123*Calculateur!AS123*VLOOKUP('Données projet'!$B$10,Paramètres!$A$1:$I$89,3,0)*0.475*44/12</f>
        <v>1.8091528934671042</v>
      </c>
      <c r="AW123" s="21">
        <f>EXP(-LN(2)/2)*AW122+(1-EXP(-LN(2)/2))/(LN(2)/2)*AQ123*AT123*VLOOKUP('Données projet'!$B$10,Paramètres!$A$1:$I$89,3,0)*0.475*44/12</f>
        <v>1.7171819424516682E-13</v>
      </c>
      <c r="AX123" s="21">
        <f t="shared" si="60"/>
        <v>31.59289315183759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267</v>
      </c>
      <c r="BE123" s="13">
        <f>BD123*VLOOKUP('Données projet'!$B$11,Paramètres!$A$1:$I$89,3,0)*VLOOKUP('Données projet'!$B$11,Paramètres!$A$1:$I$89,5,0)</f>
        <v>270.738</v>
      </c>
      <c r="BF123" s="13">
        <f t="shared" si="91"/>
        <v>65.005866623551711</v>
      </c>
      <c r="BG123" s="20">
        <f t="shared" si="61"/>
        <v>584.7539010360191</v>
      </c>
      <c r="BH123" s="59">
        <f t="shared" si="62"/>
        <v>878.08723436935247</v>
      </c>
      <c r="BI123" s="59">
        <f ca="1">AVERAGE(OFFSET($BH$3,0,0,'Données projet'!$E$11+1,1))-AVERAGE(OFFSET($H$3,0,0,'Données projet'!$E$11+1,1))</f>
        <v>308.80022073574963</v>
      </c>
      <c r="BJ123" s="59">
        <f t="shared" si="92"/>
        <v>183.96267407004115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76.72290629867382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76.72290629867382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795.00000000000068</v>
      </c>
      <c r="O124" s="13">
        <f>N124*VLOOKUP('Données projet'!$B$9,Paramètres!$A$1:$I$89,3,0)*VLOOKUP('Données projet'!$B$9,Paramètres!$A$1:$I$89,5,0)</f>
        <v>372.06000000000029</v>
      </c>
      <c r="P124" s="13">
        <f t="shared" si="87"/>
        <v>86.088609967897526</v>
      </c>
      <c r="Q124" s="20">
        <f t="shared" si="107"/>
        <v>797.94216236075533</v>
      </c>
      <c r="R124" s="59">
        <f t="shared" si="55"/>
        <v>1091.2754956940887</v>
      </c>
      <c r="S124" s="59">
        <f ca="1">AVERAGE(OFFSET($R$3,0,0,'Données projet'!$E$9+1,1))-AVERAGE(OFFSET($H$3,0,0,'Données projet'!$E$9+1,1))</f>
        <v>379.12827535040157</v>
      </c>
      <c r="T124" s="59">
        <f t="shared" si="88"/>
        <v>317.29813413796956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57.083896042215315</v>
      </c>
      <c r="AA124" s="21">
        <f>EXP(-LN(2)/25)*AA123+(1-EXP(-LN(2)/25))/(LN(2)/25)*Calculateur!V124*Calculateur!X124*VLOOKUP('Données projet'!$B$9,Paramètres!$A$1:$I$89,3,0)*0.475*44/12</f>
        <v>3.5722500326240034</v>
      </c>
      <c r="AB124" s="21">
        <f>EXP(-LN(2)/2)*AB123+(1-EXP(-LN(2)/2))/(LN(2)/2)*V124*Y124*VLOOKUP('Données projet'!$B$9,Paramètres!$A$1:$I$89,3,0)*0.475*44/12</f>
        <v>8.6524671518882479E-15</v>
      </c>
      <c r="AC124" s="22">
        <f t="shared" si="57"/>
        <v>60.656146074839327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636.99999999999977</v>
      </c>
      <c r="AJ124" s="13">
        <f>AI124*VLOOKUP('Données projet'!$B$10,Paramètres!$A$1:$I$89,3,0)*VLOOKUP('Données projet'!$B$10,Paramètres!$A$1:$I$89,5,0)</f>
        <v>356.08299999999991</v>
      </c>
      <c r="AK124" s="13">
        <f t="shared" si="89"/>
        <v>82.813805255716545</v>
      </c>
      <c r="AL124" s="20">
        <f t="shared" si="58"/>
        <v>764.41193582037283</v>
      </c>
      <c r="AM124" s="59">
        <f t="shared" si="59"/>
        <v>1057.7452691537062</v>
      </c>
      <c r="AN124" s="59">
        <f ca="1">AVERAGE(OFFSET($AM$3,0,0,'Données projet'!$E$10+1,1))-AVERAGE(OFFSET($H$3,0,0,'Données projet'!$E$10+1,1))</f>
        <v>382.55387448074327</v>
      </c>
      <c r="AO124" s="59">
        <f t="shared" si="90"/>
        <v>476.29465646955543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29.19969927819146</v>
      </c>
      <c r="AV124" s="21">
        <f>EXP(-LN(2)/25)*AV123+(1-EXP(-LN(2)/25))/(LN(2)/25)*Calculateur!AQ124*Calculateur!AS124*VLOOKUP('Données projet'!$B$10,Paramètres!$A$1:$I$89,3,0)*0.475*44/12</f>
        <v>1.7596815124560303</v>
      </c>
      <c r="AW124" s="21">
        <f>EXP(-LN(2)/2)*AW123+(1-EXP(-LN(2)/2))/(LN(2)/2)*AQ124*AT124*VLOOKUP('Données projet'!$B$10,Paramètres!$A$1:$I$89,3,0)*0.475*44/12</f>
        <v>1.2142309960386624E-13</v>
      </c>
      <c r="AX124" s="21">
        <f t="shared" si="60"/>
        <v>30.959380790647611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267</v>
      </c>
      <c r="BE124" s="13">
        <f>BD124*VLOOKUP('Données projet'!$B$11,Paramètres!$A$1:$I$89,3,0)*VLOOKUP('Données projet'!$B$11,Paramètres!$A$1:$I$89,5,0)</f>
        <v>270.738</v>
      </c>
      <c r="BF124" s="13">
        <f t="shared" si="91"/>
        <v>65.005866623551711</v>
      </c>
      <c r="BG124" s="20">
        <f t="shared" si="61"/>
        <v>584.7539010360191</v>
      </c>
      <c r="BH124" s="59">
        <f t="shared" si="62"/>
        <v>878.08723436935247</v>
      </c>
      <c r="BI124" s="59">
        <f ca="1">AVERAGE(OFFSET($BH$3,0,0,'Données projet'!$E$11+1,1))-AVERAGE(OFFSET($H$3,0,0,'Données projet'!$E$11+1,1))</f>
        <v>308.80022073574963</v>
      </c>
      <c r="BJ124" s="59">
        <f t="shared" si="92"/>
        <v>183.96267407004115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75.218416902508906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75.218416902508906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795.00000000000068</v>
      </c>
      <c r="O125" s="13">
        <f>N125*VLOOKUP('Données projet'!$B$9,Paramètres!$A$1:$I$89,3,0)*VLOOKUP('Données projet'!$B$9,Paramètres!$A$1:$I$89,5,0)</f>
        <v>372.06000000000029</v>
      </c>
      <c r="P125" s="13">
        <f t="shared" si="87"/>
        <v>86.088609967897526</v>
      </c>
      <c r="Q125" s="20">
        <f t="shared" si="107"/>
        <v>797.94216236075533</v>
      </c>
      <c r="R125" s="59">
        <f t="shared" si="55"/>
        <v>1091.2754956940887</v>
      </c>
      <c r="S125" s="59">
        <f ca="1">AVERAGE(OFFSET($R$3,0,0,'Données projet'!$E$9+1,1))-AVERAGE(OFFSET($H$3,0,0,'Données projet'!$E$9+1,1))</f>
        <v>379.12827535040157</v>
      </c>
      <c r="T125" s="59">
        <f t="shared" si="88"/>
        <v>317.29813413796956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55.964515658566093</v>
      </c>
      <c r="AA125" s="21">
        <f>EXP(-LN(2)/25)*AA124+(1-EXP(-LN(2)/25))/(LN(2)/25)*Calculateur!V125*Calculateur!X125*VLOOKUP('Données projet'!$B$9,Paramètres!$A$1:$I$89,3,0)*0.475*44/12</f>
        <v>3.4745666676254352</v>
      </c>
      <c r="AB125" s="21">
        <f>EXP(-LN(2)/2)*AB124+(1-EXP(-LN(2)/2))/(LN(2)/2)*V125*Y125*VLOOKUP('Données projet'!$B$9,Paramètres!$A$1:$I$89,3,0)*0.475*44/12</f>
        <v>6.1182181970940334E-15</v>
      </c>
      <c r="AC125" s="22">
        <f t="shared" si="57"/>
        <v>59.439082326191532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636.99999999999977</v>
      </c>
      <c r="AJ125" s="13">
        <f>AI125*VLOOKUP('Données projet'!$B$10,Paramètres!$A$1:$I$89,3,0)*VLOOKUP('Données projet'!$B$10,Paramètres!$A$1:$I$89,5,0)</f>
        <v>356.08299999999991</v>
      </c>
      <c r="AK125" s="13">
        <f t="shared" si="89"/>
        <v>82.813805255716545</v>
      </c>
      <c r="AL125" s="20">
        <f t="shared" si="58"/>
        <v>764.41193582037283</v>
      </c>
      <c r="AM125" s="59">
        <f t="shared" si="59"/>
        <v>1057.7452691537062</v>
      </c>
      <c r="AN125" s="59">
        <f ca="1">AVERAGE(OFFSET($AM$3,0,0,'Données projet'!$E$10+1,1))-AVERAGE(OFFSET($H$3,0,0,'Données projet'!$E$10+1,1))</f>
        <v>382.55387448074327</v>
      </c>
      <c r="AO125" s="59">
        <f t="shared" si="90"/>
        <v>476.29465646955543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28.627110985404087</v>
      </c>
      <c r="AV125" s="21">
        <f>EXP(-LN(2)/25)*AV124+(1-EXP(-LN(2)/25))/(LN(2)/25)*Calculateur!AQ125*Calculateur!AS125*VLOOKUP('Données projet'!$B$10,Paramètres!$A$1:$I$89,3,0)*0.475*44/12</f>
        <v>1.7115629289602912</v>
      </c>
      <c r="AW125" s="21">
        <f>EXP(-LN(2)/2)*AW124+(1-EXP(-LN(2)/2))/(LN(2)/2)*AQ125*AT125*VLOOKUP('Données projet'!$B$10,Paramètres!$A$1:$I$89,3,0)*0.475*44/12</f>
        <v>8.585909712258341E-14</v>
      </c>
      <c r="AX125" s="21">
        <f t="shared" si="60"/>
        <v>30.338673914364463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267</v>
      </c>
      <c r="BE125" s="13">
        <f>BD125*VLOOKUP('Données projet'!$B$11,Paramètres!$A$1:$I$89,3,0)*VLOOKUP('Données projet'!$B$11,Paramètres!$A$1:$I$89,5,0)</f>
        <v>270.738</v>
      </c>
      <c r="BF125" s="13">
        <f t="shared" si="91"/>
        <v>65.005866623551711</v>
      </c>
      <c r="BG125" s="20">
        <f t="shared" si="61"/>
        <v>584.7539010360191</v>
      </c>
      <c r="BH125" s="59">
        <f t="shared" si="62"/>
        <v>878.08723436935247</v>
      </c>
      <c r="BI125" s="59">
        <f ca="1">AVERAGE(OFFSET($BH$3,0,0,'Données projet'!$E$11+1,1))-AVERAGE(OFFSET($H$3,0,0,'Données projet'!$E$11+1,1))</f>
        <v>308.80022073574963</v>
      </c>
      <c r="BJ125" s="59">
        <f t="shared" si="92"/>
        <v>183.96267407004115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73.743429625754871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73.743429625754871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795.00000000000068</v>
      </c>
      <c r="O126" s="13">
        <f>N126*VLOOKUP('Données projet'!$B$9,Paramètres!$A$1:$I$89,3,0)*VLOOKUP('Données projet'!$B$9,Paramètres!$A$1:$I$89,5,0)</f>
        <v>372.06000000000029</v>
      </c>
      <c r="P126" s="13">
        <f t="shared" si="87"/>
        <v>86.088609967897526</v>
      </c>
      <c r="Q126" s="20">
        <f t="shared" si="107"/>
        <v>797.94216236075533</v>
      </c>
      <c r="R126" s="59">
        <f t="shared" si="55"/>
        <v>1091.2754956940887</v>
      </c>
      <c r="S126" s="59">
        <f ca="1">AVERAGE(OFFSET($R$3,0,0,'Données projet'!$E$9+1,1))-AVERAGE(OFFSET($H$3,0,0,'Données projet'!$E$9+1,1))</f>
        <v>379.12827535040157</v>
      </c>
      <c r="T126" s="59">
        <f t="shared" si="88"/>
        <v>317.29813413796956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54.867085641485616</v>
      </c>
      <c r="AA126" s="21">
        <f>EXP(-LN(2)/25)*AA125+(1-EXP(-LN(2)/25))/(LN(2)/25)*Calculateur!V126*Calculateur!X126*VLOOKUP('Données projet'!$B$9,Paramètres!$A$1:$I$89,3,0)*0.475*44/12</f>
        <v>3.379554459379698</v>
      </c>
      <c r="AB126" s="21">
        <f>EXP(-LN(2)/2)*AB125+(1-EXP(-LN(2)/2))/(LN(2)/2)*V126*Y126*VLOOKUP('Données projet'!$B$9,Paramètres!$A$1:$I$89,3,0)*0.475*44/12</f>
        <v>4.326233575944124E-15</v>
      </c>
      <c r="AC126" s="22">
        <f t="shared" si="57"/>
        <v>58.246640100865321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636.99999999999977</v>
      </c>
      <c r="AJ126" s="13">
        <f>AI126*VLOOKUP('Données projet'!$B$10,Paramètres!$A$1:$I$89,3,0)*VLOOKUP('Données projet'!$B$10,Paramètres!$A$1:$I$89,5,0)</f>
        <v>356.08299999999991</v>
      </c>
      <c r="AK126" s="13">
        <f t="shared" si="89"/>
        <v>82.813805255716545</v>
      </c>
      <c r="AL126" s="20">
        <f t="shared" si="58"/>
        <v>764.41193582037283</v>
      </c>
      <c r="AM126" s="59">
        <f t="shared" si="59"/>
        <v>1057.7452691537062</v>
      </c>
      <c r="AN126" s="59">
        <f ca="1">AVERAGE(OFFSET($AM$3,0,0,'Données projet'!$E$10+1,1))-AVERAGE(OFFSET($H$3,0,0,'Données projet'!$E$10+1,1))</f>
        <v>382.55387448074327</v>
      </c>
      <c r="AO126" s="59">
        <f t="shared" si="90"/>
        <v>476.29465646955543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28.065750799793904</v>
      </c>
      <c r="AV126" s="21">
        <f>EXP(-LN(2)/25)*AV125+(1-EXP(-LN(2)/25))/(LN(2)/25)*Calculateur!AQ126*Calculateur!AS126*VLOOKUP('Données projet'!$B$10,Paramètres!$A$1:$I$89,3,0)*0.475*44/12</f>
        <v>1.6647601506606895</v>
      </c>
      <c r="AW126" s="21">
        <f>EXP(-LN(2)/2)*AW125+(1-EXP(-LN(2)/2))/(LN(2)/2)*AQ126*AT126*VLOOKUP('Données projet'!$B$10,Paramètres!$A$1:$I$89,3,0)*0.475*44/12</f>
        <v>6.0711549801933119E-14</v>
      </c>
      <c r="AX126" s="21">
        <f t="shared" si="60"/>
        <v>29.730510950454654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267</v>
      </c>
      <c r="BE126" s="13">
        <f>BD126*VLOOKUP('Données projet'!$B$11,Paramètres!$A$1:$I$89,3,0)*VLOOKUP('Données projet'!$B$11,Paramètres!$A$1:$I$89,5,0)</f>
        <v>270.738</v>
      </c>
      <c r="BF126" s="13">
        <f t="shared" si="91"/>
        <v>65.005866623551711</v>
      </c>
      <c r="BG126" s="20">
        <f t="shared" si="61"/>
        <v>584.7539010360191</v>
      </c>
      <c r="BH126" s="59">
        <f t="shared" si="62"/>
        <v>878.08723436935247</v>
      </c>
      <c r="BI126" s="59">
        <f ca="1">AVERAGE(OFFSET($BH$3,0,0,'Données projet'!$E$11+1,1))-AVERAGE(OFFSET($H$3,0,0,'Données projet'!$E$11+1,1))</f>
        <v>308.80022073574963</v>
      </c>
      <c r="BJ126" s="59">
        <f t="shared" si="92"/>
        <v>183.96267407004115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72.297365949844576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72.297365949844576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795.00000000000068</v>
      </c>
      <c r="O127" s="13">
        <f>N127*VLOOKUP('Données projet'!$B$9,Paramètres!$A$1:$I$89,3,0)*VLOOKUP('Données projet'!$B$9,Paramètres!$A$1:$I$89,5,0)</f>
        <v>372.06000000000029</v>
      </c>
      <c r="P127" s="13">
        <f t="shared" si="87"/>
        <v>86.088609967897526</v>
      </c>
      <c r="Q127" s="20">
        <f t="shared" si="107"/>
        <v>797.94216236075533</v>
      </c>
      <c r="R127" s="59">
        <f t="shared" si="55"/>
        <v>1091.2754956940887</v>
      </c>
      <c r="S127" s="59">
        <f ca="1">AVERAGE(OFFSET($R$3,0,0,'Données projet'!$E$9+1,1))-AVERAGE(OFFSET($H$3,0,0,'Données projet'!$E$9+1,1))</f>
        <v>379.12827535040157</v>
      </c>
      <c r="T127" s="59">
        <f t="shared" si="88"/>
        <v>317.29813413796956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53.791175557673867</v>
      </c>
      <c r="AA127" s="21">
        <f>EXP(-LN(2)/25)*AA126+(1-EXP(-LN(2)/25))/(LN(2)/25)*Calculateur!V127*Calculateur!X127*VLOOKUP('Données projet'!$B$9,Paramètres!$A$1:$I$89,3,0)*0.475*44/12</f>
        <v>3.2871403649649151</v>
      </c>
      <c r="AB127" s="21">
        <f>EXP(-LN(2)/2)*AB126+(1-EXP(-LN(2)/2))/(LN(2)/2)*V127*Y127*VLOOKUP('Données projet'!$B$9,Paramètres!$A$1:$I$89,3,0)*0.475*44/12</f>
        <v>3.0591090985470167E-15</v>
      </c>
      <c r="AC127" s="22">
        <f t="shared" si="57"/>
        <v>57.07831592263878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636.99999999999977</v>
      </c>
      <c r="AJ127" s="13">
        <f>AI127*VLOOKUP('Données projet'!$B$10,Paramètres!$A$1:$I$89,3,0)*VLOOKUP('Données projet'!$B$10,Paramètres!$A$1:$I$89,5,0)</f>
        <v>356.08299999999991</v>
      </c>
      <c r="AK127" s="13">
        <f t="shared" si="89"/>
        <v>82.813805255716545</v>
      </c>
      <c r="AL127" s="20">
        <f t="shared" si="58"/>
        <v>764.41193582037283</v>
      </c>
      <c r="AM127" s="59">
        <f t="shared" si="59"/>
        <v>1057.7452691537062</v>
      </c>
      <c r="AN127" s="59">
        <f ca="1">AVERAGE(OFFSET($AM$3,0,0,'Données projet'!$E$10+1,1))-AVERAGE(OFFSET($H$3,0,0,'Données projet'!$E$10+1,1))</f>
        <v>382.55387448074327</v>
      </c>
      <c r="AO127" s="59">
        <f t="shared" si="90"/>
        <v>476.29465646955543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27.515398545027629</v>
      </c>
      <c r="AV127" s="21">
        <f>EXP(-LN(2)/25)*AV126+(1-EXP(-LN(2)/25))/(LN(2)/25)*Calculateur!AQ127*Calculateur!AS127*VLOOKUP('Données projet'!$B$10,Paramètres!$A$1:$I$89,3,0)*0.475*44/12</f>
        <v>1.6192371967949415</v>
      </c>
      <c r="AW127" s="21">
        <f>EXP(-LN(2)/2)*AW126+(1-EXP(-LN(2)/2))/(LN(2)/2)*AQ127*AT127*VLOOKUP('Données projet'!$B$10,Paramètres!$A$1:$I$89,3,0)*0.475*44/12</f>
        <v>4.2929548561291705E-14</v>
      </c>
      <c r="AX127" s="21">
        <f t="shared" si="60"/>
        <v>29.134635741822613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267</v>
      </c>
      <c r="BE127" s="13">
        <f>BD127*VLOOKUP('Données projet'!$B$11,Paramètres!$A$1:$I$89,3,0)*VLOOKUP('Données projet'!$B$11,Paramètres!$A$1:$I$89,5,0)</f>
        <v>270.738</v>
      </c>
      <c r="BF127" s="13">
        <f t="shared" si="91"/>
        <v>65.005866623551711</v>
      </c>
      <c r="BG127" s="20">
        <f t="shared" si="61"/>
        <v>584.7539010360191</v>
      </c>
      <c r="BH127" s="59">
        <f t="shared" si="62"/>
        <v>878.08723436935247</v>
      </c>
      <c r="BI127" s="59">
        <f ca="1">AVERAGE(OFFSET($BH$3,0,0,'Données projet'!$E$11+1,1))-AVERAGE(OFFSET($H$3,0,0,'Données projet'!$E$11+1,1))</f>
        <v>308.80022073574963</v>
      </c>
      <c r="BJ127" s="59">
        <f t="shared" si="92"/>
        <v>183.96267407004115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70.879658700607138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70.879658700607138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795.00000000000068</v>
      </c>
      <c r="O128" s="13">
        <f>N128*VLOOKUP('Données projet'!$B$9,Paramètres!$A$1:$I$89,3,0)*VLOOKUP('Données projet'!$B$9,Paramètres!$A$1:$I$89,5,0)</f>
        <v>372.06000000000029</v>
      </c>
      <c r="P128" s="13">
        <f t="shared" si="87"/>
        <v>86.088609967897526</v>
      </c>
      <c r="Q128" s="20">
        <f t="shared" si="107"/>
        <v>797.94216236075533</v>
      </c>
      <c r="R128" s="59">
        <f t="shared" si="55"/>
        <v>1091.2754956940887</v>
      </c>
      <c r="S128" s="59">
        <f ca="1">AVERAGE(OFFSET($R$3,0,0,'Données projet'!$E$9+1,1))-AVERAGE(OFFSET($H$3,0,0,'Données projet'!$E$9+1,1))</f>
        <v>379.12827535040157</v>
      </c>
      <c r="T128" s="59">
        <f t="shared" si="88"/>
        <v>317.29813413796956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52.736363414365314</v>
      </c>
      <c r="AA128" s="21">
        <f>EXP(-LN(2)/25)*AA127+(1-EXP(-LN(2)/25))/(LN(2)/25)*Calculateur!V128*Calculateur!X128*VLOOKUP('Données projet'!$B$9,Paramètres!$A$1:$I$89,3,0)*0.475*44/12</f>
        <v>3.1972533388217506</v>
      </c>
      <c r="AB128" s="21">
        <f>EXP(-LN(2)/2)*AB127+(1-EXP(-LN(2)/2))/(LN(2)/2)*V128*Y128*VLOOKUP('Données projet'!$B$9,Paramètres!$A$1:$I$89,3,0)*0.475*44/12</f>
        <v>2.163116787972062E-15</v>
      </c>
      <c r="AC128" s="22">
        <f t="shared" si="57"/>
        <v>55.933616753187067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636.99999999999977</v>
      </c>
      <c r="AJ128" s="13">
        <f>AI128*VLOOKUP('Données projet'!$B$10,Paramètres!$A$1:$I$89,3,0)*VLOOKUP('Données projet'!$B$10,Paramètres!$A$1:$I$89,5,0)</f>
        <v>356.08299999999991</v>
      </c>
      <c r="AK128" s="13">
        <f t="shared" si="89"/>
        <v>82.813805255716545</v>
      </c>
      <c r="AL128" s="20">
        <f t="shared" si="58"/>
        <v>764.41193582037283</v>
      </c>
      <c r="AM128" s="59">
        <f t="shared" si="59"/>
        <v>1057.7452691537062</v>
      </c>
      <c r="AN128" s="59">
        <f ca="1">AVERAGE(OFFSET($AM$3,0,0,'Données projet'!$E$10+1,1))-AVERAGE(OFFSET($H$3,0,0,'Données projet'!$E$10+1,1))</f>
        <v>382.55387448074327</v>
      </c>
      <c r="AO128" s="59">
        <f t="shared" si="90"/>
        <v>476.29465646955543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26.975838362295594</v>
      </c>
      <c r="AV128" s="21">
        <f>EXP(-LN(2)/25)*AV127+(1-EXP(-LN(2)/25))/(LN(2)/25)*Calculateur!AQ128*Calculateur!AS128*VLOOKUP('Données projet'!$B$10,Paramètres!$A$1:$I$89,3,0)*0.475*44/12</f>
        <v>1.5749590704966006</v>
      </c>
      <c r="AW128" s="21">
        <f>EXP(-LN(2)/2)*AW127+(1-EXP(-LN(2)/2))/(LN(2)/2)*AQ128*AT128*VLOOKUP('Données projet'!$B$10,Paramètres!$A$1:$I$89,3,0)*0.475*44/12</f>
        <v>3.0355774900966559E-14</v>
      </c>
      <c r="AX128" s="21">
        <f t="shared" si="60"/>
        <v>28.550797432792226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267</v>
      </c>
      <c r="BE128" s="13">
        <f>BD128*VLOOKUP('Données projet'!$B$11,Paramètres!$A$1:$I$89,3,0)*VLOOKUP('Données projet'!$B$11,Paramètres!$A$1:$I$89,5,0)</f>
        <v>270.738</v>
      </c>
      <c r="BF128" s="13">
        <f t="shared" si="91"/>
        <v>65.005866623551711</v>
      </c>
      <c r="BG128" s="20">
        <f t="shared" si="61"/>
        <v>584.7539010360191</v>
      </c>
      <c r="BH128" s="59">
        <f t="shared" si="62"/>
        <v>878.08723436935247</v>
      </c>
      <c r="BI128" s="59">
        <f ca="1">AVERAGE(OFFSET($BH$3,0,0,'Données projet'!$E$11+1,1))-AVERAGE(OFFSET($H$3,0,0,'Données projet'!$E$11+1,1))</f>
        <v>308.80022073574963</v>
      </c>
      <c r="BJ128" s="59">
        <f t="shared" si="92"/>
        <v>183.96267407004115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69.489751825811197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69.489751825811197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795.00000000000068</v>
      </c>
      <c r="O129" s="13">
        <f>N129*VLOOKUP('Données projet'!$B$9,Paramètres!$A$1:$I$89,3,0)*VLOOKUP('Données projet'!$B$9,Paramètres!$A$1:$I$89,5,0)</f>
        <v>372.06000000000029</v>
      </c>
      <c r="P129" s="13">
        <f t="shared" si="87"/>
        <v>86.088609967897526</v>
      </c>
      <c r="Q129" s="20">
        <f t="shared" si="107"/>
        <v>797.94216236075533</v>
      </c>
      <c r="R129" s="59">
        <f t="shared" si="55"/>
        <v>1091.2754956940887</v>
      </c>
      <c r="S129" s="59">
        <f ca="1">AVERAGE(OFFSET($R$3,0,0,'Données projet'!$E$9+1,1))-AVERAGE(OFFSET($H$3,0,0,'Données projet'!$E$9+1,1))</f>
        <v>379.12827535040157</v>
      </c>
      <c r="T129" s="59">
        <f t="shared" si="88"/>
        <v>317.29813413796956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51.702235493815166</v>
      </c>
      <c r="AA129" s="21">
        <f>EXP(-LN(2)/25)*AA128+(1-EXP(-LN(2)/25))/(LN(2)/25)*Calculateur!V129*Calculateur!X129*VLOOKUP('Données projet'!$B$9,Paramètres!$A$1:$I$89,3,0)*0.475*44/12</f>
        <v>3.1098242781354242</v>
      </c>
      <c r="AB129" s="21">
        <f>EXP(-LN(2)/2)*AB128+(1-EXP(-LN(2)/2))/(LN(2)/2)*V129*Y129*VLOOKUP('Données projet'!$B$9,Paramètres!$A$1:$I$89,3,0)*0.475*44/12</f>
        <v>1.5295545492735084E-15</v>
      </c>
      <c r="AC129" s="22">
        <f t="shared" si="57"/>
        <v>54.812059771950594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636.99999999999977</v>
      </c>
      <c r="AJ129" s="13">
        <f>AI129*VLOOKUP('Données projet'!$B$10,Paramètres!$A$1:$I$89,3,0)*VLOOKUP('Données projet'!$B$10,Paramètres!$A$1:$I$89,5,0)</f>
        <v>356.08299999999991</v>
      </c>
      <c r="AK129" s="13">
        <f t="shared" si="89"/>
        <v>82.813805255716545</v>
      </c>
      <c r="AL129" s="20">
        <f t="shared" si="58"/>
        <v>764.41193582037283</v>
      </c>
      <c r="AM129" s="59">
        <f t="shared" si="59"/>
        <v>1057.7452691537062</v>
      </c>
      <c r="AN129" s="59">
        <f ca="1">AVERAGE(OFFSET($AM$3,0,0,'Données projet'!$E$10+1,1))-AVERAGE(OFFSET($H$3,0,0,'Données projet'!$E$10+1,1))</f>
        <v>382.55387448074327</v>
      </c>
      <c r="AO129" s="59">
        <f t="shared" si="90"/>
        <v>476.29465646955543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26.446858625647717</v>
      </c>
      <c r="AV129" s="21">
        <f>EXP(-LN(2)/25)*AV128+(1-EXP(-LN(2)/25))/(LN(2)/25)*Calculateur!AQ129*Calculateur!AS129*VLOOKUP('Données projet'!$B$10,Paramètres!$A$1:$I$89,3,0)*0.475*44/12</f>
        <v>1.5318917318903731</v>
      </c>
      <c r="AW129" s="21">
        <f>EXP(-LN(2)/2)*AW128+(1-EXP(-LN(2)/2))/(LN(2)/2)*AQ129*AT129*VLOOKUP('Données projet'!$B$10,Paramètres!$A$1:$I$89,3,0)*0.475*44/12</f>
        <v>2.1464774280645853E-14</v>
      </c>
      <c r="AX129" s="21">
        <f t="shared" si="60"/>
        <v>27.978750357538111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267</v>
      </c>
      <c r="BE129" s="13">
        <f>BD129*VLOOKUP('Données projet'!$B$11,Paramètres!$A$1:$I$89,3,0)*VLOOKUP('Données projet'!$B$11,Paramètres!$A$1:$I$89,5,0)</f>
        <v>270.738</v>
      </c>
      <c r="BF129" s="13">
        <f t="shared" si="91"/>
        <v>65.005866623551711</v>
      </c>
      <c r="BG129" s="20">
        <f t="shared" si="61"/>
        <v>584.7539010360191</v>
      </c>
      <c r="BH129" s="59">
        <f t="shared" si="62"/>
        <v>878.08723436935247</v>
      </c>
      <c r="BI129" s="59">
        <f ca="1">AVERAGE(OFFSET($BH$3,0,0,'Données projet'!$E$11+1,1))-AVERAGE(OFFSET($H$3,0,0,'Données projet'!$E$11+1,1))</f>
        <v>308.80022073574963</v>
      </c>
      <c r="BJ129" s="59">
        <f t="shared" si="92"/>
        <v>183.96267407004115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68.127100177070531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68.127100177070531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795.00000000000068</v>
      </c>
      <c r="O130" s="13">
        <f>N130*VLOOKUP('Données projet'!$B$9,Paramètres!$A$1:$I$89,3,0)*VLOOKUP('Données projet'!$B$9,Paramètres!$A$1:$I$89,5,0)</f>
        <v>372.06000000000029</v>
      </c>
      <c r="P130" s="13">
        <f t="shared" si="87"/>
        <v>86.088609967897526</v>
      </c>
      <c r="Q130" s="20">
        <f t="shared" si="107"/>
        <v>797.94216236075533</v>
      </c>
      <c r="R130" s="59">
        <f t="shared" si="55"/>
        <v>1091.2754956940887</v>
      </c>
      <c r="S130" s="59">
        <f ca="1">AVERAGE(OFFSET($R$3,0,0,'Données projet'!$E$9+1,1))-AVERAGE(OFFSET($H$3,0,0,'Données projet'!$E$9+1,1))</f>
        <v>379.12827535040157</v>
      </c>
      <c r="T130" s="59">
        <f t="shared" si="88"/>
        <v>317.29813413796956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50.688386191031256</v>
      </c>
      <c r="AA130" s="21">
        <f>EXP(-LN(2)/25)*AA129+(1-EXP(-LN(2)/25))/(LN(2)/25)*Calculateur!V130*Calculateur!X130*VLOOKUP('Données projet'!$B$9,Paramètres!$A$1:$I$89,3,0)*0.475*44/12</f>
        <v>3.0247859697112598</v>
      </c>
      <c r="AB130" s="21">
        <f>EXP(-LN(2)/2)*AB129+(1-EXP(-LN(2)/2))/(LN(2)/2)*V130*Y130*VLOOKUP('Données projet'!$B$9,Paramètres!$A$1:$I$89,3,0)*0.475*44/12</f>
        <v>1.081558393986031E-15</v>
      </c>
      <c r="AC130" s="22">
        <f t="shared" si="57"/>
        <v>53.713172160742516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636.99999999999977</v>
      </c>
      <c r="AJ130" s="13">
        <f>AI130*VLOOKUP('Données projet'!$B$10,Paramètres!$A$1:$I$89,3,0)*VLOOKUP('Données projet'!$B$10,Paramètres!$A$1:$I$89,5,0)</f>
        <v>356.08299999999991</v>
      </c>
      <c r="AK130" s="13">
        <f t="shared" si="89"/>
        <v>82.813805255716545</v>
      </c>
      <c r="AL130" s="20">
        <f t="shared" si="58"/>
        <v>764.41193582037283</v>
      </c>
      <c r="AM130" s="59">
        <f t="shared" si="59"/>
        <v>1057.7452691537062</v>
      </c>
      <c r="AN130" s="59">
        <f ca="1">AVERAGE(OFFSET($AM$3,0,0,'Données projet'!$E$10+1,1))-AVERAGE(OFFSET($H$3,0,0,'Données projet'!$E$10+1,1))</f>
        <v>382.55387448074327</v>
      </c>
      <c r="AO130" s="59">
        <f t="shared" si="90"/>
        <v>476.29465646955543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25.928251858989725</v>
      </c>
      <c r="AV130" s="21">
        <f>EXP(-LN(2)/25)*AV129+(1-EXP(-LN(2)/25))/(LN(2)/25)*Calculateur!AQ130*Calculateur!AS130*VLOOKUP('Données projet'!$B$10,Paramètres!$A$1:$I$89,3,0)*0.475*44/12</f>
        <v>1.4900020719231459</v>
      </c>
      <c r="AW130" s="21">
        <f>EXP(-LN(2)/2)*AW129+(1-EXP(-LN(2)/2))/(LN(2)/2)*AQ130*AT130*VLOOKUP('Données projet'!$B$10,Paramètres!$A$1:$I$89,3,0)*0.475*44/12</f>
        <v>1.517788745048328E-14</v>
      </c>
      <c r="AX130" s="21">
        <f t="shared" si="60"/>
        <v>27.418253930912886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267</v>
      </c>
      <c r="BE130" s="13">
        <f>BD130*VLOOKUP('Données projet'!$B$11,Paramètres!$A$1:$I$89,3,0)*VLOOKUP('Données projet'!$B$11,Paramètres!$A$1:$I$89,5,0)</f>
        <v>270.738</v>
      </c>
      <c r="BF130" s="13">
        <f t="shared" si="91"/>
        <v>65.005866623551711</v>
      </c>
      <c r="BG130" s="20">
        <f t="shared" si="61"/>
        <v>584.7539010360191</v>
      </c>
      <c r="BH130" s="59">
        <f t="shared" si="62"/>
        <v>878.08723436935247</v>
      </c>
      <c r="BI130" s="59">
        <f ca="1">AVERAGE(OFFSET($BH$3,0,0,'Données projet'!$E$11+1,1))-AVERAGE(OFFSET($H$3,0,0,'Données projet'!$E$11+1,1))</f>
        <v>308.80022073574963</v>
      </c>
      <c r="BJ130" s="59">
        <f t="shared" si="92"/>
        <v>183.96267407004115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66.791169296026226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66.791169296026226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795.00000000000068</v>
      </c>
      <c r="O131" s="13">
        <f>N131*VLOOKUP('Données projet'!$B$9,Paramètres!$A$1:$I$89,3,0)*VLOOKUP('Données projet'!$B$9,Paramètres!$A$1:$I$89,5,0)</f>
        <v>372.06000000000029</v>
      </c>
      <c r="P131" s="13">
        <f t="shared" si="87"/>
        <v>86.088609967897526</v>
      </c>
      <c r="Q131" s="20">
        <f t="shared" ref="Q131:Q153" si="108">(O131+P131)*0.475*44/12</f>
        <v>797.94216236075533</v>
      </c>
      <c r="R131" s="59">
        <f t="shared" ref="R131:R194" si="109">Q131+(I131+J131)*44/12</f>
        <v>1091.2754956940887</v>
      </c>
      <c r="S131" s="59">
        <f ca="1">AVERAGE(OFFSET($R$3,0,0,'Données projet'!$E$9+1,1))-AVERAGE(OFFSET($H$3,0,0,'Données projet'!$E$9+1,1))</f>
        <v>379.12827535040157</v>
      </c>
      <c r="T131" s="59">
        <f t="shared" si="88"/>
        <v>317.29813413796956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49.69441785468792</v>
      </c>
      <c r="AA131" s="21">
        <f>EXP(-LN(2)/25)*AA130+(1-EXP(-LN(2)/25))/(LN(2)/25)*Calculateur!V131*Calculateur!X131*VLOOKUP('Données projet'!$B$9,Paramètres!$A$1:$I$89,3,0)*0.475*44/12</f>
        <v>2.9420730383029245</v>
      </c>
      <c r="AB131" s="21">
        <f>EXP(-LN(2)/2)*AB130+(1-EXP(-LN(2)/2))/(LN(2)/2)*V131*Y131*VLOOKUP('Données projet'!$B$9,Paramètres!$A$1:$I$89,3,0)*0.475*44/12</f>
        <v>7.6477727463675418E-16</v>
      </c>
      <c r="AC131" s="22">
        <f t="shared" si="57"/>
        <v>52.636490892990842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636.99999999999977</v>
      </c>
      <c r="AJ131" s="13">
        <f>AI131*VLOOKUP('Données projet'!$B$10,Paramètres!$A$1:$I$89,3,0)*VLOOKUP('Données projet'!$B$10,Paramètres!$A$1:$I$89,5,0)</f>
        <v>356.08299999999991</v>
      </c>
      <c r="AK131" s="13">
        <f t="shared" si="89"/>
        <v>82.813805255716545</v>
      </c>
      <c r="AL131" s="20">
        <f t="shared" si="58"/>
        <v>764.41193582037283</v>
      </c>
      <c r="AM131" s="59">
        <f t="shared" si="59"/>
        <v>1057.7452691537062</v>
      </c>
      <c r="AN131" s="59">
        <f ca="1">AVERAGE(OFFSET($AM$3,0,0,'Données projet'!$E$10+1,1))-AVERAGE(OFFSET($H$3,0,0,'Données projet'!$E$10+1,1))</f>
        <v>382.55387448074327</v>
      </c>
      <c r="AO131" s="59">
        <f t="shared" si="90"/>
        <v>476.29465646955543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25.419814654707</v>
      </c>
      <c r="AV131" s="21">
        <f>EXP(-LN(2)/25)*AV130+(1-EXP(-LN(2)/25))/(LN(2)/25)*Calculateur!AQ131*Calculateur!AS131*VLOOKUP('Données projet'!$B$10,Paramètres!$A$1:$I$89,3,0)*0.475*44/12</f>
        <v>1.4492578869106041</v>
      </c>
      <c r="AW131" s="21">
        <f>EXP(-LN(2)/2)*AW130+(1-EXP(-LN(2)/2))/(LN(2)/2)*AQ131*AT131*VLOOKUP('Données projet'!$B$10,Paramètres!$A$1:$I$89,3,0)*0.475*44/12</f>
        <v>1.0732387140322926E-14</v>
      </c>
      <c r="AX131" s="21">
        <f t="shared" si="60"/>
        <v>26.869072541617616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267</v>
      </c>
      <c r="BE131" s="13">
        <f>BD131*VLOOKUP('Données projet'!$B$11,Paramètres!$A$1:$I$89,3,0)*VLOOKUP('Données projet'!$B$11,Paramètres!$A$1:$I$89,5,0)</f>
        <v>270.738</v>
      </c>
      <c r="BF131" s="13">
        <f t="shared" si="91"/>
        <v>65.005866623551711</v>
      </c>
      <c r="BG131" s="20">
        <f t="shared" si="61"/>
        <v>584.7539010360191</v>
      </c>
      <c r="BH131" s="59">
        <f t="shared" si="62"/>
        <v>878.08723436935247</v>
      </c>
      <c r="BI131" s="59">
        <f ca="1">AVERAGE(OFFSET($BH$3,0,0,'Données projet'!$E$11+1,1))-AVERAGE(OFFSET($H$3,0,0,'Données projet'!$E$11+1,1))</f>
        <v>308.80022073574963</v>
      </c>
      <c r="BJ131" s="59">
        <f t="shared" si="92"/>
        <v>183.96267407004115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65.481435204721819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65.481435204721819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795.00000000000068</v>
      </c>
      <c r="O132" s="13">
        <f>N132*VLOOKUP('Données projet'!$B$9,Paramètres!$A$1:$I$89,3,0)*VLOOKUP('Données projet'!$B$9,Paramètres!$A$1:$I$89,5,0)</f>
        <v>372.06000000000029</v>
      </c>
      <c r="P132" s="13">
        <f t="shared" si="87"/>
        <v>86.088609967897526</v>
      </c>
      <c r="Q132" s="20">
        <f t="shared" si="108"/>
        <v>797.94216236075533</v>
      </c>
      <c r="R132" s="59">
        <f t="shared" si="109"/>
        <v>1091.2754956940887</v>
      </c>
      <c r="S132" s="59">
        <f ca="1">AVERAGE(OFFSET($R$3,0,0,'Données projet'!$E$9+1,1))-AVERAGE(OFFSET($H$3,0,0,'Données projet'!$E$9+1,1))</f>
        <v>379.12827535040157</v>
      </c>
      <c r="T132" s="59">
        <f t="shared" si="88"/>
        <v>317.29813413796956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48.71994063115946</v>
      </c>
      <c r="AA132" s="21">
        <f>EXP(-LN(2)/25)*AA131+(1-EXP(-LN(2)/25))/(LN(2)/25)*Calculateur!V132*Calculateur!X132*VLOOKUP('Données projet'!$B$9,Paramètres!$A$1:$I$89,3,0)*0.475*44/12</f>
        <v>2.8616218963536344</v>
      </c>
      <c r="AB132" s="21">
        <f>EXP(-LN(2)/2)*AB131+(1-EXP(-LN(2)/2))/(LN(2)/2)*V132*Y132*VLOOKUP('Données projet'!$B$9,Paramètres!$A$1:$I$89,3,0)*0.475*44/12</f>
        <v>5.4077919699301549E-16</v>
      </c>
      <c r="AC132" s="22">
        <f t="shared" ref="AC132:AC153" si="111">SUM(Z132:AB132)</f>
        <v>51.581562527513093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636.99999999999977</v>
      </c>
      <c r="AJ132" s="13">
        <f>AI132*VLOOKUP('Données projet'!$B$10,Paramètres!$A$1:$I$89,3,0)*VLOOKUP('Données projet'!$B$10,Paramètres!$A$1:$I$89,5,0)</f>
        <v>356.08299999999991</v>
      </c>
      <c r="AK132" s="13">
        <f t="shared" si="89"/>
        <v>82.813805255716545</v>
      </c>
      <c r="AL132" s="20">
        <f t="shared" ref="AL132:AL153" si="112">(AJ132+AK132)*0.475*44/12</f>
        <v>764.41193582037283</v>
      </c>
      <c r="AM132" s="59">
        <f t="shared" ref="AM132:AM195" si="113">AL132+(AD132+AE132)*44/12</f>
        <v>1057.7452691537062</v>
      </c>
      <c r="AN132" s="59">
        <f ca="1">AVERAGE(OFFSET($AM$3,0,0,'Données projet'!$E$10+1,1))-AVERAGE(OFFSET($H$3,0,0,'Données projet'!$E$10+1,1))</f>
        <v>382.55387448074327</v>
      </c>
      <c r="AO132" s="59">
        <f t="shared" si="90"/>
        <v>476.29465646955543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24.921347593884189</v>
      </c>
      <c r="AV132" s="21">
        <f>EXP(-LN(2)/25)*AV131+(1-EXP(-LN(2)/25))/(LN(2)/25)*Calculateur!AQ132*Calculateur!AS132*VLOOKUP('Données projet'!$B$10,Paramètres!$A$1:$I$89,3,0)*0.475*44/12</f>
        <v>1.4096278537798737</v>
      </c>
      <c r="AW132" s="21">
        <f>EXP(-LN(2)/2)*AW131+(1-EXP(-LN(2)/2))/(LN(2)/2)*AQ132*AT132*VLOOKUP('Données projet'!$B$10,Paramètres!$A$1:$I$89,3,0)*0.475*44/12</f>
        <v>7.5889437252416399E-15</v>
      </c>
      <c r="AX132" s="21">
        <f t="shared" ref="AX132:AX153" si="114">SUM(AU132:AW132)</f>
        <v>26.33097544766407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267</v>
      </c>
      <c r="BE132" s="13">
        <f>BD132*VLOOKUP('Données projet'!$B$11,Paramètres!$A$1:$I$89,3,0)*VLOOKUP('Données projet'!$B$11,Paramètres!$A$1:$I$89,5,0)</f>
        <v>270.738</v>
      </c>
      <c r="BF132" s="13">
        <f t="shared" si="91"/>
        <v>65.005866623551711</v>
      </c>
      <c r="BG132" s="20">
        <f t="shared" ref="BG132:BG153" si="115">(BE132+BF132)*0.475*44/12</f>
        <v>584.7539010360191</v>
      </c>
      <c r="BH132" s="59">
        <f t="shared" ref="BH132:BH195" si="116">BG132+(AY132+AZ132)*44/12</f>
        <v>878.08723436935247</v>
      </c>
      <c r="BI132" s="59">
        <f ca="1">AVERAGE(OFFSET($BH$3,0,0,'Données projet'!$E$11+1,1))-AVERAGE(OFFSET($H$3,0,0,'Données projet'!$E$11+1,1))</f>
        <v>308.80022073574963</v>
      </c>
      <c r="BJ132" s="59">
        <f t="shared" si="92"/>
        <v>183.96267407004115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64.197384200088976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64.197384200088976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795.00000000000068</v>
      </c>
      <c r="O133" s="13">
        <f>N133*VLOOKUP('Données projet'!$B$9,Paramètres!$A$1:$I$89,3,0)*VLOOKUP('Données projet'!$B$9,Paramètres!$A$1:$I$89,5,0)</f>
        <v>372.06000000000029</v>
      </c>
      <c r="P133" s="13">
        <f t="shared" ref="P133:P196" si="141">EXP(-1.0587+0.8836*LN(O133)+0.284)</f>
        <v>86.088609967897526</v>
      </c>
      <c r="Q133" s="20">
        <f t="shared" si="108"/>
        <v>797.94216236075533</v>
      </c>
      <c r="R133" s="59">
        <f t="shared" si="109"/>
        <v>1091.2754956940887</v>
      </c>
      <c r="S133" s="59">
        <f ca="1">AVERAGE(OFFSET($R$3,0,0,'Données projet'!$E$9+1,1))-AVERAGE(OFFSET($H$3,0,0,'Données projet'!$E$9+1,1))</f>
        <v>379.12827535040157</v>
      </c>
      <c r="T133" s="59">
        <f t="shared" ref="T133:T196" si="142">$T$3</f>
        <v>317.29813413796956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47.764572311611971</v>
      </c>
      <c r="AA133" s="21">
        <f>EXP(-LN(2)/25)*AA132+(1-EXP(-LN(2)/25))/(LN(2)/25)*Calculateur!V133*Calculateur!X133*VLOOKUP('Données projet'!$B$9,Paramètres!$A$1:$I$89,3,0)*0.475*44/12</f>
        <v>2.7833706951116892</v>
      </c>
      <c r="AB133" s="21">
        <f>EXP(-LN(2)/2)*AB132+(1-EXP(-LN(2)/2))/(LN(2)/2)*V133*Y133*VLOOKUP('Données projet'!$B$9,Paramètres!$A$1:$I$89,3,0)*0.475*44/12</f>
        <v>3.8238863731837709E-16</v>
      </c>
      <c r="AC133" s="22">
        <f t="shared" si="111"/>
        <v>50.547943006723663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636.99999999999977</v>
      </c>
      <c r="AJ133" s="13">
        <f>AI133*VLOOKUP('Données projet'!$B$10,Paramètres!$A$1:$I$89,3,0)*VLOOKUP('Données projet'!$B$10,Paramètres!$A$1:$I$89,5,0)</f>
        <v>356.08299999999991</v>
      </c>
      <c r="AK133" s="13">
        <f t="shared" ref="AK133:AK153" si="143">EXP(-1.0587+0.8836*LN(AJ133)+0.284)</f>
        <v>82.813805255716545</v>
      </c>
      <c r="AL133" s="20">
        <f t="shared" si="112"/>
        <v>764.41193582037283</v>
      </c>
      <c r="AM133" s="59">
        <f t="shared" si="113"/>
        <v>1057.7452691537062</v>
      </c>
      <c r="AN133" s="59">
        <f ca="1">AVERAGE(OFFSET($AM$3,0,0,'Données projet'!$E$10+1,1))-AVERAGE(OFFSET($H$3,0,0,'Données projet'!$E$10+1,1))</f>
        <v>382.55387448074327</v>
      </c>
      <c r="AO133" s="59">
        <f t="shared" ref="AO133:AO196" si="144">$AO$3</f>
        <v>476.29465646955543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24.432655168089227</v>
      </c>
      <c r="AV133" s="21">
        <f>EXP(-LN(2)/25)*AV132+(1-EXP(-LN(2)/25))/(LN(2)/25)*Calculateur!AQ133*Calculateur!AS133*VLOOKUP('Données projet'!$B$10,Paramètres!$A$1:$I$89,3,0)*0.475*44/12</f>
        <v>1.3710815059891559</v>
      </c>
      <c r="AW133" s="21">
        <f>EXP(-LN(2)/2)*AW132+(1-EXP(-LN(2)/2))/(LN(2)/2)*AQ133*AT133*VLOOKUP('Données projet'!$B$10,Paramètres!$A$1:$I$89,3,0)*0.475*44/12</f>
        <v>5.3661935701614631E-15</v>
      </c>
      <c r="AX133" s="21">
        <f t="shared" si="114"/>
        <v>25.80373667407839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267</v>
      </c>
      <c r="BE133" s="13">
        <f>BD133*VLOOKUP('Données projet'!$B$11,Paramètres!$A$1:$I$89,3,0)*VLOOKUP('Données projet'!$B$11,Paramètres!$A$1:$I$89,5,0)</f>
        <v>270.738</v>
      </c>
      <c r="BF133" s="13">
        <f t="shared" ref="BF133:BF153" si="145">EXP(-1.0587+0.8836*LN(BE133)+0.284)</f>
        <v>65.005866623551711</v>
      </c>
      <c r="BG133" s="20">
        <f t="shared" si="115"/>
        <v>584.7539010360191</v>
      </c>
      <c r="BH133" s="59">
        <f t="shared" si="116"/>
        <v>878.08723436935247</v>
      </c>
      <c r="BI133" s="59">
        <f ca="1">AVERAGE(OFFSET($BH$3,0,0,'Données projet'!$E$11+1,1))-AVERAGE(OFFSET($H$3,0,0,'Données projet'!$E$11+1,1))</f>
        <v>308.80022073574963</v>
      </c>
      <c r="BJ133" s="59">
        <f t="shared" ref="BJ133:BJ196" si="146">$BJ$3</f>
        <v>183.96267407004115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62.938512652463203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62.938512652463203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795.00000000000068</v>
      </c>
      <c r="O134" s="13">
        <f>N134*VLOOKUP('Données projet'!$B$9,Paramètres!$A$1:$I$89,3,0)*VLOOKUP('Données projet'!$B$9,Paramètres!$A$1:$I$89,5,0)</f>
        <v>372.06000000000029</v>
      </c>
      <c r="P134" s="13">
        <f t="shared" si="141"/>
        <v>86.088609967897526</v>
      </c>
      <c r="Q134" s="20">
        <f t="shared" si="108"/>
        <v>797.94216236075533</v>
      </c>
      <c r="R134" s="59">
        <f t="shared" si="109"/>
        <v>1091.2754956940887</v>
      </c>
      <c r="S134" s="59">
        <f ca="1">AVERAGE(OFFSET($R$3,0,0,'Données projet'!$E$9+1,1))-AVERAGE(OFFSET($H$3,0,0,'Données projet'!$E$9+1,1))</f>
        <v>379.12827535040157</v>
      </c>
      <c r="T134" s="59">
        <f t="shared" si="142"/>
        <v>317.29813413796956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46.827938182093675</v>
      </c>
      <c r="AA134" s="21">
        <f>EXP(-LN(2)/25)*AA133+(1-EXP(-LN(2)/25))/(LN(2)/25)*Calculateur!V134*Calculateur!X134*VLOOKUP('Données projet'!$B$9,Paramètres!$A$1:$I$89,3,0)*0.475*44/12</f>
        <v>2.7072592770827568</v>
      </c>
      <c r="AB134" s="21">
        <f>EXP(-LN(2)/2)*AB133+(1-EXP(-LN(2)/2))/(LN(2)/2)*V134*Y134*VLOOKUP('Données projet'!$B$9,Paramètres!$A$1:$I$89,3,0)*0.475*44/12</f>
        <v>2.7038959849650775E-16</v>
      </c>
      <c r="AC134" s="22">
        <f t="shared" si="111"/>
        <v>49.53519745917643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636.99999999999977</v>
      </c>
      <c r="AJ134" s="13">
        <f>AI134*VLOOKUP('Données projet'!$B$10,Paramètres!$A$1:$I$89,3,0)*VLOOKUP('Données projet'!$B$10,Paramètres!$A$1:$I$89,5,0)</f>
        <v>356.08299999999991</v>
      </c>
      <c r="AK134" s="13">
        <f t="shared" si="143"/>
        <v>82.813805255716545</v>
      </c>
      <c r="AL134" s="20">
        <f t="shared" si="112"/>
        <v>764.41193582037283</v>
      </c>
      <c r="AM134" s="59">
        <f t="shared" si="113"/>
        <v>1057.7452691537062</v>
      </c>
      <c r="AN134" s="59">
        <f ca="1">AVERAGE(OFFSET($AM$3,0,0,'Données projet'!$E$10+1,1))-AVERAGE(OFFSET($H$3,0,0,'Données projet'!$E$10+1,1))</f>
        <v>382.55387448074327</v>
      </c>
      <c r="AO134" s="59">
        <f t="shared" si="144"/>
        <v>476.29465646955543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23.953545702691155</v>
      </c>
      <c r="AV134" s="21">
        <f>EXP(-LN(2)/25)*AV133+(1-EXP(-LN(2)/25))/(LN(2)/25)*Calculateur!AQ134*Calculateur!AS134*VLOOKUP('Données projet'!$B$10,Paramètres!$A$1:$I$89,3,0)*0.475*44/12</f>
        <v>1.3335892101058398</v>
      </c>
      <c r="AW134" s="21">
        <f>EXP(-LN(2)/2)*AW133+(1-EXP(-LN(2)/2))/(LN(2)/2)*AQ134*AT134*VLOOKUP('Données projet'!$B$10,Paramètres!$A$1:$I$89,3,0)*0.475*44/12</f>
        <v>3.7944718626208199E-15</v>
      </c>
      <c r="AX134" s="21">
        <f t="shared" si="114"/>
        <v>25.287134912796997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267</v>
      </c>
      <c r="BE134" s="13">
        <f>BD134*VLOOKUP('Données projet'!$B$11,Paramètres!$A$1:$I$89,3,0)*VLOOKUP('Données projet'!$B$11,Paramètres!$A$1:$I$89,5,0)</f>
        <v>270.738</v>
      </c>
      <c r="BF134" s="13">
        <f t="shared" si="145"/>
        <v>65.005866623551711</v>
      </c>
      <c r="BG134" s="20">
        <f t="shared" si="115"/>
        <v>584.7539010360191</v>
      </c>
      <c r="BH134" s="59">
        <f t="shared" si="116"/>
        <v>878.08723436935247</v>
      </c>
      <c r="BI134" s="59">
        <f ca="1">AVERAGE(OFFSET($BH$3,0,0,'Données projet'!$E$11+1,1))-AVERAGE(OFFSET($H$3,0,0,'Données projet'!$E$11+1,1))</f>
        <v>308.80022073574963</v>
      </c>
      <c r="BJ134" s="59">
        <f t="shared" si="146"/>
        <v>183.96267407004115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61.704326808050546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61.704326808050546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795.00000000000068</v>
      </c>
      <c r="O135" s="13">
        <f>N135*VLOOKUP('Données projet'!$B$9,Paramètres!$A$1:$I$89,3,0)*VLOOKUP('Données projet'!$B$9,Paramètres!$A$1:$I$89,5,0)</f>
        <v>372.06000000000029</v>
      </c>
      <c r="P135" s="13">
        <f t="shared" si="141"/>
        <v>86.088609967897526</v>
      </c>
      <c r="Q135" s="20">
        <f t="shared" si="108"/>
        <v>797.94216236075533</v>
      </c>
      <c r="R135" s="59">
        <f t="shared" si="109"/>
        <v>1091.2754956940887</v>
      </c>
      <c r="S135" s="59">
        <f ca="1">AVERAGE(OFFSET($R$3,0,0,'Données projet'!$E$9+1,1))-AVERAGE(OFFSET($H$3,0,0,'Données projet'!$E$9+1,1))</f>
        <v>379.12827535040157</v>
      </c>
      <c r="T135" s="59">
        <f t="shared" si="142"/>
        <v>317.29813413796956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45.909670876564824</v>
      </c>
      <c r="AA135" s="21">
        <f>EXP(-LN(2)/25)*AA134+(1-EXP(-LN(2)/25))/(LN(2)/25)*Calculateur!V135*Calculateur!X135*VLOOKUP('Données projet'!$B$9,Paramètres!$A$1:$I$89,3,0)*0.475*44/12</f>
        <v>2.6332291297823511</v>
      </c>
      <c r="AB135" s="21">
        <f>EXP(-LN(2)/2)*AB134+(1-EXP(-LN(2)/2))/(LN(2)/2)*V135*Y135*VLOOKUP('Données projet'!$B$9,Paramètres!$A$1:$I$89,3,0)*0.475*44/12</f>
        <v>1.9119431865918854E-16</v>
      </c>
      <c r="AC135" s="22">
        <f t="shared" si="111"/>
        <v>48.542900006347175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636.99999999999977</v>
      </c>
      <c r="AJ135" s="13">
        <f>AI135*VLOOKUP('Données projet'!$B$10,Paramètres!$A$1:$I$89,3,0)*VLOOKUP('Données projet'!$B$10,Paramètres!$A$1:$I$89,5,0)</f>
        <v>356.08299999999991</v>
      </c>
      <c r="AK135" s="13">
        <f t="shared" si="143"/>
        <v>82.813805255716545</v>
      </c>
      <c r="AL135" s="20">
        <f t="shared" si="112"/>
        <v>764.41193582037283</v>
      </c>
      <c r="AM135" s="59">
        <f t="shared" si="113"/>
        <v>1057.7452691537062</v>
      </c>
      <c r="AN135" s="59">
        <f ca="1">AVERAGE(OFFSET($AM$3,0,0,'Données projet'!$E$10+1,1))-AVERAGE(OFFSET($H$3,0,0,'Données projet'!$E$10+1,1))</f>
        <v>382.55387448074327</v>
      </c>
      <c r="AO135" s="59">
        <f t="shared" si="144"/>
        <v>476.29465646955543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23.483831281681621</v>
      </c>
      <c r="AV135" s="21">
        <f>EXP(-LN(2)/25)*AV134+(1-EXP(-LN(2)/25))/(LN(2)/25)*Calculateur!AQ135*Calculateur!AS135*VLOOKUP('Données projet'!$B$10,Paramètres!$A$1:$I$89,3,0)*0.475*44/12</f>
        <v>1.297122143025087</v>
      </c>
      <c r="AW135" s="21">
        <f>EXP(-LN(2)/2)*AW134+(1-EXP(-LN(2)/2))/(LN(2)/2)*AQ135*AT135*VLOOKUP('Données projet'!$B$10,Paramètres!$A$1:$I$89,3,0)*0.475*44/12</f>
        <v>2.6830967850807316E-15</v>
      </c>
      <c r="AX135" s="21">
        <f t="shared" si="114"/>
        <v>24.780953424706713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267</v>
      </c>
      <c r="BE135" s="13">
        <f>BD135*VLOOKUP('Données projet'!$B$11,Paramètres!$A$1:$I$89,3,0)*VLOOKUP('Données projet'!$B$11,Paramètres!$A$1:$I$89,5,0)</f>
        <v>270.738</v>
      </c>
      <c r="BF135" s="13">
        <f t="shared" si="145"/>
        <v>65.005866623551711</v>
      </c>
      <c r="BG135" s="20">
        <f t="shared" si="115"/>
        <v>584.7539010360191</v>
      </c>
      <c r="BH135" s="59">
        <f t="shared" si="116"/>
        <v>878.08723436935247</v>
      </c>
      <c r="BI135" s="59">
        <f ca="1">AVERAGE(OFFSET($BH$3,0,0,'Données projet'!$E$11+1,1))-AVERAGE(OFFSET($H$3,0,0,'Données projet'!$E$11+1,1))</f>
        <v>308.80022073574963</v>
      </c>
      <c r="BJ135" s="59">
        <f t="shared" si="146"/>
        <v>183.96267407004115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60.494342595267788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60.494342595267788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795.00000000000068</v>
      </c>
      <c r="O136" s="13">
        <f>N136*VLOOKUP('Données projet'!$B$9,Paramètres!$A$1:$I$89,3,0)*VLOOKUP('Données projet'!$B$9,Paramètres!$A$1:$I$89,5,0)</f>
        <v>372.06000000000029</v>
      </c>
      <c r="P136" s="13">
        <f t="shared" si="141"/>
        <v>86.088609967897526</v>
      </c>
      <c r="Q136" s="20">
        <f t="shared" si="108"/>
        <v>797.94216236075533</v>
      </c>
      <c r="R136" s="59">
        <f t="shared" si="109"/>
        <v>1091.2754956940887</v>
      </c>
      <c r="S136" s="59">
        <f ca="1">AVERAGE(OFFSET($R$3,0,0,'Données projet'!$E$9+1,1))-AVERAGE(OFFSET($H$3,0,0,'Données projet'!$E$9+1,1))</f>
        <v>379.12827535040157</v>
      </c>
      <c r="T136" s="59">
        <f t="shared" si="142"/>
        <v>317.29813413796956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45.009410232809643</v>
      </c>
      <c r="AA136" s="21">
        <f>EXP(-LN(2)/25)*AA135+(1-EXP(-LN(2)/25))/(LN(2)/25)*Calculateur!V136*Calculateur!X136*VLOOKUP('Données projet'!$B$9,Paramètres!$A$1:$I$89,3,0)*0.475*44/12</f>
        <v>2.5612233407529512</v>
      </c>
      <c r="AB136" s="21">
        <f>EXP(-LN(2)/2)*AB135+(1-EXP(-LN(2)/2))/(LN(2)/2)*V136*Y136*VLOOKUP('Données projet'!$B$9,Paramètres!$A$1:$I$89,3,0)*0.475*44/12</f>
        <v>1.3519479924825387E-16</v>
      </c>
      <c r="AC136" s="22">
        <f t="shared" si="111"/>
        <v>47.570633573562596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636.99999999999977</v>
      </c>
      <c r="AJ136" s="13">
        <f>AI136*VLOOKUP('Données projet'!$B$10,Paramètres!$A$1:$I$89,3,0)*VLOOKUP('Données projet'!$B$10,Paramètres!$A$1:$I$89,5,0)</f>
        <v>356.08299999999991</v>
      </c>
      <c r="AK136" s="13">
        <f t="shared" si="143"/>
        <v>82.813805255716545</v>
      </c>
      <c r="AL136" s="20">
        <f t="shared" si="112"/>
        <v>764.41193582037283</v>
      </c>
      <c r="AM136" s="59">
        <f t="shared" si="113"/>
        <v>1057.7452691537062</v>
      </c>
      <c r="AN136" s="59">
        <f ca="1">AVERAGE(OFFSET($AM$3,0,0,'Données projet'!$E$10+1,1))-AVERAGE(OFFSET($H$3,0,0,'Données projet'!$E$10+1,1))</f>
        <v>382.55387448074327</v>
      </c>
      <c r="AO136" s="59">
        <f t="shared" si="144"/>
        <v>476.29465646955543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23.023327673970577</v>
      </c>
      <c r="AV136" s="21">
        <f>EXP(-LN(2)/25)*AV135+(1-EXP(-LN(2)/25))/(LN(2)/25)*Calculateur!AQ136*Calculateur!AS136*VLOOKUP('Données projet'!$B$10,Paramètres!$A$1:$I$89,3,0)*0.475*44/12</f>
        <v>1.261652269811377</v>
      </c>
      <c r="AW136" s="21">
        <f>EXP(-LN(2)/2)*AW135+(1-EXP(-LN(2)/2))/(LN(2)/2)*AQ136*AT136*VLOOKUP('Données projet'!$B$10,Paramètres!$A$1:$I$89,3,0)*0.475*44/12</f>
        <v>1.89723593131041E-15</v>
      </c>
      <c r="AX136" s="21">
        <f t="shared" si="114"/>
        <v>24.284979943781959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267</v>
      </c>
      <c r="BE136" s="13">
        <f>BD136*VLOOKUP('Données projet'!$B$11,Paramètres!$A$1:$I$89,3,0)*VLOOKUP('Données projet'!$B$11,Paramètres!$A$1:$I$89,5,0)</f>
        <v>270.738</v>
      </c>
      <c r="BF136" s="13">
        <f t="shared" si="145"/>
        <v>65.005866623551711</v>
      </c>
      <c r="BG136" s="20">
        <f t="shared" si="115"/>
        <v>584.7539010360191</v>
      </c>
      <c r="BH136" s="59">
        <f t="shared" si="116"/>
        <v>878.08723436935247</v>
      </c>
      <c r="BI136" s="59">
        <f ca="1">AVERAGE(OFFSET($BH$3,0,0,'Données projet'!$E$11+1,1))-AVERAGE(OFFSET($H$3,0,0,'Données projet'!$E$11+1,1))</f>
        <v>308.80022073574963</v>
      </c>
      <c r="BJ136" s="59">
        <f t="shared" si="146"/>
        <v>183.96267407004115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59.308085434880205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59.308085434880205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795.00000000000068</v>
      </c>
      <c r="O137" s="13">
        <f>N137*VLOOKUP('Données projet'!$B$9,Paramètres!$A$1:$I$89,3,0)*VLOOKUP('Données projet'!$B$9,Paramètres!$A$1:$I$89,5,0)</f>
        <v>372.06000000000029</v>
      </c>
      <c r="P137" s="13">
        <f t="shared" si="141"/>
        <v>86.088609967897526</v>
      </c>
      <c r="Q137" s="20">
        <f t="shared" si="108"/>
        <v>797.94216236075533</v>
      </c>
      <c r="R137" s="59">
        <f t="shared" si="109"/>
        <v>1091.2754956940887</v>
      </c>
      <c r="S137" s="59">
        <f ca="1">AVERAGE(OFFSET($R$3,0,0,'Données projet'!$E$9+1,1))-AVERAGE(OFFSET($H$3,0,0,'Données projet'!$E$9+1,1))</f>
        <v>379.12827535040157</v>
      </c>
      <c r="T137" s="59">
        <f t="shared" si="142"/>
        <v>317.29813413796956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44.126803151173725</v>
      </c>
      <c r="AA137" s="21">
        <f>EXP(-LN(2)/25)*AA136+(1-EXP(-LN(2)/25))/(LN(2)/25)*Calculateur!V137*Calculateur!X137*VLOOKUP('Données projet'!$B$9,Paramètres!$A$1:$I$89,3,0)*0.475*44/12</f>
        <v>2.4911865538111799</v>
      </c>
      <c r="AB137" s="21">
        <f>EXP(-LN(2)/2)*AB136+(1-EXP(-LN(2)/2))/(LN(2)/2)*V137*Y137*VLOOKUP('Données projet'!$B$9,Paramètres!$A$1:$I$89,3,0)*0.475*44/12</f>
        <v>9.5597159329594272E-17</v>
      </c>
      <c r="AC137" s="22">
        <f t="shared" si="111"/>
        <v>46.617989704984907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636.99999999999977</v>
      </c>
      <c r="AJ137" s="13">
        <f>AI137*VLOOKUP('Données projet'!$B$10,Paramètres!$A$1:$I$89,3,0)*VLOOKUP('Données projet'!$B$10,Paramètres!$A$1:$I$89,5,0)</f>
        <v>356.08299999999991</v>
      </c>
      <c r="AK137" s="13">
        <f t="shared" si="143"/>
        <v>82.813805255716545</v>
      </c>
      <c r="AL137" s="20">
        <f t="shared" si="112"/>
        <v>764.41193582037283</v>
      </c>
      <c r="AM137" s="59">
        <f t="shared" si="113"/>
        <v>1057.7452691537062</v>
      </c>
      <c r="AN137" s="59">
        <f ca="1">AVERAGE(OFFSET($AM$3,0,0,'Données projet'!$E$10+1,1))-AVERAGE(OFFSET($H$3,0,0,'Données projet'!$E$10+1,1))</f>
        <v>382.55387448074327</v>
      </c>
      <c r="AO137" s="59">
        <f t="shared" si="144"/>
        <v>476.29465646955543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22.571854261127278</v>
      </c>
      <c r="AV137" s="21">
        <f>EXP(-LN(2)/25)*AV136+(1-EXP(-LN(2)/25))/(LN(2)/25)*Calculateur!AQ137*Calculateur!AS137*VLOOKUP('Données projet'!$B$10,Paramètres!$A$1:$I$89,3,0)*0.475*44/12</f>
        <v>1.2271523221459757</v>
      </c>
      <c r="AW137" s="21">
        <f>EXP(-LN(2)/2)*AW136+(1-EXP(-LN(2)/2))/(LN(2)/2)*AQ137*AT137*VLOOKUP('Données projet'!$B$10,Paramètres!$A$1:$I$89,3,0)*0.475*44/12</f>
        <v>1.3415483925403658E-15</v>
      </c>
      <c r="AX137" s="21">
        <f t="shared" si="114"/>
        <v>23.799006583273254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267</v>
      </c>
      <c r="BE137" s="13">
        <f>BD137*VLOOKUP('Données projet'!$B$11,Paramètres!$A$1:$I$89,3,0)*VLOOKUP('Données projet'!$B$11,Paramètres!$A$1:$I$89,5,0)</f>
        <v>270.738</v>
      </c>
      <c r="BF137" s="13">
        <f t="shared" si="145"/>
        <v>65.005866623551711</v>
      </c>
      <c r="BG137" s="20">
        <f t="shared" si="115"/>
        <v>584.7539010360191</v>
      </c>
      <c r="BH137" s="59">
        <f t="shared" si="116"/>
        <v>878.08723436935247</v>
      </c>
      <c r="BI137" s="59">
        <f ca="1">AVERAGE(OFFSET($BH$3,0,0,'Données projet'!$E$11+1,1))-AVERAGE(OFFSET($H$3,0,0,'Données projet'!$E$11+1,1))</f>
        <v>308.80022073574963</v>
      </c>
      <c r="BJ137" s="59">
        <f t="shared" si="146"/>
        <v>183.96267407004115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58.145090053862397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58.145090053862397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795.00000000000068</v>
      </c>
      <c r="O138" s="13">
        <f>N138*VLOOKUP('Données projet'!$B$9,Paramètres!$A$1:$I$89,3,0)*VLOOKUP('Données projet'!$B$9,Paramètres!$A$1:$I$89,5,0)</f>
        <v>372.06000000000029</v>
      </c>
      <c r="P138" s="13">
        <f t="shared" si="141"/>
        <v>86.088609967897526</v>
      </c>
      <c r="Q138" s="20">
        <f t="shared" si="108"/>
        <v>797.94216236075533</v>
      </c>
      <c r="R138" s="59">
        <f t="shared" si="109"/>
        <v>1091.2754956940887</v>
      </c>
      <c r="S138" s="59">
        <f ca="1">AVERAGE(OFFSET($R$3,0,0,'Données projet'!$E$9+1,1))-AVERAGE(OFFSET($H$3,0,0,'Données projet'!$E$9+1,1))</f>
        <v>379.12827535040157</v>
      </c>
      <c r="T138" s="59">
        <f t="shared" si="142"/>
        <v>317.29813413796956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43.261503456071523</v>
      </c>
      <c r="AA138" s="21">
        <f>EXP(-LN(2)/25)*AA137+(1-EXP(-LN(2)/25))/(LN(2)/25)*Calculateur!V138*Calculateur!X138*VLOOKUP('Données projet'!$B$9,Paramètres!$A$1:$I$89,3,0)*0.475*44/12</f>
        <v>2.4230649264914059</v>
      </c>
      <c r="AB138" s="21">
        <f>EXP(-LN(2)/2)*AB137+(1-EXP(-LN(2)/2))/(LN(2)/2)*V138*Y138*VLOOKUP('Données projet'!$B$9,Paramètres!$A$1:$I$89,3,0)*0.475*44/12</f>
        <v>6.7597399624126937E-17</v>
      </c>
      <c r="AC138" s="22">
        <f t="shared" si="111"/>
        <v>45.684568382562929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636.99999999999977</v>
      </c>
      <c r="AJ138" s="13">
        <f>AI138*VLOOKUP('Données projet'!$B$10,Paramètres!$A$1:$I$89,3,0)*VLOOKUP('Données projet'!$B$10,Paramètres!$A$1:$I$89,5,0)</f>
        <v>356.08299999999991</v>
      </c>
      <c r="AK138" s="13">
        <f t="shared" si="143"/>
        <v>82.813805255716545</v>
      </c>
      <c r="AL138" s="20">
        <f t="shared" si="112"/>
        <v>764.41193582037283</v>
      </c>
      <c r="AM138" s="59">
        <f t="shared" si="113"/>
        <v>1057.7452691537062</v>
      </c>
      <c r="AN138" s="59">
        <f ca="1">AVERAGE(OFFSET($AM$3,0,0,'Données projet'!$E$10+1,1))-AVERAGE(OFFSET($H$3,0,0,'Données projet'!$E$10+1,1))</f>
        <v>382.55387448074327</v>
      </c>
      <c r="AO138" s="59">
        <f t="shared" si="144"/>
        <v>476.29465646955543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22.129233966538248</v>
      </c>
      <c r="AV138" s="21">
        <f>EXP(-LN(2)/25)*AV137+(1-EXP(-LN(2)/25))/(LN(2)/25)*Calculateur!AQ138*Calculateur!AS138*VLOOKUP('Données projet'!$B$10,Paramètres!$A$1:$I$89,3,0)*0.475*44/12</f>
        <v>1.193595777363758</v>
      </c>
      <c r="AW138" s="21">
        <f>EXP(-LN(2)/2)*AW137+(1-EXP(-LN(2)/2))/(LN(2)/2)*AQ138*AT138*VLOOKUP('Données projet'!$B$10,Paramètres!$A$1:$I$89,3,0)*0.475*44/12</f>
        <v>9.4861796565520498E-16</v>
      </c>
      <c r="AX138" s="21">
        <f t="shared" si="114"/>
        <v>23.322829743902005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267</v>
      </c>
      <c r="BE138" s="13">
        <f>BD138*VLOOKUP('Données projet'!$B$11,Paramètres!$A$1:$I$89,3,0)*VLOOKUP('Données projet'!$B$11,Paramètres!$A$1:$I$89,5,0)</f>
        <v>270.738</v>
      </c>
      <c r="BF138" s="13">
        <f t="shared" si="145"/>
        <v>65.005866623551711</v>
      </c>
      <c r="BG138" s="20">
        <f t="shared" si="115"/>
        <v>584.7539010360191</v>
      </c>
      <c r="BH138" s="59">
        <f t="shared" si="116"/>
        <v>878.08723436935247</v>
      </c>
      <c r="BI138" s="59">
        <f ca="1">AVERAGE(OFFSET($BH$3,0,0,'Données projet'!$E$11+1,1))-AVERAGE(OFFSET($H$3,0,0,'Données projet'!$E$11+1,1))</f>
        <v>308.80022073574963</v>
      </c>
      <c r="BJ138" s="59">
        <f t="shared" si="146"/>
        <v>183.96267407004115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57.004900302909213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57.004900302909213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795.00000000000068</v>
      </c>
      <c r="O139" s="13">
        <f>N139*VLOOKUP('Données projet'!$B$9,Paramètres!$A$1:$I$89,3,0)*VLOOKUP('Données projet'!$B$9,Paramètres!$A$1:$I$89,5,0)</f>
        <v>372.06000000000029</v>
      </c>
      <c r="P139" s="13">
        <f t="shared" si="141"/>
        <v>86.088609967897526</v>
      </c>
      <c r="Q139" s="20">
        <f t="shared" si="108"/>
        <v>797.94216236075533</v>
      </c>
      <c r="R139" s="59">
        <f t="shared" si="109"/>
        <v>1091.2754956940887</v>
      </c>
      <c r="S139" s="59">
        <f ca="1">AVERAGE(OFFSET($R$3,0,0,'Données projet'!$E$9+1,1))-AVERAGE(OFFSET($H$3,0,0,'Données projet'!$E$9+1,1))</f>
        <v>379.12827535040157</v>
      </c>
      <c r="T139" s="59">
        <f t="shared" si="142"/>
        <v>317.29813413796956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42.413171760209579</v>
      </c>
      <c r="AA139" s="21">
        <f>EXP(-LN(2)/25)*AA138+(1-EXP(-LN(2)/25))/(LN(2)/25)*Calculateur!V139*Calculateur!X139*VLOOKUP('Données projet'!$B$9,Paramètres!$A$1:$I$89,3,0)*0.475*44/12</f>
        <v>2.3568060886530517</v>
      </c>
      <c r="AB139" s="21">
        <f>EXP(-LN(2)/2)*AB138+(1-EXP(-LN(2)/2))/(LN(2)/2)*V139*Y139*VLOOKUP('Données projet'!$B$9,Paramètres!$A$1:$I$89,3,0)*0.475*44/12</f>
        <v>4.7798579664797136E-17</v>
      </c>
      <c r="AC139" s="22">
        <f t="shared" si="111"/>
        <v>44.769977848862631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636.99999999999977</v>
      </c>
      <c r="AJ139" s="13">
        <f>AI139*VLOOKUP('Données projet'!$B$10,Paramètres!$A$1:$I$89,3,0)*VLOOKUP('Données projet'!$B$10,Paramètres!$A$1:$I$89,5,0)</f>
        <v>356.08299999999991</v>
      </c>
      <c r="AK139" s="13">
        <f t="shared" si="143"/>
        <v>82.813805255716545</v>
      </c>
      <c r="AL139" s="20">
        <f t="shared" si="112"/>
        <v>764.41193582037283</v>
      </c>
      <c r="AM139" s="59">
        <f t="shared" si="113"/>
        <v>1057.7452691537062</v>
      </c>
      <c r="AN139" s="59">
        <f ca="1">AVERAGE(OFFSET($AM$3,0,0,'Données projet'!$E$10+1,1))-AVERAGE(OFFSET($H$3,0,0,'Données projet'!$E$10+1,1))</f>
        <v>382.55387448074327</v>
      </c>
      <c r="AO139" s="59">
        <f t="shared" si="144"/>
        <v>476.29465646955543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21.695293185954384</v>
      </c>
      <c r="AV139" s="21">
        <f>EXP(-LN(2)/25)*AV138+(1-EXP(-LN(2)/25))/(LN(2)/25)*Calculateur!AQ139*Calculateur!AS139*VLOOKUP('Données projet'!$B$10,Paramètres!$A$1:$I$89,3,0)*0.475*44/12</f>
        <v>1.160956838063272</v>
      </c>
      <c r="AW139" s="21">
        <f>EXP(-LN(2)/2)*AW138+(1-EXP(-LN(2)/2))/(LN(2)/2)*AQ139*AT139*VLOOKUP('Données projet'!$B$10,Paramètres!$A$1:$I$89,3,0)*0.475*44/12</f>
        <v>6.7077419627018289E-16</v>
      </c>
      <c r="AX139" s="21">
        <f t="shared" si="114"/>
        <v>22.856250024017655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267</v>
      </c>
      <c r="BE139" s="13">
        <f>BD139*VLOOKUP('Données projet'!$B$11,Paramètres!$A$1:$I$89,3,0)*VLOOKUP('Données projet'!$B$11,Paramètres!$A$1:$I$89,5,0)</f>
        <v>270.738</v>
      </c>
      <c r="BF139" s="13">
        <f t="shared" si="145"/>
        <v>65.005866623551711</v>
      </c>
      <c r="BG139" s="20">
        <f t="shared" si="115"/>
        <v>584.7539010360191</v>
      </c>
      <c r="BH139" s="59">
        <f t="shared" si="116"/>
        <v>878.08723436935247</v>
      </c>
      <c r="BI139" s="59">
        <f ca="1">AVERAGE(OFFSET($BH$3,0,0,'Données projet'!$E$11+1,1))-AVERAGE(OFFSET($H$3,0,0,'Données projet'!$E$11+1,1))</f>
        <v>308.80022073574963</v>
      </c>
      <c r="BJ139" s="59">
        <f t="shared" si="146"/>
        <v>183.96267407004115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55.887068977525139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55.887068977525139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795.00000000000068</v>
      </c>
      <c r="O140" s="13">
        <f>N140*VLOOKUP('Données projet'!$B$9,Paramètres!$A$1:$I$89,3,0)*VLOOKUP('Données projet'!$B$9,Paramètres!$A$1:$I$89,5,0)</f>
        <v>372.06000000000029</v>
      </c>
      <c r="P140" s="13">
        <f t="shared" si="141"/>
        <v>86.088609967897526</v>
      </c>
      <c r="Q140" s="20">
        <f t="shared" si="108"/>
        <v>797.94216236075533</v>
      </c>
      <c r="R140" s="59">
        <f t="shared" si="109"/>
        <v>1091.2754956940887</v>
      </c>
      <c r="S140" s="59">
        <f ca="1">AVERAGE(OFFSET($R$3,0,0,'Données projet'!$E$9+1,1))-AVERAGE(OFFSET($H$3,0,0,'Données projet'!$E$9+1,1))</f>
        <v>379.12827535040157</v>
      </c>
      <c r="T140" s="59">
        <f t="shared" si="142"/>
        <v>317.29813413796956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41.581475331472241</v>
      </c>
      <c r="AA140" s="21">
        <f>EXP(-LN(2)/25)*AA139+(1-EXP(-LN(2)/25))/(LN(2)/25)*Calculateur!V140*Calculateur!X140*VLOOKUP('Données projet'!$B$9,Paramètres!$A$1:$I$89,3,0)*0.475*44/12</f>
        <v>2.2923591022197884</v>
      </c>
      <c r="AB140" s="21">
        <f>EXP(-LN(2)/2)*AB139+(1-EXP(-LN(2)/2))/(LN(2)/2)*V140*Y140*VLOOKUP('Données projet'!$B$9,Paramètres!$A$1:$I$89,3,0)*0.475*44/12</f>
        <v>3.3798699812063468E-17</v>
      </c>
      <c r="AC140" s="22">
        <f t="shared" si="111"/>
        <v>43.873834433692032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636.99999999999977</v>
      </c>
      <c r="AJ140" s="13">
        <f>AI140*VLOOKUP('Données projet'!$B$10,Paramètres!$A$1:$I$89,3,0)*VLOOKUP('Données projet'!$B$10,Paramètres!$A$1:$I$89,5,0)</f>
        <v>356.08299999999991</v>
      </c>
      <c r="AK140" s="13">
        <f t="shared" si="143"/>
        <v>82.813805255716545</v>
      </c>
      <c r="AL140" s="20">
        <f t="shared" si="112"/>
        <v>764.41193582037283</v>
      </c>
      <c r="AM140" s="59">
        <f t="shared" si="113"/>
        <v>1057.7452691537062</v>
      </c>
      <c r="AN140" s="59">
        <f ca="1">AVERAGE(OFFSET($AM$3,0,0,'Données projet'!$E$10+1,1))-AVERAGE(OFFSET($H$3,0,0,'Données projet'!$E$10+1,1))</f>
        <v>382.55387448074327</v>
      </c>
      <c r="AO140" s="59">
        <f t="shared" si="144"/>
        <v>476.29465646955543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21.26986171940003</v>
      </c>
      <c r="AV140" s="21">
        <f>EXP(-LN(2)/25)*AV139+(1-EXP(-LN(2)/25))/(LN(2)/25)*Calculateur!AQ140*Calculateur!AS140*VLOOKUP('Données projet'!$B$10,Paramètres!$A$1:$I$89,3,0)*0.475*44/12</f>
        <v>1.1292104122743651</v>
      </c>
      <c r="AW140" s="21">
        <f>EXP(-LN(2)/2)*AW139+(1-EXP(-LN(2)/2))/(LN(2)/2)*AQ140*AT140*VLOOKUP('Données projet'!$B$10,Paramètres!$A$1:$I$89,3,0)*0.475*44/12</f>
        <v>4.7430898282760249E-16</v>
      </c>
      <c r="AX140" s="21">
        <f t="shared" si="114"/>
        <v>22.399072131674394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267</v>
      </c>
      <c r="BE140" s="13">
        <f>BD140*VLOOKUP('Données projet'!$B$11,Paramètres!$A$1:$I$89,3,0)*VLOOKUP('Données projet'!$B$11,Paramètres!$A$1:$I$89,5,0)</f>
        <v>270.738</v>
      </c>
      <c r="BF140" s="13">
        <f t="shared" si="145"/>
        <v>65.005866623551711</v>
      </c>
      <c r="BG140" s="20">
        <f t="shared" si="115"/>
        <v>584.7539010360191</v>
      </c>
      <c r="BH140" s="59">
        <f t="shared" si="116"/>
        <v>878.08723436935247</v>
      </c>
      <c r="BI140" s="59">
        <f ca="1">AVERAGE(OFFSET($BH$3,0,0,'Données projet'!$E$11+1,1))-AVERAGE(OFFSET($H$3,0,0,'Données projet'!$E$11+1,1))</f>
        <v>308.80022073574963</v>
      </c>
      <c r="BJ140" s="59">
        <f t="shared" si="146"/>
        <v>183.96267407004115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54.791157642622061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54.791157642622061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795.00000000000068</v>
      </c>
      <c r="O141" s="13">
        <f>N141*VLOOKUP('Données projet'!$B$9,Paramètres!$A$1:$I$89,3,0)*VLOOKUP('Données projet'!$B$9,Paramètres!$A$1:$I$89,5,0)</f>
        <v>372.06000000000029</v>
      </c>
      <c r="P141" s="13">
        <f t="shared" si="141"/>
        <v>86.088609967897526</v>
      </c>
      <c r="Q141" s="20">
        <f t="shared" si="108"/>
        <v>797.94216236075533</v>
      </c>
      <c r="R141" s="59">
        <f t="shared" si="109"/>
        <v>1091.2754956940887</v>
      </c>
      <c r="S141" s="59">
        <f ca="1">AVERAGE(OFFSET($R$3,0,0,'Données projet'!$E$9+1,1))-AVERAGE(OFFSET($H$3,0,0,'Données projet'!$E$9+1,1))</f>
        <v>379.12827535040157</v>
      </c>
      <c r="T141" s="59">
        <f t="shared" si="142"/>
        <v>317.29813413796956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40.766087962417714</v>
      </c>
      <c r="AA141" s="21">
        <f>EXP(-LN(2)/25)*AA140+(1-EXP(-LN(2)/25))/(LN(2)/25)*Calculateur!V141*Calculateur!X141*VLOOKUP('Données projet'!$B$9,Paramètres!$A$1:$I$89,3,0)*0.475*44/12</f>
        <v>2.2296744220196625</v>
      </c>
      <c r="AB141" s="21">
        <f>EXP(-LN(2)/2)*AB140+(1-EXP(-LN(2)/2))/(LN(2)/2)*V141*Y141*VLOOKUP('Données projet'!$B$9,Paramètres!$A$1:$I$89,3,0)*0.475*44/12</f>
        <v>2.3899289832398568E-17</v>
      </c>
      <c r="AC141" s="22">
        <f t="shared" si="111"/>
        <v>42.995762384437377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636.99999999999977</v>
      </c>
      <c r="AJ141" s="13">
        <f>AI141*VLOOKUP('Données projet'!$B$10,Paramètres!$A$1:$I$89,3,0)*VLOOKUP('Données projet'!$B$10,Paramètres!$A$1:$I$89,5,0)</f>
        <v>356.08299999999991</v>
      </c>
      <c r="AK141" s="13">
        <f t="shared" si="143"/>
        <v>82.813805255716545</v>
      </c>
      <c r="AL141" s="20">
        <f t="shared" si="112"/>
        <v>764.41193582037283</v>
      </c>
      <c r="AM141" s="59">
        <f t="shared" si="113"/>
        <v>1057.7452691537062</v>
      </c>
      <c r="AN141" s="59">
        <f ca="1">AVERAGE(OFFSET($AM$3,0,0,'Données projet'!$E$10+1,1))-AVERAGE(OFFSET($H$3,0,0,'Données projet'!$E$10+1,1))</f>
        <v>382.55387448074327</v>
      </c>
      <c r="AO141" s="59">
        <f t="shared" si="144"/>
        <v>476.29465646955543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20.852772704417234</v>
      </c>
      <c r="AV141" s="21">
        <f>EXP(-LN(2)/25)*AV140+(1-EXP(-LN(2)/25))/(LN(2)/25)*Calculateur!AQ141*Calculateur!AS141*VLOOKUP('Données projet'!$B$10,Paramètres!$A$1:$I$89,3,0)*0.475*44/12</f>
        <v>1.0983320941681278</v>
      </c>
      <c r="AW141" s="21">
        <f>EXP(-LN(2)/2)*AW140+(1-EXP(-LN(2)/2))/(LN(2)/2)*AQ141*AT141*VLOOKUP('Données projet'!$B$10,Paramètres!$A$1:$I$89,3,0)*0.475*44/12</f>
        <v>3.3538709813509145E-16</v>
      </c>
      <c r="AX141" s="21">
        <f t="shared" si="114"/>
        <v>21.951104798585362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267</v>
      </c>
      <c r="BE141" s="13">
        <f>BD141*VLOOKUP('Données projet'!$B$11,Paramètres!$A$1:$I$89,3,0)*VLOOKUP('Données projet'!$B$11,Paramètres!$A$1:$I$89,5,0)</f>
        <v>270.738</v>
      </c>
      <c r="BF141" s="13">
        <f t="shared" si="145"/>
        <v>65.005866623551711</v>
      </c>
      <c r="BG141" s="20">
        <f t="shared" si="115"/>
        <v>584.7539010360191</v>
      </c>
      <c r="BH141" s="59">
        <f t="shared" si="116"/>
        <v>878.08723436935247</v>
      </c>
      <c r="BI141" s="59">
        <f ca="1">AVERAGE(OFFSET($BH$3,0,0,'Données projet'!$E$11+1,1))-AVERAGE(OFFSET($H$3,0,0,'Données projet'!$E$11+1,1))</f>
        <v>308.80022073574963</v>
      </c>
      <c r="BJ141" s="59">
        <f t="shared" si="146"/>
        <v>183.96267407004115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53.716736460556518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53.716736460556518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795.00000000000068</v>
      </c>
      <c r="O142" s="13">
        <f>N142*VLOOKUP('Données projet'!$B$9,Paramètres!$A$1:$I$89,3,0)*VLOOKUP('Données projet'!$B$9,Paramètres!$A$1:$I$89,5,0)</f>
        <v>372.06000000000029</v>
      </c>
      <c r="P142" s="13">
        <f t="shared" si="141"/>
        <v>86.088609967897526</v>
      </c>
      <c r="Q142" s="20">
        <f t="shared" si="108"/>
        <v>797.94216236075533</v>
      </c>
      <c r="R142" s="59">
        <f t="shared" si="109"/>
        <v>1091.2754956940887</v>
      </c>
      <c r="S142" s="59">
        <f ca="1">AVERAGE(OFFSET($R$3,0,0,'Données projet'!$E$9+1,1))-AVERAGE(OFFSET($H$3,0,0,'Données projet'!$E$9+1,1))</f>
        <v>379.12827535040157</v>
      </c>
      <c r="T142" s="59">
        <f t="shared" si="142"/>
        <v>317.29813413796956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39.96668984233316</v>
      </c>
      <c r="AA142" s="21">
        <f>EXP(-LN(2)/25)*AA141+(1-EXP(-LN(2)/25))/(LN(2)/25)*Calculateur!V142*Calculateur!X142*VLOOKUP('Données projet'!$B$9,Paramètres!$A$1:$I$89,3,0)*0.475*44/12</f>
        <v>2.1687038576960531</v>
      </c>
      <c r="AB142" s="21">
        <f>EXP(-LN(2)/2)*AB141+(1-EXP(-LN(2)/2))/(LN(2)/2)*V142*Y142*VLOOKUP('Données projet'!$B$9,Paramètres!$A$1:$I$89,3,0)*0.475*44/12</f>
        <v>1.6899349906031734E-17</v>
      </c>
      <c r="AC142" s="22">
        <f t="shared" si="111"/>
        <v>42.135393700029212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636.99999999999977</v>
      </c>
      <c r="AJ142" s="13">
        <f>AI142*VLOOKUP('Données projet'!$B$10,Paramètres!$A$1:$I$89,3,0)*VLOOKUP('Données projet'!$B$10,Paramètres!$A$1:$I$89,5,0)</f>
        <v>356.08299999999991</v>
      </c>
      <c r="AK142" s="13">
        <f t="shared" si="143"/>
        <v>82.813805255716545</v>
      </c>
      <c r="AL142" s="20">
        <f t="shared" si="112"/>
        <v>764.41193582037283</v>
      </c>
      <c r="AM142" s="59">
        <f t="shared" si="113"/>
        <v>1057.7452691537062</v>
      </c>
      <c r="AN142" s="59">
        <f ca="1">AVERAGE(OFFSET($AM$3,0,0,'Données projet'!$E$10+1,1))-AVERAGE(OFFSET($H$3,0,0,'Données projet'!$E$10+1,1))</f>
        <v>382.55387448074327</v>
      </c>
      <c r="AO142" s="59">
        <f t="shared" si="144"/>
        <v>476.29465646955543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20.44386255061907</v>
      </c>
      <c r="AV142" s="21">
        <f>EXP(-LN(2)/25)*AV141+(1-EXP(-LN(2)/25))/(LN(2)/25)*Calculateur!AQ142*Calculateur!AS142*VLOOKUP('Données projet'!$B$10,Paramètres!$A$1:$I$89,3,0)*0.475*44/12</f>
        <v>1.0682981452943259</v>
      </c>
      <c r="AW142" s="21">
        <f>EXP(-LN(2)/2)*AW141+(1-EXP(-LN(2)/2))/(LN(2)/2)*AQ142*AT142*VLOOKUP('Données projet'!$B$10,Paramètres!$A$1:$I$89,3,0)*0.475*44/12</f>
        <v>2.3715449141380125E-16</v>
      </c>
      <c r="AX142" s="21">
        <f t="shared" si="114"/>
        <v>21.512160695913394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267</v>
      </c>
      <c r="BE142" s="13">
        <f>BD142*VLOOKUP('Données projet'!$B$11,Paramètres!$A$1:$I$89,3,0)*VLOOKUP('Données projet'!$B$11,Paramètres!$A$1:$I$89,5,0)</f>
        <v>270.738</v>
      </c>
      <c r="BF142" s="13">
        <f t="shared" si="145"/>
        <v>65.005866623551711</v>
      </c>
      <c r="BG142" s="20">
        <f t="shared" si="115"/>
        <v>584.7539010360191</v>
      </c>
      <c r="BH142" s="59">
        <f t="shared" si="116"/>
        <v>878.08723436935247</v>
      </c>
      <c r="BI142" s="59">
        <f ca="1">AVERAGE(OFFSET($BH$3,0,0,'Données projet'!$E$11+1,1))-AVERAGE(OFFSET($H$3,0,0,'Données projet'!$E$11+1,1))</f>
        <v>308.80022073574963</v>
      </c>
      <c r="BJ142" s="59">
        <f t="shared" si="146"/>
        <v>183.96267407004115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52.66338402253907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52.66338402253907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795.00000000000068</v>
      </c>
      <c r="O143" s="13">
        <f>N143*VLOOKUP('Données projet'!$B$9,Paramètres!$A$1:$I$89,3,0)*VLOOKUP('Données projet'!$B$9,Paramètres!$A$1:$I$89,5,0)</f>
        <v>372.06000000000029</v>
      </c>
      <c r="P143" s="13">
        <f t="shared" si="141"/>
        <v>86.088609967897526</v>
      </c>
      <c r="Q143" s="20">
        <f t="shared" si="108"/>
        <v>797.94216236075533</v>
      </c>
      <c r="R143" s="59">
        <f t="shared" si="109"/>
        <v>1091.2754956940887</v>
      </c>
      <c r="S143" s="59">
        <f ca="1">AVERAGE(OFFSET($R$3,0,0,'Données projet'!$E$9+1,1))-AVERAGE(OFFSET($H$3,0,0,'Données projet'!$E$9+1,1))</f>
        <v>379.12827535040157</v>
      </c>
      <c r="T143" s="59">
        <f t="shared" si="142"/>
        <v>317.29813413796956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39.182967431798758</v>
      </c>
      <c r="AA143" s="21">
        <f>EXP(-LN(2)/25)*AA142+(1-EXP(-LN(2)/25))/(LN(2)/25)*Calculateur!V143*Calculateur!X143*VLOOKUP('Données projet'!$B$9,Paramètres!$A$1:$I$89,3,0)*0.475*44/12</f>
        <v>2.1094005366601754</v>
      </c>
      <c r="AB143" s="21">
        <f>EXP(-LN(2)/2)*AB142+(1-EXP(-LN(2)/2))/(LN(2)/2)*V143*Y143*VLOOKUP('Données projet'!$B$9,Paramètres!$A$1:$I$89,3,0)*0.475*44/12</f>
        <v>1.1949644916199284E-17</v>
      </c>
      <c r="AC143" s="22">
        <f t="shared" si="111"/>
        <v>41.292367968458933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636.99999999999977</v>
      </c>
      <c r="AJ143" s="13">
        <f>AI143*VLOOKUP('Données projet'!$B$10,Paramètres!$A$1:$I$89,3,0)*VLOOKUP('Données projet'!$B$10,Paramètres!$A$1:$I$89,5,0)</f>
        <v>356.08299999999991</v>
      </c>
      <c r="AK143" s="13">
        <f t="shared" si="143"/>
        <v>82.813805255716545</v>
      </c>
      <c r="AL143" s="20">
        <f t="shared" si="112"/>
        <v>764.41193582037283</v>
      </c>
      <c r="AM143" s="59">
        <f t="shared" si="113"/>
        <v>1057.7452691537062</v>
      </c>
      <c r="AN143" s="59">
        <f ca="1">AVERAGE(OFFSET($AM$3,0,0,'Données projet'!$E$10+1,1))-AVERAGE(OFFSET($H$3,0,0,'Données projet'!$E$10+1,1))</f>
        <v>382.55387448074327</v>
      </c>
      <c r="AO143" s="59">
        <f t="shared" si="144"/>
        <v>476.29465646955543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20.042970875526322</v>
      </c>
      <c r="AV143" s="21">
        <f>EXP(-LN(2)/25)*AV142+(1-EXP(-LN(2)/25))/(LN(2)/25)*Calculateur!AQ143*Calculateur!AS143*VLOOKUP('Données projet'!$B$10,Paramètres!$A$1:$I$89,3,0)*0.475*44/12</f>
        <v>1.0390854763318946</v>
      </c>
      <c r="AW143" s="21">
        <f>EXP(-LN(2)/2)*AW142+(1-EXP(-LN(2)/2))/(LN(2)/2)*AQ143*AT143*VLOOKUP('Données projet'!$B$10,Paramètres!$A$1:$I$89,3,0)*0.475*44/12</f>
        <v>1.6769354906754572E-16</v>
      </c>
      <c r="AX143" s="21">
        <f t="shared" si="114"/>
        <v>21.082056351858217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267</v>
      </c>
      <c r="BE143" s="13">
        <f>BD143*VLOOKUP('Données projet'!$B$11,Paramètres!$A$1:$I$89,3,0)*VLOOKUP('Données projet'!$B$11,Paramètres!$A$1:$I$89,5,0)</f>
        <v>270.738</v>
      </c>
      <c r="BF143" s="13">
        <f t="shared" si="145"/>
        <v>65.005866623551711</v>
      </c>
      <c r="BG143" s="20">
        <f t="shared" si="115"/>
        <v>584.7539010360191</v>
      </c>
      <c r="BH143" s="59">
        <f t="shared" si="116"/>
        <v>878.08723436935247</v>
      </c>
      <c r="BI143" s="59">
        <f ca="1">AVERAGE(OFFSET($BH$3,0,0,'Données projet'!$E$11+1,1))-AVERAGE(OFFSET($H$3,0,0,'Données projet'!$E$11+1,1))</f>
        <v>308.80022073574963</v>
      </c>
      <c r="BJ143" s="59">
        <f t="shared" si="146"/>
        <v>183.96267407004115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51.6306871833496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51.6306871833496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795.00000000000068</v>
      </c>
      <c r="O144" s="13">
        <f>N144*VLOOKUP('Données projet'!$B$9,Paramètres!$A$1:$I$89,3,0)*VLOOKUP('Données projet'!$B$9,Paramètres!$A$1:$I$89,5,0)</f>
        <v>372.06000000000029</v>
      </c>
      <c r="P144" s="13">
        <f t="shared" si="141"/>
        <v>86.088609967897526</v>
      </c>
      <c r="Q144" s="20">
        <f t="shared" si="108"/>
        <v>797.94216236075533</v>
      </c>
      <c r="R144" s="59">
        <f t="shared" si="109"/>
        <v>1091.2754956940887</v>
      </c>
      <c r="S144" s="59">
        <f ca="1">AVERAGE(OFFSET($R$3,0,0,'Données projet'!$E$9+1,1))-AVERAGE(OFFSET($H$3,0,0,'Données projet'!$E$9+1,1))</f>
        <v>379.12827535040157</v>
      </c>
      <c r="T144" s="59">
        <f t="shared" si="142"/>
        <v>317.29813413796956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38.414613339711465</v>
      </c>
      <c r="AA144" s="21">
        <f>EXP(-LN(2)/25)*AA143+(1-EXP(-LN(2)/25))/(LN(2)/25)*Calculateur!V144*Calculateur!X144*VLOOKUP('Données projet'!$B$9,Paramètres!$A$1:$I$89,3,0)*0.475*44/12</f>
        <v>2.0517188680566498</v>
      </c>
      <c r="AB144" s="21">
        <f>EXP(-LN(2)/2)*AB143+(1-EXP(-LN(2)/2))/(LN(2)/2)*V144*Y144*VLOOKUP('Données projet'!$B$9,Paramètres!$A$1:$I$89,3,0)*0.475*44/12</f>
        <v>8.4496749530158671E-18</v>
      </c>
      <c r="AC144" s="22">
        <f t="shared" si="111"/>
        <v>40.466332207768119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636.99999999999977</v>
      </c>
      <c r="AJ144" s="13">
        <f>AI144*VLOOKUP('Données projet'!$B$10,Paramètres!$A$1:$I$89,3,0)*VLOOKUP('Données projet'!$B$10,Paramètres!$A$1:$I$89,5,0)</f>
        <v>356.08299999999991</v>
      </c>
      <c r="AK144" s="13">
        <f t="shared" si="143"/>
        <v>82.813805255716545</v>
      </c>
      <c r="AL144" s="20">
        <f t="shared" si="112"/>
        <v>764.41193582037283</v>
      </c>
      <c r="AM144" s="59">
        <f t="shared" si="113"/>
        <v>1057.7452691537062</v>
      </c>
      <c r="AN144" s="59">
        <f ca="1">AVERAGE(OFFSET($AM$3,0,0,'Données projet'!$E$10+1,1))-AVERAGE(OFFSET($H$3,0,0,'Données projet'!$E$10+1,1))</f>
        <v>382.55387448074327</v>
      </c>
      <c r="AO144" s="59">
        <f t="shared" si="144"/>
        <v>476.29465646955543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19.649940441662366</v>
      </c>
      <c r="AV144" s="21">
        <f>EXP(-LN(2)/25)*AV143+(1-EXP(-LN(2)/25))/(LN(2)/25)*Calculateur!AQ144*Calculateur!AS144*VLOOKUP('Données projet'!$B$10,Paramètres!$A$1:$I$89,3,0)*0.475*44/12</f>
        <v>1.0106716293384685</v>
      </c>
      <c r="AW144" s="21">
        <f>EXP(-LN(2)/2)*AW143+(1-EXP(-LN(2)/2))/(LN(2)/2)*AQ144*AT144*VLOOKUP('Données projet'!$B$10,Paramètres!$A$1:$I$89,3,0)*0.475*44/12</f>
        <v>1.1857724570690062E-16</v>
      </c>
      <c r="AX144" s="21">
        <f t="shared" si="114"/>
        <v>20.660612071000834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267</v>
      </c>
      <c r="BE144" s="13">
        <f>BD144*VLOOKUP('Données projet'!$B$11,Paramètres!$A$1:$I$89,3,0)*VLOOKUP('Données projet'!$B$11,Paramètres!$A$1:$I$89,5,0)</f>
        <v>270.738</v>
      </c>
      <c r="BF144" s="13">
        <f t="shared" si="145"/>
        <v>65.005866623551711</v>
      </c>
      <c r="BG144" s="20">
        <f t="shared" si="115"/>
        <v>584.7539010360191</v>
      </c>
      <c r="BH144" s="59">
        <f t="shared" si="116"/>
        <v>878.08723436935247</v>
      </c>
      <c r="BI144" s="59">
        <f ca="1">AVERAGE(OFFSET($BH$3,0,0,'Données projet'!$E$11+1,1))-AVERAGE(OFFSET($H$3,0,0,'Données projet'!$E$11+1,1))</f>
        <v>308.80022073574963</v>
      </c>
      <c r="BJ144" s="59">
        <f t="shared" si="146"/>
        <v>183.96267407004115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50.61824089929376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50.61824089929376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795.00000000000068</v>
      </c>
      <c r="O145" s="13">
        <f>N145*VLOOKUP('Données projet'!$B$9,Paramètres!$A$1:$I$89,3,0)*VLOOKUP('Données projet'!$B$9,Paramètres!$A$1:$I$89,5,0)</f>
        <v>372.06000000000029</v>
      </c>
      <c r="P145" s="13">
        <f t="shared" si="141"/>
        <v>86.088609967897526</v>
      </c>
      <c r="Q145" s="20">
        <f t="shared" si="108"/>
        <v>797.94216236075533</v>
      </c>
      <c r="R145" s="59">
        <f t="shared" si="109"/>
        <v>1091.2754956940887</v>
      </c>
      <c r="S145" s="59">
        <f ca="1">AVERAGE(OFFSET($R$3,0,0,'Données projet'!$E$9+1,1))-AVERAGE(OFFSET($H$3,0,0,'Données projet'!$E$9+1,1))</f>
        <v>379.12827535040157</v>
      </c>
      <c r="T145" s="59">
        <f t="shared" si="142"/>
        <v>317.29813413796956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37.661326202720282</v>
      </c>
      <c r="AA145" s="21">
        <f>EXP(-LN(2)/25)*AA144+(1-EXP(-LN(2)/25))/(LN(2)/25)*Calculateur!V145*Calculateur!X145*VLOOKUP('Données projet'!$B$9,Paramètres!$A$1:$I$89,3,0)*0.475*44/12</f>
        <v>1.9956145077144347</v>
      </c>
      <c r="AB145" s="21">
        <f>EXP(-LN(2)/2)*AB144+(1-EXP(-LN(2)/2))/(LN(2)/2)*V145*Y145*VLOOKUP('Données projet'!$B$9,Paramètres!$A$1:$I$89,3,0)*0.475*44/12</f>
        <v>5.974822458099642E-18</v>
      </c>
      <c r="AC145" s="22">
        <f t="shared" si="111"/>
        <v>39.656940710434718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636.99999999999977</v>
      </c>
      <c r="AJ145" s="13">
        <f>AI145*VLOOKUP('Données projet'!$B$10,Paramètres!$A$1:$I$89,3,0)*VLOOKUP('Données projet'!$B$10,Paramètres!$A$1:$I$89,5,0)</f>
        <v>356.08299999999991</v>
      </c>
      <c r="AK145" s="13">
        <f t="shared" si="143"/>
        <v>82.813805255716545</v>
      </c>
      <c r="AL145" s="20">
        <f t="shared" si="112"/>
        <v>764.41193582037283</v>
      </c>
      <c r="AM145" s="59">
        <f t="shared" si="113"/>
        <v>1057.7452691537062</v>
      </c>
      <c r="AN145" s="59">
        <f ca="1">AVERAGE(OFFSET($AM$3,0,0,'Données projet'!$E$10+1,1))-AVERAGE(OFFSET($H$3,0,0,'Données projet'!$E$10+1,1))</f>
        <v>382.55387448074327</v>
      </c>
      <c r="AO145" s="59">
        <f t="shared" si="144"/>
        <v>476.29465646955543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19.26461709488159</v>
      </c>
      <c r="AV145" s="21">
        <f>EXP(-LN(2)/25)*AV144+(1-EXP(-LN(2)/25))/(LN(2)/25)*Calculateur!AQ145*Calculateur!AS145*VLOOKUP('Données projet'!$B$10,Paramètres!$A$1:$I$89,3,0)*0.475*44/12</f>
        <v>0.98303476048529703</v>
      </c>
      <c r="AW145" s="21">
        <f>EXP(-LN(2)/2)*AW144+(1-EXP(-LN(2)/2))/(LN(2)/2)*AQ145*AT145*VLOOKUP('Données projet'!$B$10,Paramètres!$A$1:$I$89,3,0)*0.475*44/12</f>
        <v>8.3846774533772862E-17</v>
      </c>
      <c r="AX145" s="21">
        <f t="shared" si="114"/>
        <v>20.247651855366886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267</v>
      </c>
      <c r="BE145" s="13">
        <f>BD145*VLOOKUP('Données projet'!$B$11,Paramètres!$A$1:$I$89,3,0)*VLOOKUP('Données projet'!$B$11,Paramètres!$A$1:$I$89,5,0)</f>
        <v>270.738</v>
      </c>
      <c r="BF145" s="13">
        <f t="shared" si="145"/>
        <v>65.005866623551711</v>
      </c>
      <c r="BG145" s="20">
        <f t="shared" si="115"/>
        <v>584.7539010360191</v>
      </c>
      <c r="BH145" s="59">
        <f t="shared" si="116"/>
        <v>878.08723436935247</v>
      </c>
      <c r="BI145" s="59">
        <f ca="1">AVERAGE(OFFSET($BH$3,0,0,'Données projet'!$E$11+1,1))-AVERAGE(OFFSET($H$3,0,0,'Données projet'!$E$11+1,1))</f>
        <v>308.80022073574963</v>
      </c>
      <c r="BJ145" s="59">
        <f t="shared" si="146"/>
        <v>183.96267407004115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49.625648069336997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49.625648069336997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795.00000000000068</v>
      </c>
      <c r="O146" s="13">
        <f>N146*VLOOKUP('Données projet'!$B$9,Paramètres!$A$1:$I$89,3,0)*VLOOKUP('Données projet'!$B$9,Paramètres!$A$1:$I$89,5,0)</f>
        <v>372.06000000000029</v>
      </c>
      <c r="P146" s="13">
        <f t="shared" si="141"/>
        <v>86.088609967897526</v>
      </c>
      <c r="Q146" s="20">
        <f t="shared" si="108"/>
        <v>797.94216236075533</v>
      </c>
      <c r="R146" s="59">
        <f t="shared" si="109"/>
        <v>1091.2754956940887</v>
      </c>
      <c r="S146" s="59">
        <f ca="1">AVERAGE(OFFSET($R$3,0,0,'Données projet'!$E$9+1,1))-AVERAGE(OFFSET($H$3,0,0,'Données projet'!$E$9+1,1))</f>
        <v>379.12827535040157</v>
      </c>
      <c r="T146" s="59">
        <f t="shared" si="142"/>
        <v>317.29813413796956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36.922810567025707</v>
      </c>
      <c r="AA146" s="21">
        <f>EXP(-LN(2)/25)*AA145+(1-EXP(-LN(2)/25))/(LN(2)/25)*Calculateur!V146*Calculateur!X146*VLOOKUP('Données projet'!$B$9,Paramètres!$A$1:$I$89,3,0)*0.475*44/12</f>
        <v>1.9410443240561777</v>
      </c>
      <c r="AB146" s="21">
        <f>EXP(-LN(2)/2)*AB145+(1-EXP(-LN(2)/2))/(LN(2)/2)*V146*Y146*VLOOKUP('Données projet'!$B$9,Paramètres!$A$1:$I$89,3,0)*0.475*44/12</f>
        <v>4.2248374765079336E-18</v>
      </c>
      <c r="AC146" s="22">
        <f t="shared" si="111"/>
        <v>38.863854891081886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636.99999999999977</v>
      </c>
      <c r="AJ146" s="13">
        <f>AI146*VLOOKUP('Données projet'!$B$10,Paramètres!$A$1:$I$89,3,0)*VLOOKUP('Données projet'!$B$10,Paramètres!$A$1:$I$89,5,0)</f>
        <v>356.08299999999991</v>
      </c>
      <c r="AK146" s="13">
        <f t="shared" si="143"/>
        <v>82.813805255716545</v>
      </c>
      <c r="AL146" s="20">
        <f t="shared" si="112"/>
        <v>764.41193582037283</v>
      </c>
      <c r="AM146" s="59">
        <f t="shared" si="113"/>
        <v>1057.7452691537062</v>
      </c>
      <c r="AN146" s="59">
        <f ca="1">AVERAGE(OFFSET($AM$3,0,0,'Données projet'!$E$10+1,1))-AVERAGE(OFFSET($H$3,0,0,'Données projet'!$E$10+1,1))</f>
        <v>382.55387448074327</v>
      </c>
      <c r="AO146" s="59">
        <f t="shared" si="144"/>
        <v>476.29465646955543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18.886849703907149</v>
      </c>
      <c r="AV146" s="21">
        <f>EXP(-LN(2)/25)*AV145+(1-EXP(-LN(2)/25))/(LN(2)/25)*Calculateur!AQ146*Calculateur!AS146*VLOOKUP('Données projet'!$B$10,Paramètres!$A$1:$I$89,3,0)*0.475*44/12</f>
        <v>0.95615362326427533</v>
      </c>
      <c r="AW146" s="21">
        <f>EXP(-LN(2)/2)*AW145+(1-EXP(-LN(2)/2))/(LN(2)/2)*AQ146*AT146*VLOOKUP('Données projet'!$B$10,Paramètres!$A$1:$I$89,3,0)*0.475*44/12</f>
        <v>5.9288622853450311E-17</v>
      </c>
      <c r="AX146" s="21">
        <f t="shared" si="114"/>
        <v>19.843003327171424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267</v>
      </c>
      <c r="BE146" s="13">
        <f>BD146*VLOOKUP('Données projet'!$B$11,Paramètres!$A$1:$I$89,3,0)*VLOOKUP('Données projet'!$B$11,Paramètres!$A$1:$I$89,5,0)</f>
        <v>270.738</v>
      </c>
      <c r="BF146" s="13">
        <f t="shared" si="145"/>
        <v>65.005866623551711</v>
      </c>
      <c r="BG146" s="20">
        <f t="shared" si="115"/>
        <v>584.7539010360191</v>
      </c>
      <c r="BH146" s="59">
        <f t="shared" si="116"/>
        <v>878.08723436935247</v>
      </c>
      <c r="BI146" s="59">
        <f ca="1">AVERAGE(OFFSET($BH$3,0,0,'Données projet'!$E$11+1,1))-AVERAGE(OFFSET($H$3,0,0,'Données projet'!$E$11+1,1))</f>
        <v>308.80022073574963</v>
      </c>
      <c r="BJ146" s="59">
        <f t="shared" si="146"/>
        <v>183.96267407004115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48.652519379353841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48.652519379353841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795.00000000000068</v>
      </c>
      <c r="O147" s="13">
        <f>N147*VLOOKUP('Données projet'!$B$9,Paramètres!$A$1:$I$89,3,0)*VLOOKUP('Données projet'!$B$9,Paramètres!$A$1:$I$89,5,0)</f>
        <v>372.06000000000029</v>
      </c>
      <c r="P147" s="13">
        <f t="shared" si="141"/>
        <v>86.088609967897526</v>
      </c>
      <c r="Q147" s="20">
        <f t="shared" si="108"/>
        <v>797.94216236075533</v>
      </c>
      <c r="R147" s="59">
        <f t="shared" si="109"/>
        <v>1091.2754956940887</v>
      </c>
      <c r="S147" s="59">
        <f ca="1">AVERAGE(OFFSET($R$3,0,0,'Données projet'!$E$9+1,1))-AVERAGE(OFFSET($H$3,0,0,'Données projet'!$E$9+1,1))</f>
        <v>379.12827535040157</v>
      </c>
      <c r="T147" s="59">
        <f t="shared" si="142"/>
        <v>317.29813413796956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36.198776772497048</v>
      </c>
      <c r="AA147" s="21">
        <f>EXP(-LN(2)/25)*AA146+(1-EXP(-LN(2)/25))/(LN(2)/25)*Calculateur!V147*Calculateur!X147*VLOOKUP('Données projet'!$B$9,Paramètres!$A$1:$I$89,3,0)*0.475*44/12</f>
        <v>1.8879663649397769</v>
      </c>
      <c r="AB147" s="21">
        <f>EXP(-LN(2)/2)*AB146+(1-EXP(-LN(2)/2))/(LN(2)/2)*V147*Y147*VLOOKUP('Données projet'!$B$9,Paramètres!$A$1:$I$89,3,0)*0.475*44/12</f>
        <v>2.987411229049821E-18</v>
      </c>
      <c r="AC147" s="22">
        <f t="shared" si="111"/>
        <v>38.086743137436827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636.99999999999977</v>
      </c>
      <c r="AJ147" s="13">
        <f>AI147*VLOOKUP('Données projet'!$B$10,Paramètres!$A$1:$I$89,3,0)*VLOOKUP('Données projet'!$B$10,Paramètres!$A$1:$I$89,5,0)</f>
        <v>356.08299999999991</v>
      </c>
      <c r="AK147" s="13">
        <f t="shared" si="143"/>
        <v>82.813805255716545</v>
      </c>
      <c r="AL147" s="20">
        <f t="shared" si="112"/>
        <v>764.41193582037283</v>
      </c>
      <c r="AM147" s="59">
        <f t="shared" si="113"/>
        <v>1057.7452691537062</v>
      </c>
      <c r="AN147" s="59">
        <f ca="1">AVERAGE(OFFSET($AM$3,0,0,'Données projet'!$E$10+1,1))-AVERAGE(OFFSET($H$3,0,0,'Données projet'!$E$10+1,1))</f>
        <v>382.55387448074327</v>
      </c>
      <c r="AO147" s="59">
        <f t="shared" si="144"/>
        <v>476.29465646955543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18.516490101054359</v>
      </c>
      <c r="AV147" s="21">
        <f>EXP(-LN(2)/25)*AV146+(1-EXP(-LN(2)/25))/(LN(2)/25)*Calculateur!AQ147*Calculateur!AS147*VLOOKUP('Données projet'!$B$10,Paramètres!$A$1:$I$89,3,0)*0.475*44/12</f>
        <v>0.93000755215417996</v>
      </c>
      <c r="AW147" s="21">
        <f>EXP(-LN(2)/2)*AW146+(1-EXP(-LN(2)/2))/(LN(2)/2)*AQ147*AT147*VLOOKUP('Données projet'!$B$10,Paramètres!$A$1:$I$89,3,0)*0.475*44/12</f>
        <v>4.1923387266886431E-17</v>
      </c>
      <c r="AX147" s="21">
        <f t="shared" si="114"/>
        <v>19.446497653208539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267</v>
      </c>
      <c r="BE147" s="13">
        <f>BD147*VLOOKUP('Données projet'!$B$11,Paramètres!$A$1:$I$89,3,0)*VLOOKUP('Données projet'!$B$11,Paramètres!$A$1:$I$89,5,0)</f>
        <v>270.738</v>
      </c>
      <c r="BF147" s="13">
        <f t="shared" si="145"/>
        <v>65.005866623551711</v>
      </c>
      <c r="BG147" s="20">
        <f t="shared" si="115"/>
        <v>584.7539010360191</v>
      </c>
      <c r="BH147" s="59">
        <f t="shared" si="116"/>
        <v>878.08723436935247</v>
      </c>
      <c r="BI147" s="59">
        <f ca="1">AVERAGE(OFFSET($BH$3,0,0,'Données projet'!$E$11+1,1))-AVERAGE(OFFSET($H$3,0,0,'Données projet'!$E$11+1,1))</f>
        <v>308.80022073574963</v>
      </c>
      <c r="BJ147" s="59">
        <f t="shared" si="146"/>
        <v>183.96267407004115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47.698473149431358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47.698473149431358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795.00000000000068</v>
      </c>
      <c r="O148" s="13">
        <f>N148*VLOOKUP('Données projet'!$B$9,Paramètres!$A$1:$I$89,3,0)*VLOOKUP('Données projet'!$B$9,Paramètres!$A$1:$I$89,5,0)</f>
        <v>372.06000000000029</v>
      </c>
      <c r="P148" s="13">
        <f t="shared" si="141"/>
        <v>86.088609967897526</v>
      </c>
      <c r="Q148" s="20">
        <f t="shared" si="108"/>
        <v>797.94216236075533</v>
      </c>
      <c r="R148" s="59">
        <f t="shared" si="109"/>
        <v>1091.2754956940887</v>
      </c>
      <c r="S148" s="59">
        <f ca="1">AVERAGE(OFFSET($R$3,0,0,'Données projet'!$E$9+1,1))-AVERAGE(OFFSET($H$3,0,0,'Données projet'!$E$9+1,1))</f>
        <v>379.12827535040157</v>
      </c>
      <c r="T148" s="59">
        <f t="shared" si="142"/>
        <v>317.29813413796956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35.488940839062082</v>
      </c>
      <c r="AA148" s="21">
        <f>EXP(-LN(2)/25)*AA147+(1-EXP(-LN(2)/25))/(LN(2)/25)*Calculateur!V148*Calculateur!X148*VLOOKUP('Données projet'!$B$9,Paramètres!$A$1:$I$89,3,0)*0.475*44/12</f>
        <v>1.8363398254066625</v>
      </c>
      <c r="AB148" s="21">
        <f>EXP(-LN(2)/2)*AB147+(1-EXP(-LN(2)/2))/(LN(2)/2)*V148*Y148*VLOOKUP('Données projet'!$B$9,Paramètres!$A$1:$I$89,3,0)*0.475*44/12</f>
        <v>2.1124187382539668E-18</v>
      </c>
      <c r="AC148" s="22">
        <f t="shared" si="111"/>
        <v>37.325280664468742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636.99999999999977</v>
      </c>
      <c r="AJ148" s="13">
        <f>AI148*VLOOKUP('Données projet'!$B$10,Paramètres!$A$1:$I$89,3,0)*VLOOKUP('Données projet'!$B$10,Paramètres!$A$1:$I$89,5,0)</f>
        <v>356.08299999999991</v>
      </c>
      <c r="AK148" s="13">
        <f t="shared" si="143"/>
        <v>82.813805255716545</v>
      </c>
      <c r="AL148" s="20">
        <f t="shared" si="112"/>
        <v>764.41193582037283</v>
      </c>
      <c r="AM148" s="59">
        <f t="shared" si="113"/>
        <v>1057.7452691537062</v>
      </c>
      <c r="AN148" s="59">
        <f ca="1">AVERAGE(OFFSET($AM$3,0,0,'Données projet'!$E$10+1,1))-AVERAGE(OFFSET($H$3,0,0,'Données projet'!$E$10+1,1))</f>
        <v>382.55387448074327</v>
      </c>
      <c r="AO148" s="59">
        <f t="shared" si="144"/>
        <v>476.29465646955543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18.153393024116461</v>
      </c>
      <c r="AV148" s="21">
        <f>EXP(-LN(2)/25)*AV147+(1-EXP(-LN(2)/25))/(LN(2)/25)*Calculateur!AQ148*Calculateur!AS148*VLOOKUP('Données projet'!$B$10,Paramètres!$A$1:$I$89,3,0)*0.475*44/12</f>
        <v>0.90457644673355231</v>
      </c>
      <c r="AW148" s="21">
        <f>EXP(-LN(2)/2)*AW147+(1-EXP(-LN(2)/2))/(LN(2)/2)*AQ148*AT148*VLOOKUP('Données projet'!$B$10,Paramètres!$A$1:$I$89,3,0)*0.475*44/12</f>
        <v>2.9644311426725156E-17</v>
      </c>
      <c r="AX148" s="21">
        <f t="shared" si="114"/>
        <v>19.057969470850015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267</v>
      </c>
      <c r="BE148" s="13">
        <f>BD148*VLOOKUP('Données projet'!$B$11,Paramètres!$A$1:$I$89,3,0)*VLOOKUP('Données projet'!$B$11,Paramètres!$A$1:$I$89,5,0)</f>
        <v>270.738</v>
      </c>
      <c r="BF148" s="13">
        <f t="shared" si="145"/>
        <v>65.005866623551711</v>
      </c>
      <c r="BG148" s="20">
        <f t="shared" si="115"/>
        <v>584.7539010360191</v>
      </c>
      <c r="BH148" s="59">
        <f t="shared" si="116"/>
        <v>878.08723436935247</v>
      </c>
      <c r="BI148" s="59">
        <f ca="1">AVERAGE(OFFSET($BH$3,0,0,'Données projet'!$E$11+1,1))-AVERAGE(OFFSET($H$3,0,0,'Données projet'!$E$11+1,1))</f>
        <v>308.80022073574963</v>
      </c>
      <c r="BJ148" s="59">
        <f t="shared" si="146"/>
        <v>183.96267407004115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46.763135184166913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46.763135184166913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795.00000000000068</v>
      </c>
      <c r="O149" s="13">
        <f>N149*VLOOKUP('Données projet'!$B$9,Paramètres!$A$1:$I$89,3,0)*VLOOKUP('Données projet'!$B$9,Paramètres!$A$1:$I$89,5,0)</f>
        <v>372.06000000000029</v>
      </c>
      <c r="P149" s="13">
        <f t="shared" si="141"/>
        <v>86.088609967897526</v>
      </c>
      <c r="Q149" s="20">
        <f t="shared" si="108"/>
        <v>797.94216236075533</v>
      </c>
      <c r="R149" s="59">
        <f t="shared" si="109"/>
        <v>1091.2754956940887</v>
      </c>
      <c r="S149" s="59">
        <f ca="1">AVERAGE(OFFSET($R$3,0,0,'Données projet'!$E$9+1,1))-AVERAGE(OFFSET($H$3,0,0,'Données projet'!$E$9+1,1))</f>
        <v>379.12827535040157</v>
      </c>
      <c r="T149" s="59">
        <f t="shared" si="142"/>
        <v>317.29813413796956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34.793024355324611</v>
      </c>
      <c r="AA149" s="21">
        <f>EXP(-LN(2)/25)*AA148+(1-EXP(-LN(2)/25))/(LN(2)/25)*Calculateur!V149*Calculateur!X149*VLOOKUP('Données projet'!$B$9,Paramètres!$A$1:$I$89,3,0)*0.475*44/12</f>
        <v>1.7861250163120028</v>
      </c>
      <c r="AB149" s="21">
        <f>EXP(-LN(2)/2)*AB148+(1-EXP(-LN(2)/2))/(LN(2)/2)*V149*Y149*VLOOKUP('Données projet'!$B$9,Paramètres!$A$1:$I$89,3,0)*0.475*44/12</f>
        <v>1.4937056145249105E-18</v>
      </c>
      <c r="AC149" s="22">
        <f t="shared" si="111"/>
        <v>36.579149371636618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636.99999999999977</v>
      </c>
      <c r="AJ149" s="13">
        <f>AI149*VLOOKUP('Données projet'!$B$10,Paramètres!$A$1:$I$89,3,0)*VLOOKUP('Données projet'!$B$10,Paramètres!$A$1:$I$89,5,0)</f>
        <v>356.08299999999991</v>
      </c>
      <c r="AK149" s="13">
        <f t="shared" si="143"/>
        <v>82.813805255716545</v>
      </c>
      <c r="AL149" s="20">
        <f t="shared" si="112"/>
        <v>764.41193582037283</v>
      </c>
      <c r="AM149" s="59">
        <f t="shared" si="113"/>
        <v>1057.7452691537062</v>
      </c>
      <c r="AN149" s="59">
        <f ca="1">AVERAGE(OFFSET($AM$3,0,0,'Données projet'!$E$10+1,1))-AVERAGE(OFFSET($H$3,0,0,'Données projet'!$E$10+1,1))</f>
        <v>382.55387448074327</v>
      </c>
      <c r="AO149" s="59">
        <f t="shared" si="144"/>
        <v>476.29465646955543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17.797416059389967</v>
      </c>
      <c r="AV149" s="21">
        <f>EXP(-LN(2)/25)*AV148+(1-EXP(-LN(2)/25))/(LN(2)/25)*Calculateur!AQ149*Calculateur!AS149*VLOOKUP('Données projet'!$B$10,Paramètres!$A$1:$I$89,3,0)*0.475*44/12</f>
        <v>0.87984075622801539</v>
      </c>
      <c r="AW149" s="21">
        <f>EXP(-LN(2)/2)*AW148+(1-EXP(-LN(2)/2))/(LN(2)/2)*AQ149*AT149*VLOOKUP('Données projet'!$B$10,Paramètres!$A$1:$I$89,3,0)*0.475*44/12</f>
        <v>2.0961693633443215E-17</v>
      </c>
      <c r="AX149" s="21">
        <f t="shared" si="114"/>
        <v>18.677256815617984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267</v>
      </c>
      <c r="BE149" s="13">
        <f>BD149*VLOOKUP('Données projet'!$B$11,Paramètres!$A$1:$I$89,3,0)*VLOOKUP('Données projet'!$B$11,Paramètres!$A$1:$I$89,5,0)</f>
        <v>270.738</v>
      </c>
      <c r="BF149" s="13">
        <f t="shared" si="145"/>
        <v>65.005866623551711</v>
      </c>
      <c r="BG149" s="20">
        <f t="shared" si="115"/>
        <v>584.7539010360191</v>
      </c>
      <c r="BH149" s="59">
        <f t="shared" si="116"/>
        <v>878.08723436935247</v>
      </c>
      <c r="BI149" s="59">
        <f ca="1">AVERAGE(OFFSET($BH$3,0,0,'Données projet'!$E$11+1,1))-AVERAGE(OFFSET($H$3,0,0,'Données projet'!$E$11+1,1))</f>
        <v>308.80022073574963</v>
      </c>
      <c r="BJ149" s="59">
        <f t="shared" si="146"/>
        <v>183.96267407004115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45.846138625901482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45.846138625901482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795.00000000000068</v>
      </c>
      <c r="O150" s="13">
        <f>N150*VLOOKUP('Données projet'!$B$9,Paramètres!$A$1:$I$89,3,0)*VLOOKUP('Données projet'!$B$9,Paramètres!$A$1:$I$89,5,0)</f>
        <v>372.06000000000029</v>
      </c>
      <c r="P150" s="13">
        <f t="shared" si="141"/>
        <v>86.088609967897526</v>
      </c>
      <c r="Q150" s="20">
        <f t="shared" si="108"/>
        <v>797.94216236075533</v>
      </c>
      <c r="R150" s="59">
        <f t="shared" si="109"/>
        <v>1091.2754956940887</v>
      </c>
      <c r="S150" s="59">
        <f ca="1">AVERAGE(OFFSET($R$3,0,0,'Données projet'!$E$9+1,1))-AVERAGE(OFFSET($H$3,0,0,'Données projet'!$E$9+1,1))</f>
        <v>379.12827535040157</v>
      </c>
      <c r="T150" s="59">
        <f t="shared" si="142"/>
        <v>317.29813413796956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34.110754369366092</v>
      </c>
      <c r="AA150" s="21">
        <f>EXP(-LN(2)/25)*AA149+(1-EXP(-LN(2)/25))/(LN(2)/25)*Calculateur!V150*Calculateur!X150*VLOOKUP('Données projet'!$B$9,Paramètres!$A$1:$I$89,3,0)*0.475*44/12</f>
        <v>1.7372833338127187</v>
      </c>
      <c r="AB150" s="21">
        <f>EXP(-LN(2)/2)*AB149+(1-EXP(-LN(2)/2))/(LN(2)/2)*V150*Y150*VLOOKUP('Données projet'!$B$9,Paramètres!$A$1:$I$89,3,0)*0.475*44/12</f>
        <v>1.0562093691269834E-18</v>
      </c>
      <c r="AC150" s="22">
        <f t="shared" si="111"/>
        <v>35.848037703178811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636.99999999999977</v>
      </c>
      <c r="AJ150" s="13">
        <f>AI150*VLOOKUP('Données projet'!$B$10,Paramètres!$A$1:$I$89,3,0)*VLOOKUP('Données projet'!$B$10,Paramètres!$A$1:$I$89,5,0)</f>
        <v>356.08299999999991</v>
      </c>
      <c r="AK150" s="13">
        <f t="shared" si="143"/>
        <v>82.813805255716545</v>
      </c>
      <c r="AL150" s="20">
        <f t="shared" si="112"/>
        <v>764.41193582037283</v>
      </c>
      <c r="AM150" s="59">
        <f t="shared" si="113"/>
        <v>1057.7452691537062</v>
      </c>
      <c r="AN150" s="59">
        <f ca="1">AVERAGE(OFFSET($AM$3,0,0,'Données projet'!$E$10+1,1))-AVERAGE(OFFSET($H$3,0,0,'Données projet'!$E$10+1,1))</f>
        <v>382.55387448074327</v>
      </c>
      <c r="AO150" s="59">
        <f t="shared" si="144"/>
        <v>476.29465646955543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17.448419585817248</v>
      </c>
      <c r="AV150" s="21">
        <f>EXP(-LN(2)/25)*AV149+(1-EXP(-LN(2)/25))/(LN(2)/25)*Calculateur!AQ150*Calculateur!AS150*VLOOKUP('Données projet'!$B$10,Paramètres!$A$1:$I$89,3,0)*0.475*44/12</f>
        <v>0.8557814644801458</v>
      </c>
      <c r="AW150" s="21">
        <f>EXP(-LN(2)/2)*AW149+(1-EXP(-LN(2)/2))/(LN(2)/2)*AQ150*AT150*VLOOKUP('Données projet'!$B$10,Paramètres!$A$1:$I$89,3,0)*0.475*44/12</f>
        <v>1.4822155713362578E-17</v>
      </c>
      <c r="AX150" s="21">
        <f t="shared" si="114"/>
        <v>18.304201050297394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267</v>
      </c>
      <c r="BE150" s="13">
        <f>BD150*VLOOKUP('Données projet'!$B$11,Paramètres!$A$1:$I$89,3,0)*VLOOKUP('Données projet'!$B$11,Paramètres!$A$1:$I$89,5,0)</f>
        <v>270.738</v>
      </c>
      <c r="BF150" s="13">
        <f t="shared" si="145"/>
        <v>65.005866623551711</v>
      </c>
      <c r="BG150" s="20">
        <f t="shared" si="115"/>
        <v>584.7539010360191</v>
      </c>
      <c r="BH150" s="59">
        <f t="shared" si="116"/>
        <v>878.08723436935247</v>
      </c>
      <c r="BI150" s="59">
        <f ca="1">AVERAGE(OFFSET($BH$3,0,0,'Données projet'!$E$11+1,1))-AVERAGE(OFFSET($H$3,0,0,'Données projet'!$E$11+1,1))</f>
        <v>308.80022073574963</v>
      </c>
      <c r="BJ150" s="59">
        <f t="shared" si="146"/>
        <v>183.96267407004115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44.947123810830959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44.947123810830959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795.00000000000068</v>
      </c>
      <c r="O151" s="13">
        <f>N151*VLOOKUP('Données projet'!$B$9,Paramètres!$A$1:$I$89,3,0)*VLOOKUP('Données projet'!$B$9,Paramètres!$A$1:$I$89,5,0)</f>
        <v>372.06000000000029</v>
      </c>
      <c r="P151" s="13">
        <f t="shared" si="141"/>
        <v>86.088609967897526</v>
      </c>
      <c r="Q151" s="20">
        <f t="shared" si="108"/>
        <v>797.94216236075533</v>
      </c>
      <c r="R151" s="59">
        <f t="shared" si="109"/>
        <v>1091.2754956940887</v>
      </c>
      <c r="S151" s="59">
        <f ca="1">AVERAGE(OFFSET($R$3,0,0,'Données projet'!$E$9+1,1))-AVERAGE(OFFSET($H$3,0,0,'Données projet'!$E$9+1,1))</f>
        <v>379.12827535040157</v>
      </c>
      <c r="T151" s="59">
        <f t="shared" si="142"/>
        <v>317.29813413796956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33.441863281688612</v>
      </c>
      <c r="AA151" s="21">
        <f>EXP(-LN(2)/25)*AA150+(1-EXP(-LN(2)/25))/(LN(2)/25)*Calculateur!V151*Calculateur!X151*VLOOKUP('Données projet'!$B$9,Paramètres!$A$1:$I$89,3,0)*0.475*44/12</f>
        <v>1.6897772296898501</v>
      </c>
      <c r="AB151" s="21">
        <f>EXP(-LN(2)/2)*AB150+(1-EXP(-LN(2)/2))/(LN(2)/2)*V151*Y151*VLOOKUP('Données projet'!$B$9,Paramètres!$A$1:$I$89,3,0)*0.475*44/12</f>
        <v>7.4685280726245525E-19</v>
      </c>
      <c r="AC151" s="22">
        <f t="shared" si="111"/>
        <v>35.131640511378464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636.99999999999977</v>
      </c>
      <c r="AJ151" s="13">
        <f>AI151*VLOOKUP('Données projet'!$B$10,Paramètres!$A$1:$I$89,3,0)*VLOOKUP('Données projet'!$B$10,Paramètres!$A$1:$I$89,5,0)</f>
        <v>356.08299999999991</v>
      </c>
      <c r="AK151" s="13">
        <f t="shared" si="143"/>
        <v>82.813805255716545</v>
      </c>
      <c r="AL151" s="20">
        <f t="shared" si="112"/>
        <v>764.41193582037283</v>
      </c>
      <c r="AM151" s="59">
        <f t="shared" si="113"/>
        <v>1057.7452691537062</v>
      </c>
      <c r="AN151" s="59">
        <f ca="1">AVERAGE(OFFSET($AM$3,0,0,'Données projet'!$E$10+1,1))-AVERAGE(OFFSET($H$3,0,0,'Données projet'!$E$10+1,1))</f>
        <v>382.55387448074327</v>
      </c>
      <c r="AO151" s="59">
        <f t="shared" si="144"/>
        <v>476.29465646955543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17.106266720224461</v>
      </c>
      <c r="AV151" s="21">
        <f>EXP(-LN(2)/25)*AV150+(1-EXP(-LN(2)/25))/(LN(2)/25)*Calculateur!AQ151*Calculateur!AS151*VLOOKUP('Données projet'!$B$10,Paramètres!$A$1:$I$89,3,0)*0.475*44/12</f>
        <v>0.83238007533034486</v>
      </c>
      <c r="AW151" s="21">
        <f>EXP(-LN(2)/2)*AW150+(1-EXP(-LN(2)/2))/(LN(2)/2)*AQ151*AT151*VLOOKUP('Données projet'!$B$10,Paramètres!$A$1:$I$89,3,0)*0.475*44/12</f>
        <v>1.0480846816721608E-17</v>
      </c>
      <c r="AX151" s="21">
        <f t="shared" si="114"/>
        <v>17.938646795554806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267</v>
      </c>
      <c r="BE151" s="13">
        <f>BD151*VLOOKUP('Données projet'!$B$11,Paramètres!$A$1:$I$89,3,0)*VLOOKUP('Données projet'!$B$11,Paramètres!$A$1:$I$89,5,0)</f>
        <v>270.738</v>
      </c>
      <c r="BF151" s="13">
        <f t="shared" si="145"/>
        <v>65.005866623551711</v>
      </c>
      <c r="BG151" s="20">
        <f t="shared" si="115"/>
        <v>584.7539010360191</v>
      </c>
      <c r="BH151" s="59">
        <f t="shared" si="116"/>
        <v>878.08723436935247</v>
      </c>
      <c r="BI151" s="59">
        <f ca="1">AVERAGE(OFFSET($BH$3,0,0,'Données projet'!$E$11+1,1))-AVERAGE(OFFSET($H$3,0,0,'Données projet'!$E$11+1,1))</f>
        <v>308.80022073574963</v>
      </c>
      <c r="BJ151" s="59">
        <f t="shared" si="146"/>
        <v>183.96267407004115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44.065738127939078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44.065738127939078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795.00000000000068</v>
      </c>
      <c r="O152" s="13">
        <f>N152*VLOOKUP('Données projet'!$B$9,Paramètres!$A$1:$I$89,3,0)*VLOOKUP('Données projet'!$B$9,Paramètres!$A$1:$I$89,5,0)</f>
        <v>372.06000000000029</v>
      </c>
      <c r="P152" s="13">
        <f t="shared" si="141"/>
        <v>86.088609967897526</v>
      </c>
      <c r="Q152" s="20">
        <f t="shared" si="108"/>
        <v>797.94216236075533</v>
      </c>
      <c r="R152" s="59">
        <f t="shared" si="109"/>
        <v>1091.2754956940887</v>
      </c>
      <c r="S152" s="59">
        <f ca="1">AVERAGE(OFFSET($R$3,0,0,'Données projet'!$E$9+1,1))-AVERAGE(OFFSET($H$3,0,0,'Données projet'!$E$9+1,1))</f>
        <v>379.12827535040157</v>
      </c>
      <c r="T152" s="59">
        <f t="shared" si="142"/>
        <v>317.29813413796956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32.786088740257213</v>
      </c>
      <c r="AA152" s="21">
        <f>EXP(-LN(2)/25)*AA151+(1-EXP(-LN(2)/25))/(LN(2)/25)*Calculateur!V152*Calculateur!X152*VLOOKUP('Données projet'!$B$9,Paramètres!$A$1:$I$89,3,0)*0.475*44/12</f>
        <v>1.6435701824824587</v>
      </c>
      <c r="AB152" s="21">
        <f>EXP(-LN(2)/2)*AB151+(1-EXP(-LN(2)/2))/(LN(2)/2)*V152*Y152*VLOOKUP('Données projet'!$B$9,Paramètres!$A$1:$I$89,3,0)*0.475*44/12</f>
        <v>5.2810468456349169E-19</v>
      </c>
      <c r="AC152" s="22">
        <f t="shared" si="111"/>
        <v>34.429658922739669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636.99999999999977</v>
      </c>
      <c r="AJ152" s="13">
        <f>AI152*VLOOKUP('Données projet'!$B$10,Paramètres!$A$1:$I$89,3,0)*VLOOKUP('Données projet'!$B$10,Paramètres!$A$1:$I$89,5,0)</f>
        <v>356.08299999999991</v>
      </c>
      <c r="AK152" s="13">
        <f t="shared" si="143"/>
        <v>82.813805255716545</v>
      </c>
      <c r="AL152" s="20">
        <f t="shared" si="112"/>
        <v>764.41193582037283</v>
      </c>
      <c r="AM152" s="59">
        <f t="shared" si="113"/>
        <v>1057.7452691537062</v>
      </c>
      <c r="AN152" s="59">
        <f ca="1">AVERAGE(OFFSET($AM$3,0,0,'Données projet'!$E$10+1,1))-AVERAGE(OFFSET($H$3,0,0,'Données projet'!$E$10+1,1))</f>
        <v>382.55387448074327</v>
      </c>
      <c r="AO152" s="59">
        <f t="shared" si="144"/>
        <v>476.29465646955543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16.770823263633307</v>
      </c>
      <c r="AV152" s="21">
        <f>EXP(-LN(2)/25)*AV151+(1-EXP(-LN(2)/25))/(LN(2)/25)*Calculateur!AQ152*Calculateur!AS152*VLOOKUP('Données projet'!$B$10,Paramètres!$A$1:$I$89,3,0)*0.475*44/12</f>
        <v>0.80961859839747086</v>
      </c>
      <c r="AW152" s="21">
        <f>EXP(-LN(2)/2)*AW151+(1-EXP(-LN(2)/2))/(LN(2)/2)*AQ152*AT152*VLOOKUP('Données projet'!$B$10,Paramètres!$A$1:$I$89,3,0)*0.475*44/12</f>
        <v>7.4110778566812889E-18</v>
      </c>
      <c r="AX152" s="21">
        <f t="shared" si="114"/>
        <v>17.580441862030778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267</v>
      </c>
      <c r="BE152" s="13">
        <f>BD152*VLOOKUP('Données projet'!$B$11,Paramètres!$A$1:$I$89,3,0)*VLOOKUP('Données projet'!$B$11,Paramètres!$A$1:$I$89,5,0)</f>
        <v>270.738</v>
      </c>
      <c r="BF152" s="13">
        <f t="shared" si="145"/>
        <v>65.005866623551711</v>
      </c>
      <c r="BG152" s="20">
        <f t="shared" si="115"/>
        <v>584.7539010360191</v>
      </c>
      <c r="BH152" s="59">
        <f t="shared" si="116"/>
        <v>878.08723436935247</v>
      </c>
      <c r="BI152" s="59">
        <f ca="1">AVERAGE(OFFSET($BH$3,0,0,'Données projet'!$E$11+1,1))-AVERAGE(OFFSET($H$3,0,0,'Données projet'!$E$11+1,1))</f>
        <v>308.80022073574963</v>
      </c>
      <c r="BJ152" s="59">
        <f t="shared" si="146"/>
        <v>183.96267407004115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43.201635880696521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43.201635880696521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795.00000000000068</v>
      </c>
      <c r="O153" s="13">
        <f>N153*VLOOKUP('Données projet'!$B$9,Paramètres!$A$1:$I$89,3,0)*VLOOKUP('Données projet'!$B$9,Paramètres!$A$1:$I$89,5,0)</f>
        <v>372.06000000000029</v>
      </c>
      <c r="P153" s="13">
        <f t="shared" si="141"/>
        <v>86.088609967897526</v>
      </c>
      <c r="Q153" s="20">
        <f t="shared" si="108"/>
        <v>797.94216236075533</v>
      </c>
      <c r="R153" s="59">
        <f t="shared" si="109"/>
        <v>1091.2754956940887</v>
      </c>
      <c r="S153" s="59">
        <f ca="1">AVERAGE(OFFSET($R$3,0,0,'Données projet'!$E$9+1,1))-AVERAGE(OFFSET($H$3,0,0,'Données projet'!$E$9+1,1))</f>
        <v>379.12827535040157</v>
      </c>
      <c r="T153" s="59">
        <f t="shared" si="142"/>
        <v>317.29813413796956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32.143173537600305</v>
      </c>
      <c r="AA153" s="21">
        <f>EXP(-LN(2)/25)*AA152+(1-EXP(-LN(2)/25))/(LN(2)/25)*Calculateur!V153*Calculateur!X153*VLOOKUP('Données projet'!$B$9,Paramètres!$A$1:$I$89,3,0)*0.475*44/12</f>
        <v>1.5986266694108764</v>
      </c>
      <c r="AB153" s="21">
        <f>EXP(-LN(2)/2)*AB152+(1-EXP(-LN(2)/2))/(LN(2)/2)*V153*Y153*VLOOKUP('Données projet'!$B$9,Paramètres!$A$1:$I$89,3,0)*0.475*44/12</f>
        <v>3.7342640363122763E-19</v>
      </c>
      <c r="AC153" s="22">
        <f t="shared" si="111"/>
        <v>33.741800207011181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636.99999999999977</v>
      </c>
      <c r="AJ153" s="13">
        <f>AI153*VLOOKUP('Données projet'!$B$10,Paramètres!$A$1:$I$89,3,0)*VLOOKUP('Données projet'!$B$10,Paramètres!$A$1:$I$89,5,0)</f>
        <v>356.08299999999991</v>
      </c>
      <c r="AK153" s="13">
        <f t="shared" si="143"/>
        <v>82.813805255716545</v>
      </c>
      <c r="AL153" s="20">
        <f t="shared" si="112"/>
        <v>764.41193582037283</v>
      </c>
      <c r="AM153" s="59">
        <f t="shared" si="113"/>
        <v>1057.7452691537062</v>
      </c>
      <c r="AN153" s="59">
        <f ca="1">AVERAGE(OFFSET($AM$3,0,0,'Données projet'!$E$10+1,1))-AVERAGE(OFFSET($H$3,0,0,'Données projet'!$E$10+1,1))</f>
        <v>382.55387448074327</v>
      </c>
      <c r="AO153" s="59">
        <f t="shared" si="144"/>
        <v>476.29465646955543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16.4419576486256</v>
      </c>
      <c r="AV153" s="21">
        <f>EXP(-LN(2)/25)*AV152+(1-EXP(-LN(2)/25))/(LN(2)/25)*Calculateur!AQ153*Calculateur!AS153*VLOOKUP('Données projet'!$B$10,Paramètres!$A$1:$I$89,3,0)*0.475*44/12</f>
        <v>0.78747953524830039</v>
      </c>
      <c r="AW153" s="21">
        <f>EXP(-LN(2)/2)*AW152+(1-EXP(-LN(2)/2))/(LN(2)/2)*AQ153*AT153*VLOOKUP('Données projet'!$B$10,Paramètres!$A$1:$I$89,3,0)*0.475*44/12</f>
        <v>5.2404234083608039E-18</v>
      </c>
      <c r="AX153" s="21">
        <f t="shared" si="114"/>
        <v>17.229437183873902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267</v>
      </c>
      <c r="BE153" s="13">
        <f>BD153*VLOOKUP('Données projet'!$B$11,Paramètres!$A$1:$I$89,3,0)*VLOOKUP('Données projet'!$B$11,Paramètres!$A$1:$I$89,5,0)</f>
        <v>270.738</v>
      </c>
      <c r="BF153" s="13">
        <f t="shared" si="145"/>
        <v>65.005866623551711</v>
      </c>
      <c r="BG153" s="20">
        <f t="shared" si="115"/>
        <v>584.7539010360191</v>
      </c>
      <c r="BH153" s="59">
        <f t="shared" si="116"/>
        <v>878.08723436935247</v>
      </c>
      <c r="BI153" s="59">
        <f ca="1">AVERAGE(OFFSET($BH$3,0,0,'Données projet'!$E$11+1,1))-AVERAGE(OFFSET($H$3,0,0,'Données projet'!$E$11+1,1))</f>
        <v>308.80022073574963</v>
      </c>
      <c r="BJ153" s="59">
        <f t="shared" si="146"/>
        <v>183.96267407004115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42.354478151472065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42.354478151472065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795.00000000000068</v>
      </c>
      <c r="O154" s="13">
        <f>N154*VLOOKUP('Données projet'!$B$9,Paramètres!$A$1:$I$89,3,0)*VLOOKUP('Données projet'!$B$9,Paramètres!$A$1:$I$89,5,0)</f>
        <v>372.06000000000029</v>
      </c>
      <c r="P154" s="13">
        <f t="shared" si="141"/>
        <v>86.088609967897526</v>
      </c>
      <c r="Q154" s="20">
        <f t="shared" ref="Q154:Q203" si="162">(O154+P154)*0.475*44/12</f>
        <v>797.94216236075533</v>
      </c>
      <c r="R154" s="59">
        <f t="shared" si="109"/>
        <v>1091.2754956940887</v>
      </c>
      <c r="S154" s="59">
        <f ca="1">AVERAGE(OFFSET($R$3,0,0,'Données projet'!$E$9+1,1))-AVERAGE(OFFSET($H$3,0,0,'Données projet'!$E$9+1,1))</f>
        <v>379.12827535040157</v>
      </c>
      <c r="T154" s="59">
        <f t="shared" si="142"/>
        <v>317.29813413796956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31.512865509927948</v>
      </c>
      <c r="AA154" s="21">
        <f>EXP(-LN(2)/25)*AA153+(1-EXP(-LN(2)/25))/(LN(2)/25)*Calculateur!V154*Calculateur!X154*VLOOKUP('Données projet'!$B$9,Paramètres!$A$1:$I$89,3,0)*0.475*44/12</f>
        <v>1.5549121390677132</v>
      </c>
      <c r="AB154" s="21">
        <f>EXP(-LN(2)/2)*AB153+(1-EXP(-LN(2)/2))/(LN(2)/2)*V154*Y154*VLOOKUP('Données projet'!$B$9,Paramètres!$A$1:$I$89,3,0)*0.475*44/12</f>
        <v>2.6405234228174585E-19</v>
      </c>
      <c r="AC154" s="22">
        <f t="shared" ref="AC154:AC203" si="163">SUM(Z154:AB154)</f>
        <v>33.067777648995659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636.99999999999977</v>
      </c>
      <c r="AJ154" s="13">
        <f>AI154*VLOOKUP('Données projet'!$B$10,Paramètres!$A$1:$I$89,3,0)*VLOOKUP('Données projet'!$B$10,Paramètres!$A$1:$I$89,5,0)</f>
        <v>356.08299999999991</v>
      </c>
      <c r="AK154" s="13">
        <f t="shared" ref="AK154:AK203" si="164">EXP(-1.0587+0.8836*LN(AJ154)+0.284)</f>
        <v>82.813805255716545</v>
      </c>
      <c r="AL154" s="20">
        <f t="shared" ref="AL154:AL203" si="165">(AJ154+AK154)*0.475*44/12</f>
        <v>764.41193582037283</v>
      </c>
      <c r="AM154" s="59">
        <f t="shared" si="113"/>
        <v>1057.7452691537062</v>
      </c>
      <c r="AN154" s="59">
        <f ca="1">AVERAGE(OFFSET($AM$3,0,0,'Données projet'!$E$10+1,1))-AVERAGE(OFFSET($H$3,0,0,'Données projet'!$E$10+1,1))</f>
        <v>382.55387448074327</v>
      </c>
      <c r="AO154" s="59">
        <f t="shared" si="144"/>
        <v>476.29465646955543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16.119540887739976</v>
      </c>
      <c r="AV154" s="21">
        <f>EXP(-LN(2)/25)*AV153+(1-EXP(-LN(2)/25))/(LN(2)/25)*Calculateur!AQ154*Calculateur!AS154*VLOOKUP('Données projet'!$B$10,Paramètres!$A$1:$I$89,3,0)*0.475*44/12</f>
        <v>0.76594586594518665</v>
      </c>
      <c r="AW154" s="21">
        <f>EXP(-LN(2)/2)*AW153+(1-EXP(-LN(2)/2))/(LN(2)/2)*AQ154*AT154*VLOOKUP('Données projet'!$B$10,Paramètres!$A$1:$I$89,3,0)*0.475*44/12</f>
        <v>3.7055389283406445E-18</v>
      </c>
      <c r="AX154" s="21">
        <f t="shared" ref="AX154:AX203" si="166">SUM(AU154:AW154)</f>
        <v>16.885486753685164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267</v>
      </c>
      <c r="BE154" s="13">
        <f>BD154*VLOOKUP('Données projet'!$B$11,Paramètres!$A$1:$I$89,3,0)*VLOOKUP('Données projet'!$B$11,Paramètres!$A$1:$I$89,5,0)</f>
        <v>270.738</v>
      </c>
      <c r="BF154" s="13">
        <f t="shared" ref="BF154:BF203" si="167">EXP(-1.0587+0.8836*LN(BE154)+0.284)</f>
        <v>65.005866623551711</v>
      </c>
      <c r="BG154" s="20">
        <f t="shared" ref="BG154:BG203" si="168">(BE154+BF154)*0.475*44/12</f>
        <v>584.7539010360191</v>
      </c>
      <c r="BH154" s="59">
        <f t="shared" si="116"/>
        <v>878.08723436935247</v>
      </c>
      <c r="BI154" s="59">
        <f ca="1">AVERAGE(OFFSET($BH$3,0,0,'Données projet'!$E$11+1,1))-AVERAGE(OFFSET($H$3,0,0,'Données projet'!$E$11+1,1))</f>
        <v>308.80022073574963</v>
      </c>
      <c r="BJ154" s="59">
        <f t="shared" si="146"/>
        <v>183.96267407004115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41.523932668602505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41.523932668602505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795.00000000000068</v>
      </c>
      <c r="O155" s="13">
        <f>N155*VLOOKUP('Données projet'!$B$9,Paramètres!$A$1:$I$89,3,0)*VLOOKUP('Données projet'!$B$9,Paramètres!$A$1:$I$89,5,0)</f>
        <v>372.06000000000029</v>
      </c>
      <c r="P155" s="13">
        <f t="shared" si="141"/>
        <v>86.088609967897526</v>
      </c>
      <c r="Q155" s="20">
        <f t="shared" si="162"/>
        <v>797.94216236075533</v>
      </c>
      <c r="R155" s="59">
        <f t="shared" si="109"/>
        <v>1091.2754956940887</v>
      </c>
      <c r="S155" s="59">
        <f ca="1">AVERAGE(OFFSET($R$3,0,0,'Données projet'!$E$9+1,1))-AVERAGE(OFFSET($H$3,0,0,'Données projet'!$E$9+1,1))</f>
        <v>379.12827535040157</v>
      </c>
      <c r="T155" s="59">
        <f t="shared" si="142"/>
        <v>317.29813413796956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30.894917438228312</v>
      </c>
      <c r="AA155" s="21">
        <f>EXP(-LN(2)/25)*AA154+(1-EXP(-LN(2)/25))/(LN(2)/25)*Calculateur!V155*Calculateur!X155*VLOOKUP('Données projet'!$B$9,Paramètres!$A$1:$I$89,3,0)*0.475*44/12</f>
        <v>1.512392984855631</v>
      </c>
      <c r="AB155" s="21">
        <f>EXP(-LN(2)/2)*AB154+(1-EXP(-LN(2)/2))/(LN(2)/2)*V155*Y155*VLOOKUP('Données projet'!$B$9,Paramètres!$A$1:$I$89,3,0)*0.475*44/12</f>
        <v>1.8671320181561381E-19</v>
      </c>
      <c r="AC155" s="22">
        <f t="shared" si="163"/>
        <v>32.407310423083942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636.99999999999977</v>
      </c>
      <c r="AJ155" s="13">
        <f>AI155*VLOOKUP('Données projet'!$B$10,Paramètres!$A$1:$I$89,3,0)*VLOOKUP('Données projet'!$B$10,Paramètres!$A$1:$I$89,5,0)</f>
        <v>356.08299999999991</v>
      </c>
      <c r="AK155" s="13">
        <f t="shared" si="164"/>
        <v>82.813805255716545</v>
      </c>
      <c r="AL155" s="20">
        <f t="shared" si="165"/>
        <v>764.41193582037283</v>
      </c>
      <c r="AM155" s="59">
        <f t="shared" si="113"/>
        <v>1057.7452691537062</v>
      </c>
      <c r="AN155" s="59">
        <f ca="1">AVERAGE(OFFSET($AM$3,0,0,'Données projet'!$E$10+1,1))-AVERAGE(OFFSET($H$3,0,0,'Données projet'!$E$10+1,1))</f>
        <v>382.55387448074327</v>
      </c>
      <c r="AO155" s="59">
        <f t="shared" si="144"/>
        <v>476.29465646955543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15.803446522880513</v>
      </c>
      <c r="AV155" s="21">
        <f>EXP(-LN(2)/25)*AV154+(1-EXP(-LN(2)/25))/(LN(2)/25)*Calculateur!AQ155*Calculateur!AS155*VLOOKUP('Données projet'!$B$10,Paramètres!$A$1:$I$89,3,0)*0.475*44/12</f>
        <v>0.74500103596157308</v>
      </c>
      <c r="AW155" s="21">
        <f>EXP(-LN(2)/2)*AW154+(1-EXP(-LN(2)/2))/(LN(2)/2)*AQ155*AT155*VLOOKUP('Données projet'!$B$10,Paramètres!$A$1:$I$89,3,0)*0.475*44/12</f>
        <v>2.6202117041804019E-18</v>
      </c>
      <c r="AX155" s="21">
        <f t="shared" si="166"/>
        <v>16.548447558842085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267</v>
      </c>
      <c r="BE155" s="13">
        <f>BD155*VLOOKUP('Données projet'!$B$11,Paramètres!$A$1:$I$89,3,0)*VLOOKUP('Données projet'!$B$11,Paramètres!$A$1:$I$89,5,0)</f>
        <v>270.738</v>
      </c>
      <c r="BF155" s="13">
        <f t="shared" si="167"/>
        <v>65.005866623551711</v>
      </c>
      <c r="BG155" s="20">
        <f t="shared" si="168"/>
        <v>584.7539010360191</v>
      </c>
      <c r="BH155" s="59">
        <f t="shared" si="116"/>
        <v>878.08723436935247</v>
      </c>
      <c r="BI155" s="59">
        <f ca="1">AVERAGE(OFFSET($BH$3,0,0,'Données projet'!$E$11+1,1))-AVERAGE(OFFSET($H$3,0,0,'Données projet'!$E$11+1,1))</f>
        <v>308.80022073574963</v>
      </c>
      <c r="BJ155" s="59">
        <f t="shared" si="146"/>
        <v>183.96267407004115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40.709673676069293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40.709673676069293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795.00000000000068</v>
      </c>
      <c r="O156" s="13">
        <f>N156*VLOOKUP('Données projet'!$B$9,Paramètres!$A$1:$I$89,3,0)*VLOOKUP('Données projet'!$B$9,Paramètres!$A$1:$I$89,5,0)</f>
        <v>372.06000000000029</v>
      </c>
      <c r="P156" s="13">
        <f t="shared" si="141"/>
        <v>86.088609967897526</v>
      </c>
      <c r="Q156" s="20">
        <f t="shared" si="162"/>
        <v>797.94216236075533</v>
      </c>
      <c r="R156" s="59">
        <f t="shared" si="109"/>
        <v>1091.2754956940887</v>
      </c>
      <c r="S156" s="59">
        <f ca="1">AVERAGE(OFFSET($R$3,0,0,'Données projet'!$E$9+1,1))-AVERAGE(OFFSET($H$3,0,0,'Données projet'!$E$9+1,1))</f>
        <v>379.12827535040157</v>
      </c>
      <c r="T156" s="59">
        <f t="shared" si="142"/>
        <v>317.29813413796956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30.289086951303599</v>
      </c>
      <c r="AA156" s="21">
        <f>EXP(-LN(2)/25)*AA155+(1-EXP(-LN(2)/25))/(LN(2)/25)*Calculateur!V156*Calculateur!X156*VLOOKUP('Données projet'!$B$9,Paramètres!$A$1:$I$89,3,0)*0.475*44/12</f>
        <v>1.4710365191514634</v>
      </c>
      <c r="AB156" s="21">
        <f>EXP(-LN(2)/2)*AB155+(1-EXP(-LN(2)/2))/(LN(2)/2)*V156*Y156*VLOOKUP('Données projet'!$B$9,Paramètres!$A$1:$I$89,3,0)*0.475*44/12</f>
        <v>1.3202617114087292E-19</v>
      </c>
      <c r="AC156" s="22">
        <f t="shared" si="163"/>
        <v>31.760123470455063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636.99999999999977</v>
      </c>
      <c r="AJ156" s="13">
        <f>AI156*VLOOKUP('Données projet'!$B$10,Paramètres!$A$1:$I$89,3,0)*VLOOKUP('Données projet'!$B$10,Paramètres!$A$1:$I$89,5,0)</f>
        <v>356.08299999999991</v>
      </c>
      <c r="AK156" s="13">
        <f t="shared" si="164"/>
        <v>82.813805255716545</v>
      </c>
      <c r="AL156" s="20">
        <f t="shared" si="165"/>
        <v>764.41193582037283</v>
      </c>
      <c r="AM156" s="59">
        <f t="shared" si="113"/>
        <v>1057.7452691537062</v>
      </c>
      <c r="AN156" s="59">
        <f ca="1">AVERAGE(OFFSET($AM$3,0,0,'Données projet'!$E$10+1,1))-AVERAGE(OFFSET($H$3,0,0,'Données projet'!$E$10+1,1))</f>
        <v>382.55387448074327</v>
      </c>
      <c r="AO156" s="59">
        <f t="shared" si="144"/>
        <v>476.29465646955543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15.493550575717418</v>
      </c>
      <c r="AV156" s="21">
        <f>EXP(-LN(2)/25)*AV155+(1-EXP(-LN(2)/25))/(LN(2)/25)*Calculateur!AQ156*Calculateur!AS156*VLOOKUP('Données projet'!$B$10,Paramètres!$A$1:$I$89,3,0)*0.475*44/12</f>
        <v>0.72462894345530215</v>
      </c>
      <c r="AW156" s="21">
        <f>EXP(-LN(2)/2)*AW155+(1-EXP(-LN(2)/2))/(LN(2)/2)*AQ156*AT156*VLOOKUP('Données projet'!$B$10,Paramètres!$A$1:$I$89,3,0)*0.475*44/12</f>
        <v>1.8527694641703222E-18</v>
      </c>
      <c r="AX156" s="21">
        <f t="shared" si="166"/>
        <v>16.218179519172718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267</v>
      </c>
      <c r="BE156" s="13">
        <f>BD156*VLOOKUP('Données projet'!$B$11,Paramètres!$A$1:$I$89,3,0)*VLOOKUP('Données projet'!$B$11,Paramètres!$A$1:$I$89,5,0)</f>
        <v>270.738</v>
      </c>
      <c r="BF156" s="13">
        <f t="shared" si="167"/>
        <v>65.005866623551711</v>
      </c>
      <c r="BG156" s="20">
        <f t="shared" si="168"/>
        <v>584.7539010360191</v>
      </c>
      <c r="BH156" s="59">
        <f t="shared" si="116"/>
        <v>878.08723436935247</v>
      </c>
      <c r="BI156" s="59">
        <f ca="1">AVERAGE(OFFSET($BH$3,0,0,'Données projet'!$E$11+1,1))-AVERAGE(OFFSET($H$3,0,0,'Données projet'!$E$11+1,1))</f>
        <v>308.80022073574963</v>
      </c>
      <c r="BJ156" s="59">
        <f t="shared" si="146"/>
        <v>183.96267407004115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39.911381805730713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39.911381805730713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795.00000000000068</v>
      </c>
      <c r="O157" s="13">
        <f>N157*VLOOKUP('Données projet'!$B$9,Paramètres!$A$1:$I$89,3,0)*VLOOKUP('Données projet'!$B$9,Paramètres!$A$1:$I$89,5,0)</f>
        <v>372.06000000000029</v>
      </c>
      <c r="P157" s="13">
        <f t="shared" si="141"/>
        <v>86.088609967897526</v>
      </c>
      <c r="Q157" s="20">
        <f t="shared" si="162"/>
        <v>797.94216236075533</v>
      </c>
      <c r="R157" s="59">
        <f t="shared" si="109"/>
        <v>1091.2754956940887</v>
      </c>
      <c r="S157" s="59">
        <f ca="1">AVERAGE(OFFSET($R$3,0,0,'Données projet'!$E$9+1,1))-AVERAGE(OFFSET($H$3,0,0,'Données projet'!$E$9+1,1))</f>
        <v>379.12827535040157</v>
      </c>
      <c r="T157" s="59">
        <f t="shared" si="142"/>
        <v>317.29813413796956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29.695136430707368</v>
      </c>
      <c r="AA157" s="21">
        <f>EXP(-LN(2)/25)*AA156+(1-EXP(-LN(2)/25))/(LN(2)/25)*Calculateur!V157*Calculateur!X157*VLOOKUP('Données projet'!$B$9,Paramètres!$A$1:$I$89,3,0)*0.475*44/12</f>
        <v>1.4308109481768181</v>
      </c>
      <c r="AB157" s="21">
        <f>EXP(-LN(2)/2)*AB156+(1-EXP(-LN(2)/2))/(LN(2)/2)*V157*Y157*VLOOKUP('Données projet'!$B$9,Paramètres!$A$1:$I$89,3,0)*0.475*44/12</f>
        <v>9.3356600907806906E-20</v>
      </c>
      <c r="AC157" s="22">
        <f t="shared" si="163"/>
        <v>31.125947378884185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636.99999999999977</v>
      </c>
      <c r="AJ157" s="13">
        <f>AI157*VLOOKUP('Données projet'!$B$10,Paramètres!$A$1:$I$89,3,0)*VLOOKUP('Données projet'!$B$10,Paramètres!$A$1:$I$89,5,0)</f>
        <v>356.08299999999991</v>
      </c>
      <c r="AK157" s="13">
        <f t="shared" si="164"/>
        <v>82.813805255716545</v>
      </c>
      <c r="AL157" s="20">
        <f t="shared" si="165"/>
        <v>764.41193582037283</v>
      </c>
      <c r="AM157" s="59">
        <f t="shared" si="113"/>
        <v>1057.7452691537062</v>
      </c>
      <c r="AN157" s="59">
        <f ca="1">AVERAGE(OFFSET($AM$3,0,0,'Données projet'!$E$10+1,1))-AVERAGE(OFFSET($H$3,0,0,'Données projet'!$E$10+1,1))</f>
        <v>382.55387448074327</v>
      </c>
      <c r="AO157" s="59">
        <f t="shared" si="144"/>
        <v>476.29465646955543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15.189731499060327</v>
      </c>
      <c r="AV157" s="21">
        <f>EXP(-LN(2)/25)*AV156+(1-EXP(-LN(2)/25))/(LN(2)/25)*Calculateur!AQ157*Calculateur!AS157*VLOOKUP('Données projet'!$B$10,Paramètres!$A$1:$I$89,3,0)*0.475*44/12</f>
        <v>0.70481392688993694</v>
      </c>
      <c r="AW157" s="21">
        <f>EXP(-LN(2)/2)*AW156+(1-EXP(-LN(2)/2))/(LN(2)/2)*AQ157*AT157*VLOOKUP('Données projet'!$B$10,Paramètres!$A$1:$I$89,3,0)*0.475*44/12</f>
        <v>1.310105852090201E-18</v>
      </c>
      <c r="AX157" s="21">
        <f t="shared" si="166"/>
        <v>15.894545425950264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267</v>
      </c>
      <c r="BE157" s="13">
        <f>BD157*VLOOKUP('Données projet'!$B$11,Paramètres!$A$1:$I$89,3,0)*VLOOKUP('Données projet'!$B$11,Paramètres!$A$1:$I$89,5,0)</f>
        <v>270.738</v>
      </c>
      <c r="BF157" s="13">
        <f t="shared" si="167"/>
        <v>65.005866623551711</v>
      </c>
      <c r="BG157" s="20">
        <f t="shared" si="168"/>
        <v>584.7539010360191</v>
      </c>
      <c r="BH157" s="59">
        <f t="shared" si="116"/>
        <v>878.08723436935247</v>
      </c>
      <c r="BI157" s="59">
        <f ca="1">AVERAGE(OFFSET($BH$3,0,0,'Données projet'!$E$11+1,1))-AVERAGE(OFFSET($H$3,0,0,'Données projet'!$E$11+1,1))</f>
        <v>308.80022073574963</v>
      </c>
      <c r="BJ157" s="59">
        <f t="shared" si="146"/>
        <v>183.96267407004115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39.128743952059509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39.128743952059509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795.00000000000068</v>
      </c>
      <c r="O158" s="13">
        <f>N158*VLOOKUP('Données projet'!$B$9,Paramètres!$A$1:$I$89,3,0)*VLOOKUP('Données projet'!$B$9,Paramètres!$A$1:$I$89,5,0)</f>
        <v>372.06000000000029</v>
      </c>
      <c r="P158" s="13">
        <f t="shared" si="141"/>
        <v>86.088609967897526</v>
      </c>
      <c r="Q158" s="20">
        <f t="shared" si="162"/>
        <v>797.94216236075533</v>
      </c>
      <c r="R158" s="59">
        <f t="shared" si="109"/>
        <v>1091.2754956940887</v>
      </c>
      <c r="S158" s="59">
        <f ca="1">AVERAGE(OFFSET($R$3,0,0,'Données projet'!$E$9+1,1))-AVERAGE(OFFSET($H$3,0,0,'Données projet'!$E$9+1,1))</f>
        <v>379.12827535040157</v>
      </c>
      <c r="T158" s="59">
        <f t="shared" si="142"/>
        <v>317.29813413796956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29.112832917545983</v>
      </c>
      <c r="AA158" s="21">
        <f>EXP(-LN(2)/25)*AA157+(1-EXP(-LN(2)/25))/(LN(2)/25)*Calculateur!V158*Calculateur!X158*VLOOKUP('Données projet'!$B$9,Paramètres!$A$1:$I$89,3,0)*0.475*44/12</f>
        <v>1.3916853475558455</v>
      </c>
      <c r="AB158" s="21">
        <f>EXP(-LN(2)/2)*AB157+(1-EXP(-LN(2)/2))/(LN(2)/2)*V158*Y158*VLOOKUP('Données projet'!$B$9,Paramètres!$A$1:$I$89,3,0)*0.475*44/12</f>
        <v>6.6013085570436462E-20</v>
      </c>
      <c r="AC158" s="22">
        <f t="shared" si="163"/>
        <v>30.504518265101829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636.99999999999977</v>
      </c>
      <c r="AJ158" s="13">
        <f>AI158*VLOOKUP('Données projet'!$B$10,Paramètres!$A$1:$I$89,3,0)*VLOOKUP('Données projet'!$B$10,Paramètres!$A$1:$I$89,5,0)</f>
        <v>356.08299999999991</v>
      </c>
      <c r="AK158" s="13">
        <f t="shared" si="164"/>
        <v>82.813805255716545</v>
      </c>
      <c r="AL158" s="20">
        <f t="shared" si="165"/>
        <v>764.41193582037283</v>
      </c>
      <c r="AM158" s="59">
        <f t="shared" si="113"/>
        <v>1057.7452691537062</v>
      </c>
      <c r="AN158" s="59">
        <f ca="1">AVERAGE(OFFSET($AM$3,0,0,'Données projet'!$E$10+1,1))-AVERAGE(OFFSET($H$3,0,0,'Données projet'!$E$10+1,1))</f>
        <v>382.55387448074327</v>
      </c>
      <c r="AO158" s="59">
        <f t="shared" si="144"/>
        <v>476.29465646955543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14.891870129185143</v>
      </c>
      <c r="AV158" s="21">
        <f>EXP(-LN(2)/25)*AV157+(1-EXP(-LN(2)/25))/(LN(2)/25)*Calculateur!AQ158*Calculateur!AS158*VLOOKUP('Données projet'!$B$10,Paramètres!$A$1:$I$89,3,0)*0.475*44/12</f>
        <v>0.68554075299457806</v>
      </c>
      <c r="AW158" s="21">
        <f>EXP(-LN(2)/2)*AW157+(1-EXP(-LN(2)/2))/(LN(2)/2)*AQ158*AT158*VLOOKUP('Données projet'!$B$10,Paramètres!$A$1:$I$89,3,0)*0.475*44/12</f>
        <v>9.2638473208516112E-19</v>
      </c>
      <c r="AX158" s="21">
        <f t="shared" si="166"/>
        <v>15.577410882179722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267</v>
      </c>
      <c r="BE158" s="13">
        <f>BD158*VLOOKUP('Données projet'!$B$11,Paramètres!$A$1:$I$89,3,0)*VLOOKUP('Données projet'!$B$11,Paramètres!$A$1:$I$89,5,0)</f>
        <v>270.738</v>
      </c>
      <c r="BF158" s="13">
        <f t="shared" si="167"/>
        <v>65.005866623551711</v>
      </c>
      <c r="BG158" s="20">
        <f t="shared" si="168"/>
        <v>584.7539010360191</v>
      </c>
      <c r="BH158" s="59">
        <f t="shared" si="116"/>
        <v>878.08723436935247</v>
      </c>
      <c r="BI158" s="59">
        <f ca="1">AVERAGE(OFFSET($BH$3,0,0,'Données projet'!$E$11+1,1))-AVERAGE(OFFSET($H$3,0,0,'Données projet'!$E$11+1,1))</f>
        <v>308.80022073574963</v>
      </c>
      <c r="BJ158" s="59">
        <f t="shared" si="146"/>
        <v>183.96267407004115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38.361453149336846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38.361453149336846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795.00000000000068</v>
      </c>
      <c r="O159" s="13">
        <f>N159*VLOOKUP('Données projet'!$B$9,Paramètres!$A$1:$I$89,3,0)*VLOOKUP('Données projet'!$B$9,Paramètres!$A$1:$I$89,5,0)</f>
        <v>372.06000000000029</v>
      </c>
      <c r="P159" s="13">
        <f t="shared" si="141"/>
        <v>86.088609967897526</v>
      </c>
      <c r="Q159" s="20">
        <f t="shared" si="162"/>
        <v>797.94216236075533</v>
      </c>
      <c r="R159" s="59">
        <f t="shared" si="109"/>
        <v>1091.2754956940887</v>
      </c>
      <c r="S159" s="59">
        <f ca="1">AVERAGE(OFFSET($R$3,0,0,'Données projet'!$E$9+1,1))-AVERAGE(OFFSET($H$3,0,0,'Données projet'!$E$9+1,1))</f>
        <v>379.12827535040157</v>
      </c>
      <c r="T159" s="59">
        <f t="shared" si="142"/>
        <v>317.29813413796956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28.541948021107622</v>
      </c>
      <c r="AA159" s="21">
        <f>EXP(-LN(2)/25)*AA158+(1-EXP(-LN(2)/25))/(LN(2)/25)*Calculateur!V159*Calculateur!X159*VLOOKUP('Données projet'!$B$9,Paramètres!$A$1:$I$89,3,0)*0.475*44/12</f>
        <v>1.3536296385413793</v>
      </c>
      <c r="AB159" s="21">
        <f>EXP(-LN(2)/2)*AB158+(1-EXP(-LN(2)/2))/(LN(2)/2)*V159*Y159*VLOOKUP('Données projet'!$B$9,Paramètres!$A$1:$I$89,3,0)*0.475*44/12</f>
        <v>4.6678300453903453E-20</v>
      </c>
      <c r="AC159" s="22">
        <f t="shared" si="163"/>
        <v>29.895577659649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636.99999999999977</v>
      </c>
      <c r="AJ159" s="13">
        <f>AI159*VLOOKUP('Données projet'!$B$10,Paramètres!$A$1:$I$89,3,0)*VLOOKUP('Données projet'!$B$10,Paramètres!$A$1:$I$89,5,0)</f>
        <v>356.08299999999991</v>
      </c>
      <c r="AK159" s="13">
        <f t="shared" si="164"/>
        <v>82.813805255716545</v>
      </c>
      <c r="AL159" s="20">
        <f t="shared" si="165"/>
        <v>764.41193582037283</v>
      </c>
      <c r="AM159" s="59">
        <f t="shared" si="113"/>
        <v>1057.7452691537062</v>
      </c>
      <c r="AN159" s="59">
        <f ca="1">AVERAGE(OFFSET($AM$3,0,0,'Données projet'!$E$10+1,1))-AVERAGE(OFFSET($H$3,0,0,'Données projet'!$E$10+1,1))</f>
        <v>382.55387448074327</v>
      </c>
      <c r="AO159" s="59">
        <f t="shared" si="144"/>
        <v>476.29465646955543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14.599849639095716</v>
      </c>
      <c r="AV159" s="21">
        <f>EXP(-LN(2)/25)*AV158+(1-EXP(-LN(2)/25))/(LN(2)/25)*Calculateur!AQ159*Calculateur!AS159*VLOOKUP('Données projet'!$B$10,Paramètres!$A$1:$I$89,3,0)*0.475*44/12</f>
        <v>0.66679460505291999</v>
      </c>
      <c r="AW159" s="21">
        <f>EXP(-LN(2)/2)*AW158+(1-EXP(-LN(2)/2))/(LN(2)/2)*AQ159*AT159*VLOOKUP('Données projet'!$B$10,Paramètres!$A$1:$I$89,3,0)*0.475*44/12</f>
        <v>6.5505292604510048E-19</v>
      </c>
      <c r="AX159" s="21">
        <f t="shared" si="166"/>
        <v>15.266644244148635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267</v>
      </c>
      <c r="BE159" s="13">
        <f>BD159*VLOOKUP('Données projet'!$B$11,Paramètres!$A$1:$I$89,3,0)*VLOOKUP('Données projet'!$B$11,Paramètres!$A$1:$I$89,5,0)</f>
        <v>270.738</v>
      </c>
      <c r="BF159" s="13">
        <f t="shared" si="167"/>
        <v>65.005866623551711</v>
      </c>
      <c r="BG159" s="20">
        <f t="shared" si="168"/>
        <v>584.7539010360191</v>
      </c>
      <c r="BH159" s="59">
        <f t="shared" si="116"/>
        <v>878.08723436935247</v>
      </c>
      <c r="BI159" s="59">
        <f ca="1">AVERAGE(OFFSET($BH$3,0,0,'Données projet'!$E$11+1,1))-AVERAGE(OFFSET($H$3,0,0,'Données projet'!$E$11+1,1))</f>
        <v>308.80022073574963</v>
      </c>
      <c r="BJ159" s="59">
        <f t="shared" si="146"/>
        <v>183.96267407004115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37.609208451254396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37.609208451254396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795.00000000000068</v>
      </c>
      <c r="O160" s="13">
        <f>N160*VLOOKUP('Données projet'!$B$9,Paramètres!$A$1:$I$89,3,0)*VLOOKUP('Données projet'!$B$9,Paramètres!$A$1:$I$89,5,0)</f>
        <v>372.06000000000029</v>
      </c>
      <c r="P160" s="13">
        <f t="shared" si="141"/>
        <v>86.088609967897526</v>
      </c>
      <c r="Q160" s="20">
        <f t="shared" si="162"/>
        <v>797.94216236075533</v>
      </c>
      <c r="R160" s="59">
        <f t="shared" si="109"/>
        <v>1091.2754956940887</v>
      </c>
      <c r="S160" s="59">
        <f ca="1">AVERAGE(OFFSET($R$3,0,0,'Données projet'!$E$9+1,1))-AVERAGE(OFFSET($H$3,0,0,'Données projet'!$E$9+1,1))</f>
        <v>379.12827535040157</v>
      </c>
      <c r="T160" s="59">
        <f t="shared" si="142"/>
        <v>317.29813413796956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27.982257829283011</v>
      </c>
      <c r="AA160" s="21">
        <f>EXP(-LN(2)/25)*AA159+(1-EXP(-LN(2)/25))/(LN(2)/25)*Calculateur!V160*Calculateur!X160*VLOOKUP('Données projet'!$B$9,Paramètres!$A$1:$I$89,3,0)*0.475*44/12</f>
        <v>1.3166145648911765</v>
      </c>
      <c r="AB160" s="21">
        <f>EXP(-LN(2)/2)*AB159+(1-EXP(-LN(2)/2))/(LN(2)/2)*V160*Y160*VLOOKUP('Données projet'!$B$9,Paramètres!$A$1:$I$89,3,0)*0.475*44/12</f>
        <v>3.3006542785218231E-20</v>
      </c>
      <c r="AC160" s="22">
        <f t="shared" si="163"/>
        <v>29.298872394174186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636.99999999999977</v>
      </c>
      <c r="AJ160" s="13">
        <f>AI160*VLOOKUP('Données projet'!$B$10,Paramètres!$A$1:$I$89,3,0)*VLOOKUP('Données projet'!$B$10,Paramètres!$A$1:$I$89,5,0)</f>
        <v>356.08299999999991</v>
      </c>
      <c r="AK160" s="13">
        <f t="shared" si="164"/>
        <v>82.813805255716545</v>
      </c>
      <c r="AL160" s="20">
        <f t="shared" si="165"/>
        <v>764.41193582037283</v>
      </c>
      <c r="AM160" s="59">
        <f t="shared" si="113"/>
        <v>1057.7452691537062</v>
      </c>
      <c r="AN160" s="59">
        <f ca="1">AVERAGE(OFFSET($AM$3,0,0,'Données projet'!$E$10+1,1))-AVERAGE(OFFSET($H$3,0,0,'Données projet'!$E$10+1,1))</f>
        <v>382.55387448074327</v>
      </c>
      <c r="AO160" s="59">
        <f t="shared" si="144"/>
        <v>476.29465646955543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14.313555492702029</v>
      </c>
      <c r="AV160" s="21">
        <f>EXP(-LN(2)/25)*AV159+(1-EXP(-LN(2)/25))/(LN(2)/25)*Calculateur!AQ160*Calculateur!AS160*VLOOKUP('Données projet'!$B$10,Paramètres!$A$1:$I$89,3,0)*0.475*44/12</f>
        <v>0.64856107151254361</v>
      </c>
      <c r="AW160" s="21">
        <f>EXP(-LN(2)/2)*AW159+(1-EXP(-LN(2)/2))/(LN(2)/2)*AQ160*AT160*VLOOKUP('Données projet'!$B$10,Paramètres!$A$1:$I$89,3,0)*0.475*44/12</f>
        <v>4.6319236604258056E-19</v>
      </c>
      <c r="AX160" s="21">
        <f t="shared" si="166"/>
        <v>14.962116564214574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267</v>
      </c>
      <c r="BE160" s="13">
        <f>BD160*VLOOKUP('Données projet'!$B$11,Paramètres!$A$1:$I$89,3,0)*VLOOKUP('Données projet'!$B$11,Paramètres!$A$1:$I$89,5,0)</f>
        <v>270.738</v>
      </c>
      <c r="BF160" s="13">
        <f t="shared" si="167"/>
        <v>65.005866623551711</v>
      </c>
      <c r="BG160" s="20">
        <f t="shared" si="168"/>
        <v>584.7539010360191</v>
      </c>
      <c r="BH160" s="59">
        <f t="shared" si="116"/>
        <v>878.08723436935247</v>
      </c>
      <c r="BI160" s="59">
        <f ca="1">AVERAGE(OFFSET($BH$3,0,0,'Données projet'!$E$11+1,1))-AVERAGE(OFFSET($H$3,0,0,'Données projet'!$E$11+1,1))</f>
        <v>308.80022073574963</v>
      </c>
      <c r="BJ160" s="59">
        <f t="shared" si="146"/>
        <v>183.96267407004115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36.871714812877379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36.871714812877379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795.00000000000068</v>
      </c>
      <c r="O161" s="13">
        <f>N161*VLOOKUP('Données projet'!$B$9,Paramètres!$A$1:$I$89,3,0)*VLOOKUP('Données projet'!$B$9,Paramètres!$A$1:$I$89,5,0)</f>
        <v>372.06000000000029</v>
      </c>
      <c r="P161" s="13">
        <f t="shared" si="141"/>
        <v>86.088609967897526</v>
      </c>
      <c r="Q161" s="20">
        <f t="shared" si="162"/>
        <v>797.94216236075533</v>
      </c>
      <c r="R161" s="59">
        <f t="shared" si="109"/>
        <v>1091.2754956940887</v>
      </c>
      <c r="S161" s="59">
        <f ca="1">AVERAGE(OFFSET($R$3,0,0,'Données projet'!$E$9+1,1))-AVERAGE(OFFSET($H$3,0,0,'Données projet'!$E$9+1,1))</f>
        <v>379.12827535040157</v>
      </c>
      <c r="T161" s="59">
        <f t="shared" si="142"/>
        <v>317.29813413796956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27.433542820742773</v>
      </c>
      <c r="AA161" s="21">
        <f>EXP(-LN(2)/25)*AA160+(1-EXP(-LN(2)/25))/(LN(2)/25)*Calculateur!V161*Calculateur!X161*VLOOKUP('Données projet'!$B$9,Paramètres!$A$1:$I$89,3,0)*0.475*44/12</f>
        <v>1.2806116703764765</v>
      </c>
      <c r="AB161" s="21">
        <f>EXP(-LN(2)/2)*AB160+(1-EXP(-LN(2)/2))/(LN(2)/2)*V161*Y161*VLOOKUP('Données projet'!$B$9,Paramètres!$A$1:$I$89,3,0)*0.475*44/12</f>
        <v>2.3339150226951727E-20</v>
      </c>
      <c r="AC161" s="22">
        <f t="shared" si="163"/>
        <v>28.714154491119249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636.99999999999977</v>
      </c>
      <c r="AJ161" s="13">
        <f>AI161*VLOOKUP('Données projet'!$B$10,Paramètres!$A$1:$I$89,3,0)*VLOOKUP('Données projet'!$B$10,Paramètres!$A$1:$I$89,5,0)</f>
        <v>356.08299999999991</v>
      </c>
      <c r="AK161" s="13">
        <f t="shared" si="164"/>
        <v>82.813805255716545</v>
      </c>
      <c r="AL161" s="20">
        <f t="shared" si="165"/>
        <v>764.41193582037283</v>
      </c>
      <c r="AM161" s="59">
        <f t="shared" si="113"/>
        <v>1057.7452691537062</v>
      </c>
      <c r="AN161" s="59">
        <f ca="1">AVERAGE(OFFSET($AM$3,0,0,'Données projet'!$E$10+1,1))-AVERAGE(OFFSET($H$3,0,0,'Données projet'!$E$10+1,1))</f>
        <v>382.55387448074327</v>
      </c>
      <c r="AO161" s="59">
        <f t="shared" si="144"/>
        <v>476.29465646955543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14.032875399896938</v>
      </c>
      <c r="AV161" s="21">
        <f>EXP(-LN(2)/25)*AV160+(1-EXP(-LN(2)/25))/(LN(2)/25)*Calculateur!AQ161*Calculateur!AS161*VLOOKUP('Données projet'!$B$10,Paramètres!$A$1:$I$89,3,0)*0.475*44/12</f>
        <v>0.63082613490568862</v>
      </c>
      <c r="AW161" s="21">
        <f>EXP(-LN(2)/2)*AW160+(1-EXP(-LN(2)/2))/(LN(2)/2)*AQ161*AT161*VLOOKUP('Données projet'!$B$10,Paramètres!$A$1:$I$89,3,0)*0.475*44/12</f>
        <v>3.2752646302255024E-19</v>
      </c>
      <c r="AX161" s="21">
        <f t="shared" si="166"/>
        <v>14.663701534802627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267</v>
      </c>
      <c r="BE161" s="13">
        <f>BD161*VLOOKUP('Données projet'!$B$11,Paramètres!$A$1:$I$89,3,0)*VLOOKUP('Données projet'!$B$11,Paramètres!$A$1:$I$89,5,0)</f>
        <v>270.738</v>
      </c>
      <c r="BF161" s="13">
        <f t="shared" si="167"/>
        <v>65.005866623551711</v>
      </c>
      <c r="BG161" s="20">
        <f t="shared" si="168"/>
        <v>584.7539010360191</v>
      </c>
      <c r="BH161" s="59">
        <f t="shared" si="116"/>
        <v>878.08723436935247</v>
      </c>
      <c r="BI161" s="59">
        <f ca="1">AVERAGE(OFFSET($BH$3,0,0,'Données projet'!$E$11+1,1))-AVERAGE(OFFSET($H$3,0,0,'Données projet'!$E$11+1,1))</f>
        <v>308.80022073574963</v>
      </c>
      <c r="BJ161" s="59">
        <f t="shared" si="146"/>
        <v>183.96267407004115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36.148682974922231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36.148682974922231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795.00000000000068</v>
      </c>
      <c r="O162" s="13">
        <f>N162*VLOOKUP('Données projet'!$B$9,Paramètres!$A$1:$I$89,3,0)*VLOOKUP('Données projet'!$B$9,Paramètres!$A$1:$I$89,5,0)</f>
        <v>372.06000000000029</v>
      </c>
      <c r="P162" s="13">
        <f t="shared" si="141"/>
        <v>86.088609967897526</v>
      </c>
      <c r="Q162" s="20">
        <f t="shared" si="162"/>
        <v>797.94216236075533</v>
      </c>
      <c r="R162" s="59">
        <f t="shared" si="109"/>
        <v>1091.2754956940887</v>
      </c>
      <c r="S162" s="59">
        <f ca="1">AVERAGE(OFFSET($R$3,0,0,'Données projet'!$E$9+1,1))-AVERAGE(OFFSET($H$3,0,0,'Données projet'!$E$9+1,1))</f>
        <v>379.12827535040157</v>
      </c>
      <c r="T162" s="59">
        <f t="shared" si="142"/>
        <v>317.29813413796956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26.895587778836898</v>
      </c>
      <c r="AA162" s="21">
        <f>EXP(-LN(2)/25)*AA161+(1-EXP(-LN(2)/25))/(LN(2)/25)*Calculateur!V162*Calculateur!X162*VLOOKUP('Données projet'!$B$9,Paramètres!$A$1:$I$89,3,0)*0.475*44/12</f>
        <v>1.2455932769055909</v>
      </c>
      <c r="AB162" s="21">
        <f>EXP(-LN(2)/2)*AB161+(1-EXP(-LN(2)/2))/(LN(2)/2)*V162*Y162*VLOOKUP('Données projet'!$B$9,Paramètres!$A$1:$I$89,3,0)*0.475*44/12</f>
        <v>1.6503271392609115E-20</v>
      </c>
      <c r="AC162" s="22">
        <f t="shared" si="163"/>
        <v>28.141181055742489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636.99999999999977</v>
      </c>
      <c r="AJ162" s="13">
        <f>AI162*VLOOKUP('Données projet'!$B$10,Paramètres!$A$1:$I$89,3,0)*VLOOKUP('Données projet'!$B$10,Paramètres!$A$1:$I$89,5,0)</f>
        <v>356.08299999999991</v>
      </c>
      <c r="AK162" s="13">
        <f t="shared" si="164"/>
        <v>82.813805255716545</v>
      </c>
      <c r="AL162" s="20">
        <f t="shared" si="165"/>
        <v>764.41193582037283</v>
      </c>
      <c r="AM162" s="59">
        <f t="shared" si="113"/>
        <v>1057.7452691537062</v>
      </c>
      <c r="AN162" s="59">
        <f ca="1">AVERAGE(OFFSET($AM$3,0,0,'Données projet'!$E$10+1,1))-AVERAGE(OFFSET($H$3,0,0,'Données projet'!$E$10+1,1))</f>
        <v>382.55387448074327</v>
      </c>
      <c r="AO162" s="59">
        <f t="shared" si="144"/>
        <v>476.29465646955543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13.757699272513801</v>
      </c>
      <c r="AV162" s="21">
        <f>EXP(-LN(2)/25)*AV161+(1-EXP(-LN(2)/25))/(LN(2)/25)*Calculateur!AQ162*Calculateur!AS162*VLOOKUP('Données projet'!$B$10,Paramètres!$A$1:$I$89,3,0)*0.475*44/12</f>
        <v>0.61357616107298785</v>
      </c>
      <c r="AW162" s="21">
        <f>EXP(-LN(2)/2)*AW161+(1-EXP(-LN(2)/2))/(LN(2)/2)*AQ162*AT162*VLOOKUP('Données projet'!$B$10,Paramètres!$A$1:$I$89,3,0)*0.475*44/12</f>
        <v>2.3159618302129028E-19</v>
      </c>
      <c r="AX162" s="21">
        <f t="shared" si="166"/>
        <v>14.371275433586788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267</v>
      </c>
      <c r="BE162" s="13">
        <f>BD162*VLOOKUP('Données projet'!$B$11,Paramètres!$A$1:$I$89,3,0)*VLOOKUP('Données projet'!$B$11,Paramètres!$A$1:$I$89,5,0)</f>
        <v>270.738</v>
      </c>
      <c r="BF162" s="13">
        <f t="shared" si="167"/>
        <v>65.005866623551711</v>
      </c>
      <c r="BG162" s="20">
        <f t="shared" si="168"/>
        <v>584.7539010360191</v>
      </c>
      <c r="BH162" s="59">
        <f t="shared" si="116"/>
        <v>878.08723436935247</v>
      </c>
      <c r="BI162" s="59">
        <f ca="1">AVERAGE(OFFSET($BH$3,0,0,'Données projet'!$E$11+1,1))-AVERAGE(OFFSET($H$3,0,0,'Données projet'!$E$11+1,1))</f>
        <v>308.80022073574963</v>
      </c>
      <c r="BJ162" s="59">
        <f t="shared" si="146"/>
        <v>183.96267407004115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35.439829350303512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35.439829350303512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795.00000000000068</v>
      </c>
      <c r="O163" s="13">
        <f>N163*VLOOKUP('Données projet'!$B$9,Paramètres!$A$1:$I$89,3,0)*VLOOKUP('Données projet'!$B$9,Paramètres!$A$1:$I$89,5,0)</f>
        <v>372.06000000000029</v>
      </c>
      <c r="P163" s="13">
        <f t="shared" si="141"/>
        <v>86.088609967897526</v>
      </c>
      <c r="Q163" s="20">
        <f t="shared" si="162"/>
        <v>797.94216236075533</v>
      </c>
      <c r="R163" s="59">
        <f t="shared" si="109"/>
        <v>1091.2754956940887</v>
      </c>
      <c r="S163" s="59">
        <f ca="1">AVERAGE(OFFSET($R$3,0,0,'Données projet'!$E$9+1,1))-AVERAGE(OFFSET($H$3,0,0,'Données projet'!$E$9+1,1))</f>
        <v>379.12827535040157</v>
      </c>
      <c r="T163" s="59">
        <f t="shared" si="142"/>
        <v>317.29813413796956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26.368181707182622</v>
      </c>
      <c r="AA163" s="21">
        <f>EXP(-LN(2)/25)*AA162+(1-EXP(-LN(2)/25))/(LN(2)/25)*Calculateur!V163*Calculateur!X163*VLOOKUP('Données projet'!$B$9,Paramètres!$A$1:$I$89,3,0)*0.475*44/12</f>
        <v>1.2115324632457039</v>
      </c>
      <c r="AB163" s="21">
        <f>EXP(-LN(2)/2)*AB162+(1-EXP(-LN(2)/2))/(LN(2)/2)*V163*Y163*VLOOKUP('Données projet'!$B$9,Paramètres!$A$1:$I$89,3,0)*0.475*44/12</f>
        <v>1.1669575113475863E-20</v>
      </c>
      <c r="AC163" s="22">
        <f t="shared" si="163"/>
        <v>27.579714170428325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636.99999999999977</v>
      </c>
      <c r="AJ163" s="13">
        <f>AI163*VLOOKUP('Données projet'!$B$10,Paramètres!$A$1:$I$89,3,0)*VLOOKUP('Données projet'!$B$10,Paramètres!$A$1:$I$89,5,0)</f>
        <v>356.08299999999991</v>
      </c>
      <c r="AK163" s="13">
        <f t="shared" si="164"/>
        <v>82.813805255716545</v>
      </c>
      <c r="AL163" s="20">
        <f t="shared" si="165"/>
        <v>764.41193582037283</v>
      </c>
      <c r="AM163" s="59">
        <f t="shared" si="113"/>
        <v>1057.7452691537062</v>
      </c>
      <c r="AN163" s="59">
        <f ca="1">AVERAGE(OFFSET($AM$3,0,0,'Données projet'!$E$10+1,1))-AVERAGE(OFFSET($H$3,0,0,'Données projet'!$E$10+1,1))</f>
        <v>382.55387448074327</v>
      </c>
      <c r="AO163" s="59">
        <f t="shared" si="144"/>
        <v>476.29465646955543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13.487919181147783</v>
      </c>
      <c r="AV163" s="21">
        <f>EXP(-LN(2)/25)*AV162+(1-EXP(-LN(2)/25))/(LN(2)/25)*Calculateur!AQ163*Calculateur!AS163*VLOOKUP('Données projet'!$B$10,Paramètres!$A$1:$I$89,3,0)*0.475*44/12</f>
        <v>0.596797888681879</v>
      </c>
      <c r="AW163" s="21">
        <f>EXP(-LN(2)/2)*AW162+(1-EXP(-LN(2)/2))/(LN(2)/2)*AQ163*AT163*VLOOKUP('Données projet'!$B$10,Paramètres!$A$1:$I$89,3,0)*0.475*44/12</f>
        <v>1.6376323151127512E-19</v>
      </c>
      <c r="AX163" s="21">
        <f t="shared" si="166"/>
        <v>14.084717069829662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267</v>
      </c>
      <c r="BE163" s="13">
        <f>BD163*VLOOKUP('Données projet'!$B$11,Paramètres!$A$1:$I$89,3,0)*VLOOKUP('Données projet'!$B$11,Paramètres!$A$1:$I$89,5,0)</f>
        <v>270.738</v>
      </c>
      <c r="BF163" s="13">
        <f t="shared" si="167"/>
        <v>65.005866623551711</v>
      </c>
      <c r="BG163" s="20">
        <f t="shared" si="168"/>
        <v>584.7539010360191</v>
      </c>
      <c r="BH163" s="59">
        <f t="shared" si="116"/>
        <v>878.08723436935247</v>
      </c>
      <c r="BI163" s="59">
        <f ca="1">AVERAGE(OFFSET($BH$3,0,0,'Données projet'!$E$11+1,1))-AVERAGE(OFFSET($H$3,0,0,'Données projet'!$E$11+1,1))</f>
        <v>308.80022073574963</v>
      </c>
      <c r="BJ163" s="59">
        <f t="shared" si="146"/>
        <v>183.96267407004115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34.744875912905542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34.744875912905542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795.00000000000068</v>
      </c>
      <c r="O164" s="13">
        <f>N164*VLOOKUP('Données projet'!$B$9,Paramètres!$A$1:$I$89,3,0)*VLOOKUP('Données projet'!$B$9,Paramètres!$A$1:$I$89,5,0)</f>
        <v>372.06000000000029</v>
      </c>
      <c r="P164" s="13">
        <f t="shared" si="141"/>
        <v>86.088609967897526</v>
      </c>
      <c r="Q164" s="20">
        <f t="shared" si="162"/>
        <v>797.94216236075533</v>
      </c>
      <c r="R164" s="59">
        <f t="shared" si="109"/>
        <v>1091.2754956940887</v>
      </c>
      <c r="S164" s="59">
        <f ca="1">AVERAGE(OFFSET($R$3,0,0,'Données projet'!$E$9+1,1))-AVERAGE(OFFSET($H$3,0,0,'Données projet'!$E$9+1,1))</f>
        <v>379.12827535040157</v>
      </c>
      <c r="T164" s="59">
        <f t="shared" si="142"/>
        <v>317.29813413796956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25.851117746907548</v>
      </c>
      <c r="AA164" s="21">
        <f>EXP(-LN(2)/25)*AA163+(1-EXP(-LN(2)/25))/(LN(2)/25)*Calculateur!V164*Calculateur!X164*VLOOKUP('Données projet'!$B$9,Paramètres!$A$1:$I$89,3,0)*0.475*44/12</f>
        <v>1.1784030443265268</v>
      </c>
      <c r="AB164" s="21">
        <f>EXP(-LN(2)/2)*AB163+(1-EXP(-LN(2)/2))/(LN(2)/2)*V164*Y164*VLOOKUP('Données projet'!$B$9,Paramètres!$A$1:$I$89,3,0)*0.475*44/12</f>
        <v>8.2516356963045577E-21</v>
      </c>
      <c r="AC164" s="22">
        <f t="shared" si="163"/>
        <v>27.029520791234074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636.99999999999977</v>
      </c>
      <c r="AJ164" s="13">
        <f>AI164*VLOOKUP('Données projet'!$B$10,Paramètres!$A$1:$I$89,3,0)*VLOOKUP('Données projet'!$B$10,Paramètres!$A$1:$I$89,5,0)</f>
        <v>356.08299999999991</v>
      </c>
      <c r="AK164" s="13">
        <f t="shared" si="164"/>
        <v>82.813805255716545</v>
      </c>
      <c r="AL164" s="20">
        <f t="shared" si="165"/>
        <v>764.41193582037283</v>
      </c>
      <c r="AM164" s="59">
        <f t="shared" si="113"/>
        <v>1057.7452691537062</v>
      </c>
      <c r="AN164" s="59">
        <f ca="1">AVERAGE(OFFSET($AM$3,0,0,'Données projet'!$E$10+1,1))-AVERAGE(OFFSET($H$3,0,0,'Données projet'!$E$10+1,1))</f>
        <v>382.55387448074327</v>
      </c>
      <c r="AO164" s="59">
        <f t="shared" si="144"/>
        <v>476.29465646955543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13.223429312823844</v>
      </c>
      <c r="AV164" s="21">
        <f>EXP(-LN(2)/25)*AV163+(1-EXP(-LN(2)/25))/(LN(2)/25)*Calculateur!AQ164*Calculateur!AS164*VLOOKUP('Données projet'!$B$10,Paramètres!$A$1:$I$89,3,0)*0.475*44/12</f>
        <v>0.58047841903163599</v>
      </c>
      <c r="AW164" s="21">
        <f>EXP(-LN(2)/2)*AW163+(1-EXP(-LN(2)/2))/(LN(2)/2)*AQ164*AT164*VLOOKUP('Données projet'!$B$10,Paramètres!$A$1:$I$89,3,0)*0.475*44/12</f>
        <v>1.1579809151064514E-19</v>
      </c>
      <c r="AX164" s="21">
        <f t="shared" si="166"/>
        <v>13.80390773185548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267</v>
      </c>
      <c r="BE164" s="13">
        <f>BD164*VLOOKUP('Données projet'!$B$11,Paramètres!$A$1:$I$89,3,0)*VLOOKUP('Données projet'!$B$11,Paramètres!$A$1:$I$89,5,0)</f>
        <v>270.738</v>
      </c>
      <c r="BF164" s="13">
        <f t="shared" si="167"/>
        <v>65.005866623551711</v>
      </c>
      <c r="BG164" s="20">
        <f t="shared" si="168"/>
        <v>584.7539010360191</v>
      </c>
      <c r="BH164" s="59">
        <f t="shared" si="116"/>
        <v>878.08723436935247</v>
      </c>
      <c r="BI164" s="59">
        <f ca="1">AVERAGE(OFFSET($BH$3,0,0,'Données projet'!$E$11+1,1))-AVERAGE(OFFSET($H$3,0,0,'Données projet'!$E$11+1,1))</f>
        <v>308.80022073574963</v>
      </c>
      <c r="BJ164" s="59">
        <f t="shared" si="146"/>
        <v>183.96267407004115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34.063550088535209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34.063550088535209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795.00000000000068</v>
      </c>
      <c r="O165" s="13">
        <f>N165*VLOOKUP('Données projet'!$B$9,Paramètres!$A$1:$I$89,3,0)*VLOOKUP('Données projet'!$B$9,Paramètres!$A$1:$I$89,5,0)</f>
        <v>372.06000000000029</v>
      </c>
      <c r="P165" s="13">
        <f t="shared" si="141"/>
        <v>86.088609967897526</v>
      </c>
      <c r="Q165" s="20">
        <f t="shared" si="162"/>
        <v>797.94216236075533</v>
      </c>
      <c r="R165" s="59">
        <f t="shared" si="109"/>
        <v>1091.2754956940887</v>
      </c>
      <c r="S165" s="59">
        <f ca="1">AVERAGE(OFFSET($R$3,0,0,'Données projet'!$E$9+1,1))-AVERAGE(OFFSET($H$3,0,0,'Données projet'!$E$9+1,1))</f>
        <v>379.12827535040157</v>
      </c>
      <c r="T165" s="59">
        <f t="shared" si="142"/>
        <v>317.29813413796956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25.344193095515593</v>
      </c>
      <c r="AA165" s="21">
        <f>EXP(-LN(2)/25)*AA164+(1-EXP(-LN(2)/25))/(LN(2)/25)*Calculateur!V165*Calculateur!X165*VLOOKUP('Données projet'!$B$9,Paramètres!$A$1:$I$89,3,0)*0.475*44/12</f>
        <v>1.1461795511098951</v>
      </c>
      <c r="AB165" s="21">
        <f>EXP(-LN(2)/2)*AB164+(1-EXP(-LN(2)/2))/(LN(2)/2)*V165*Y165*VLOOKUP('Données projet'!$B$9,Paramètres!$A$1:$I$89,3,0)*0.475*44/12</f>
        <v>5.8347875567379317E-21</v>
      </c>
      <c r="AC165" s="22">
        <f t="shared" si="163"/>
        <v>26.490372646625488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636.99999999999977</v>
      </c>
      <c r="AJ165" s="13">
        <f>AI165*VLOOKUP('Données projet'!$B$10,Paramètres!$A$1:$I$89,3,0)*VLOOKUP('Données projet'!$B$10,Paramètres!$A$1:$I$89,5,0)</f>
        <v>356.08299999999991</v>
      </c>
      <c r="AK165" s="13">
        <f t="shared" si="164"/>
        <v>82.813805255716545</v>
      </c>
      <c r="AL165" s="20">
        <f t="shared" si="165"/>
        <v>764.41193582037283</v>
      </c>
      <c r="AM165" s="59">
        <f t="shared" si="113"/>
        <v>1057.7452691537062</v>
      </c>
      <c r="AN165" s="59">
        <f ca="1">AVERAGE(OFFSET($AM$3,0,0,'Données projet'!$E$10+1,1))-AVERAGE(OFFSET($H$3,0,0,'Données projet'!$E$10+1,1))</f>
        <v>382.55387448074327</v>
      </c>
      <c r="AO165" s="59">
        <f t="shared" si="144"/>
        <v>476.29465646955543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12.964125929494848</v>
      </c>
      <c r="AV165" s="21">
        <f>EXP(-LN(2)/25)*AV164+(1-EXP(-LN(2)/25))/(LN(2)/25)*Calculateur!AQ165*Calculateur!AS165*VLOOKUP('Données projet'!$B$10,Paramètres!$A$1:$I$89,3,0)*0.475*44/12</f>
        <v>0.56460520613718257</v>
      </c>
      <c r="AW165" s="21">
        <f>EXP(-LN(2)/2)*AW164+(1-EXP(-LN(2)/2))/(LN(2)/2)*AQ165*AT165*VLOOKUP('Données projet'!$B$10,Paramètres!$A$1:$I$89,3,0)*0.475*44/12</f>
        <v>8.188161575563756E-20</v>
      </c>
      <c r="AX165" s="21">
        <f t="shared" si="166"/>
        <v>13.528731135632031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267</v>
      </c>
      <c r="BE165" s="13">
        <f>BD165*VLOOKUP('Données projet'!$B$11,Paramètres!$A$1:$I$89,3,0)*VLOOKUP('Données projet'!$B$11,Paramètres!$A$1:$I$89,5,0)</f>
        <v>270.738</v>
      </c>
      <c r="BF165" s="13">
        <f t="shared" si="167"/>
        <v>65.005866623551711</v>
      </c>
      <c r="BG165" s="20">
        <f t="shared" si="168"/>
        <v>584.7539010360191</v>
      </c>
      <c r="BH165" s="59">
        <f t="shared" si="116"/>
        <v>878.08723436935247</v>
      </c>
      <c r="BI165" s="59">
        <f ca="1">AVERAGE(OFFSET($BH$3,0,0,'Données projet'!$E$11+1,1))-AVERAGE(OFFSET($H$3,0,0,'Données projet'!$E$11+1,1))</f>
        <v>308.80022073574963</v>
      </c>
      <c r="BJ165" s="59">
        <f t="shared" si="146"/>
        <v>183.96267407004115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33.395584648013056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33.395584648013056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795.00000000000068</v>
      </c>
      <c r="O166" s="13">
        <f>N166*VLOOKUP('Données projet'!$B$9,Paramètres!$A$1:$I$89,3,0)*VLOOKUP('Données projet'!$B$9,Paramètres!$A$1:$I$89,5,0)</f>
        <v>372.06000000000029</v>
      </c>
      <c r="P166" s="13">
        <f t="shared" si="141"/>
        <v>86.088609967897526</v>
      </c>
      <c r="Q166" s="20">
        <f t="shared" si="162"/>
        <v>797.94216236075533</v>
      </c>
      <c r="R166" s="59">
        <f t="shared" si="109"/>
        <v>1091.2754956940887</v>
      </c>
      <c r="S166" s="59">
        <f ca="1">AVERAGE(OFFSET($R$3,0,0,'Données projet'!$E$9+1,1))-AVERAGE(OFFSET($H$3,0,0,'Données projet'!$E$9+1,1))</f>
        <v>379.12827535040157</v>
      </c>
      <c r="T166" s="59">
        <f t="shared" si="142"/>
        <v>317.29813413796956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24.847208927343928</v>
      </c>
      <c r="AA166" s="21">
        <f>EXP(-LN(2)/25)*AA165+(1-EXP(-LN(2)/25))/(LN(2)/25)*Calculateur!V166*Calculateur!X166*VLOOKUP('Données projet'!$B$9,Paramètres!$A$1:$I$89,3,0)*0.475*44/12</f>
        <v>1.1148372110098321</v>
      </c>
      <c r="AB166" s="21">
        <f>EXP(-LN(2)/2)*AB165+(1-EXP(-LN(2)/2))/(LN(2)/2)*V166*Y166*VLOOKUP('Données projet'!$B$9,Paramètres!$A$1:$I$89,3,0)*0.475*44/12</f>
        <v>4.1258178481522789E-21</v>
      </c>
      <c r="AC166" s="22">
        <f t="shared" si="163"/>
        <v>25.96204613835376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636.99999999999977</v>
      </c>
      <c r="AJ166" s="13">
        <f>AI166*VLOOKUP('Données projet'!$B$10,Paramètres!$A$1:$I$89,3,0)*VLOOKUP('Données projet'!$B$10,Paramètres!$A$1:$I$89,5,0)</f>
        <v>356.08299999999991</v>
      </c>
      <c r="AK166" s="13">
        <f t="shared" si="164"/>
        <v>82.813805255716545</v>
      </c>
      <c r="AL166" s="20">
        <f t="shared" si="165"/>
        <v>764.41193582037283</v>
      </c>
      <c r="AM166" s="59">
        <f t="shared" si="113"/>
        <v>1057.7452691537062</v>
      </c>
      <c r="AN166" s="59">
        <f ca="1">AVERAGE(OFFSET($AM$3,0,0,'Données projet'!$E$10+1,1))-AVERAGE(OFFSET($H$3,0,0,'Données projet'!$E$10+1,1))</f>
        <v>382.55387448074327</v>
      </c>
      <c r="AO166" s="59">
        <f t="shared" si="144"/>
        <v>476.29465646955543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12.709907327353486</v>
      </c>
      <c r="AV166" s="21">
        <f>EXP(-LN(2)/25)*AV165+(1-EXP(-LN(2)/25))/(LN(2)/25)*Calculateur!AQ166*Calculateur!AS166*VLOOKUP('Données projet'!$B$10,Paramètres!$A$1:$I$89,3,0)*0.475*44/12</f>
        <v>0.54916604708406391</v>
      </c>
      <c r="AW166" s="21">
        <f>EXP(-LN(2)/2)*AW165+(1-EXP(-LN(2)/2))/(LN(2)/2)*AQ166*AT166*VLOOKUP('Données projet'!$B$10,Paramètres!$A$1:$I$89,3,0)*0.475*44/12</f>
        <v>5.789904575532257E-20</v>
      </c>
      <c r="AX166" s="21">
        <f t="shared" si="166"/>
        <v>13.25907337443755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267</v>
      </c>
      <c r="BE166" s="13">
        <f>BD166*VLOOKUP('Données projet'!$B$11,Paramètres!$A$1:$I$89,3,0)*VLOOKUP('Données projet'!$B$11,Paramètres!$A$1:$I$89,5,0)</f>
        <v>270.738</v>
      </c>
      <c r="BF166" s="13">
        <f t="shared" si="167"/>
        <v>65.005866623551711</v>
      </c>
      <c r="BG166" s="20">
        <f t="shared" si="168"/>
        <v>584.7539010360191</v>
      </c>
      <c r="BH166" s="59">
        <f t="shared" si="116"/>
        <v>878.08723436935247</v>
      </c>
      <c r="BI166" s="59">
        <f ca="1">AVERAGE(OFFSET($BH$3,0,0,'Données projet'!$E$11+1,1))-AVERAGE(OFFSET($H$3,0,0,'Données projet'!$E$11+1,1))</f>
        <v>308.80022073574963</v>
      </c>
      <c r="BJ166" s="59">
        <f t="shared" si="146"/>
        <v>183.96267407004115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32.740717602360853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32.740717602360853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795.00000000000068</v>
      </c>
      <c r="O167" s="13">
        <f>N167*VLOOKUP('Données projet'!$B$9,Paramètres!$A$1:$I$89,3,0)*VLOOKUP('Données projet'!$B$9,Paramètres!$A$1:$I$89,5,0)</f>
        <v>372.06000000000029</v>
      </c>
      <c r="P167" s="13">
        <f t="shared" si="141"/>
        <v>86.088609967897526</v>
      </c>
      <c r="Q167" s="20">
        <f t="shared" si="162"/>
        <v>797.94216236075533</v>
      </c>
      <c r="R167" s="59">
        <f t="shared" si="109"/>
        <v>1091.2754956940887</v>
      </c>
      <c r="S167" s="59">
        <f ca="1">AVERAGE(OFFSET($R$3,0,0,'Données projet'!$E$9+1,1))-AVERAGE(OFFSET($H$3,0,0,'Données projet'!$E$9+1,1))</f>
        <v>379.12827535040157</v>
      </c>
      <c r="T167" s="59">
        <f t="shared" si="142"/>
        <v>317.29813413796956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24.359970315579698</v>
      </c>
      <c r="AA167" s="21">
        <f>EXP(-LN(2)/25)*AA166+(1-EXP(-LN(2)/25))/(LN(2)/25)*Calculateur!V167*Calculateur!X167*VLOOKUP('Données projet'!$B$9,Paramètres!$A$1:$I$89,3,0)*0.475*44/12</f>
        <v>1.0843519288480274</v>
      </c>
      <c r="AB167" s="21">
        <f>EXP(-LN(2)/2)*AB166+(1-EXP(-LN(2)/2))/(LN(2)/2)*V167*Y167*VLOOKUP('Données projet'!$B$9,Paramètres!$A$1:$I$89,3,0)*0.475*44/12</f>
        <v>2.9173937783689658E-21</v>
      </c>
      <c r="AC167" s="22">
        <f t="shared" si="163"/>
        <v>25.444322244427724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636.99999999999977</v>
      </c>
      <c r="AJ167" s="13">
        <f>AI167*VLOOKUP('Données projet'!$B$10,Paramètres!$A$1:$I$89,3,0)*VLOOKUP('Données projet'!$B$10,Paramètres!$A$1:$I$89,5,0)</f>
        <v>356.08299999999991</v>
      </c>
      <c r="AK167" s="13">
        <f t="shared" si="164"/>
        <v>82.813805255716545</v>
      </c>
      <c r="AL167" s="20">
        <f t="shared" si="165"/>
        <v>764.41193582037283</v>
      </c>
      <c r="AM167" s="59">
        <f t="shared" si="113"/>
        <v>1057.7452691537062</v>
      </c>
      <c r="AN167" s="59">
        <f ca="1">AVERAGE(OFFSET($AM$3,0,0,'Données projet'!$E$10+1,1))-AVERAGE(OFFSET($H$3,0,0,'Données projet'!$E$10+1,1))</f>
        <v>382.55387448074327</v>
      </c>
      <c r="AO167" s="59">
        <f t="shared" si="144"/>
        <v>476.29465646955543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12.46067379694208</v>
      </c>
      <c r="AV167" s="21">
        <f>EXP(-LN(2)/25)*AV166+(1-EXP(-LN(2)/25))/(LN(2)/25)*Calculateur!AQ167*Calculateur!AS167*VLOOKUP('Données projet'!$B$10,Paramètres!$A$1:$I$89,3,0)*0.475*44/12</f>
        <v>0.53414907264716294</v>
      </c>
      <c r="AW167" s="21">
        <f>EXP(-LN(2)/2)*AW166+(1-EXP(-LN(2)/2))/(LN(2)/2)*AQ167*AT167*VLOOKUP('Données projet'!$B$10,Paramètres!$A$1:$I$89,3,0)*0.475*44/12</f>
        <v>4.094080787781878E-20</v>
      </c>
      <c r="AX167" s="21">
        <f t="shared" si="166"/>
        <v>12.994822869589242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267</v>
      </c>
      <c r="BE167" s="13">
        <f>BD167*VLOOKUP('Données projet'!$B$11,Paramètres!$A$1:$I$89,3,0)*VLOOKUP('Données projet'!$B$11,Paramètres!$A$1:$I$89,5,0)</f>
        <v>270.738</v>
      </c>
      <c r="BF167" s="13">
        <f t="shared" si="167"/>
        <v>65.005866623551711</v>
      </c>
      <c r="BG167" s="20">
        <f t="shared" si="168"/>
        <v>584.7539010360191</v>
      </c>
      <c r="BH167" s="59">
        <f t="shared" si="116"/>
        <v>878.08723436935247</v>
      </c>
      <c r="BI167" s="59">
        <f ca="1">AVERAGE(OFFSET($BH$3,0,0,'Données projet'!$E$11+1,1))-AVERAGE(OFFSET($H$3,0,0,'Données projet'!$E$11+1,1))</f>
        <v>308.80022073574963</v>
      </c>
      <c r="BJ167" s="59">
        <f t="shared" si="146"/>
        <v>183.96267407004115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32.098692100044431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32.098692100044431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795.00000000000068</v>
      </c>
      <c r="O168" s="13">
        <f>N168*VLOOKUP('Données projet'!$B$9,Paramètres!$A$1:$I$89,3,0)*VLOOKUP('Données projet'!$B$9,Paramètres!$A$1:$I$89,5,0)</f>
        <v>372.06000000000029</v>
      </c>
      <c r="P168" s="13">
        <f t="shared" si="141"/>
        <v>86.088609967897526</v>
      </c>
      <c r="Q168" s="20">
        <f t="shared" si="162"/>
        <v>797.94216236075533</v>
      </c>
      <c r="R168" s="59">
        <f t="shared" si="109"/>
        <v>1091.2754956940887</v>
      </c>
      <c r="S168" s="59">
        <f ca="1">AVERAGE(OFFSET($R$3,0,0,'Données projet'!$E$9+1,1))-AVERAGE(OFFSET($H$3,0,0,'Données projet'!$E$9+1,1))</f>
        <v>379.12827535040157</v>
      </c>
      <c r="T168" s="59">
        <f t="shared" si="142"/>
        <v>317.29813413796956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23.882286155805957</v>
      </c>
      <c r="AA168" s="21">
        <f>EXP(-LN(2)/25)*AA167+(1-EXP(-LN(2)/25))/(LN(2)/25)*Calculateur!V168*Calculateur!X168*VLOOKUP('Données projet'!$B$9,Paramètres!$A$1:$I$89,3,0)*0.475*44/12</f>
        <v>1.0547002683300886</v>
      </c>
      <c r="AB168" s="21">
        <f>EXP(-LN(2)/2)*AB167+(1-EXP(-LN(2)/2))/(LN(2)/2)*V168*Y168*VLOOKUP('Données projet'!$B$9,Paramètres!$A$1:$I$89,3,0)*0.475*44/12</f>
        <v>2.0629089240761394E-21</v>
      </c>
      <c r="AC168" s="22">
        <f t="shared" si="163"/>
        <v>24.936986424136045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636.99999999999977</v>
      </c>
      <c r="AJ168" s="13">
        <f>AI168*VLOOKUP('Données projet'!$B$10,Paramètres!$A$1:$I$89,3,0)*VLOOKUP('Données projet'!$B$10,Paramètres!$A$1:$I$89,5,0)</f>
        <v>356.08299999999991</v>
      </c>
      <c r="AK168" s="13">
        <f t="shared" si="164"/>
        <v>82.813805255716545</v>
      </c>
      <c r="AL168" s="20">
        <f t="shared" si="165"/>
        <v>764.41193582037283</v>
      </c>
      <c r="AM168" s="59">
        <f t="shared" si="113"/>
        <v>1057.7452691537062</v>
      </c>
      <c r="AN168" s="59">
        <f ca="1">AVERAGE(OFFSET($AM$3,0,0,'Données projet'!$E$10+1,1))-AVERAGE(OFFSET($H$3,0,0,'Données projet'!$E$10+1,1))</f>
        <v>382.55387448074327</v>
      </c>
      <c r="AO168" s="59">
        <f t="shared" si="144"/>
        <v>476.29465646955543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12.216327584044599</v>
      </c>
      <c r="AV168" s="21">
        <f>EXP(-LN(2)/25)*AV167+(1-EXP(-LN(2)/25))/(LN(2)/25)*Calculateur!AQ168*Calculateur!AS168*VLOOKUP('Données projet'!$B$10,Paramètres!$A$1:$I$89,3,0)*0.475*44/12</f>
        <v>0.51954273816594732</v>
      </c>
      <c r="AW168" s="21">
        <f>EXP(-LN(2)/2)*AW167+(1-EXP(-LN(2)/2))/(LN(2)/2)*AQ168*AT168*VLOOKUP('Données projet'!$B$10,Paramètres!$A$1:$I$89,3,0)*0.475*44/12</f>
        <v>2.8949522877661285E-20</v>
      </c>
      <c r="AX168" s="21">
        <f t="shared" si="166"/>
        <v>12.735870322210546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267</v>
      </c>
      <c r="BE168" s="13">
        <f>BD168*VLOOKUP('Données projet'!$B$11,Paramètres!$A$1:$I$89,3,0)*VLOOKUP('Données projet'!$B$11,Paramètres!$A$1:$I$89,5,0)</f>
        <v>270.738</v>
      </c>
      <c r="BF168" s="13">
        <f t="shared" si="167"/>
        <v>65.005866623551711</v>
      </c>
      <c r="BG168" s="20">
        <f t="shared" si="168"/>
        <v>584.7539010360191</v>
      </c>
      <c r="BH168" s="59">
        <f t="shared" si="116"/>
        <v>878.08723436935247</v>
      </c>
      <c r="BI168" s="59">
        <f ca="1">AVERAGE(OFFSET($BH$3,0,0,'Données projet'!$E$11+1,1))-AVERAGE(OFFSET($H$3,0,0,'Données projet'!$E$11+1,1))</f>
        <v>308.80022073574963</v>
      </c>
      <c r="BJ168" s="59">
        <f t="shared" si="146"/>
        <v>183.96267407004115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31.469256326231548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31.469256326231548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795.00000000000068</v>
      </c>
      <c r="O169" s="13">
        <f>N169*VLOOKUP('Données projet'!$B$9,Paramètres!$A$1:$I$89,3,0)*VLOOKUP('Données projet'!$B$9,Paramètres!$A$1:$I$89,5,0)</f>
        <v>372.06000000000029</v>
      </c>
      <c r="P169" s="13">
        <f t="shared" si="141"/>
        <v>86.088609967897526</v>
      </c>
      <c r="Q169" s="20">
        <f t="shared" si="162"/>
        <v>797.94216236075533</v>
      </c>
      <c r="R169" s="59">
        <f t="shared" si="109"/>
        <v>1091.2754956940887</v>
      </c>
      <c r="S169" s="59">
        <f ca="1">AVERAGE(OFFSET($R$3,0,0,'Données projet'!$E$9+1,1))-AVERAGE(OFFSET($H$3,0,0,'Données projet'!$E$9+1,1))</f>
        <v>379.12827535040157</v>
      </c>
      <c r="T169" s="59">
        <f t="shared" si="142"/>
        <v>317.29813413796956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23.413969091046809</v>
      </c>
      <c r="AA169" s="21">
        <f>EXP(-LN(2)/25)*AA168+(1-EXP(-LN(2)/25))/(LN(2)/25)*Calculateur!V169*Calculateur!X169*VLOOKUP('Données projet'!$B$9,Paramètres!$A$1:$I$89,3,0)*0.475*44/12</f>
        <v>1.0258594340283258</v>
      </c>
      <c r="AB169" s="21">
        <f>EXP(-LN(2)/2)*AB168+(1-EXP(-LN(2)/2))/(LN(2)/2)*V169*Y169*VLOOKUP('Données projet'!$B$9,Paramètres!$A$1:$I$89,3,0)*0.475*44/12</f>
        <v>1.4586968891844829E-21</v>
      </c>
      <c r="AC169" s="22">
        <f t="shared" si="163"/>
        <v>24.439828525075136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636.99999999999977</v>
      </c>
      <c r="AJ169" s="13">
        <f>AI169*VLOOKUP('Données projet'!$B$10,Paramètres!$A$1:$I$89,3,0)*VLOOKUP('Données projet'!$B$10,Paramètres!$A$1:$I$89,5,0)</f>
        <v>356.08299999999991</v>
      </c>
      <c r="AK169" s="13">
        <f t="shared" si="164"/>
        <v>82.813805255716545</v>
      </c>
      <c r="AL169" s="20">
        <f t="shared" si="165"/>
        <v>764.41193582037283</v>
      </c>
      <c r="AM169" s="59">
        <f t="shared" si="113"/>
        <v>1057.7452691537062</v>
      </c>
      <c r="AN169" s="59">
        <f ca="1">AVERAGE(OFFSET($AM$3,0,0,'Données projet'!$E$10+1,1))-AVERAGE(OFFSET($H$3,0,0,'Données projet'!$E$10+1,1))</f>
        <v>382.55387448074327</v>
      </c>
      <c r="AO169" s="59">
        <f t="shared" si="144"/>
        <v>476.29465646955543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11.976772851345563</v>
      </c>
      <c r="AV169" s="21">
        <f>EXP(-LN(2)/25)*AV168+(1-EXP(-LN(2)/25))/(LN(2)/25)*Calculateur!AQ169*Calculateur!AS169*VLOOKUP('Données projet'!$B$10,Paramètres!$A$1:$I$89,3,0)*0.475*44/12</f>
        <v>0.50533581466923427</v>
      </c>
      <c r="AW169" s="21">
        <f>EXP(-LN(2)/2)*AW168+(1-EXP(-LN(2)/2))/(LN(2)/2)*AQ169*AT169*VLOOKUP('Données projet'!$B$10,Paramètres!$A$1:$I$89,3,0)*0.475*44/12</f>
        <v>2.047040393890939E-20</v>
      </c>
      <c r="AX169" s="21">
        <f t="shared" si="166"/>
        <v>12.482108666014797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267</v>
      </c>
      <c r="BE169" s="13">
        <f>BD169*VLOOKUP('Données projet'!$B$11,Paramètres!$A$1:$I$89,3,0)*VLOOKUP('Données projet'!$B$11,Paramètres!$A$1:$I$89,5,0)</f>
        <v>270.738</v>
      </c>
      <c r="BF169" s="13">
        <f t="shared" si="167"/>
        <v>65.005866623551711</v>
      </c>
      <c r="BG169" s="20">
        <f t="shared" si="168"/>
        <v>584.7539010360191</v>
      </c>
      <c r="BH169" s="59">
        <f t="shared" si="116"/>
        <v>878.08723436935247</v>
      </c>
      <c r="BI169" s="59">
        <f ca="1">AVERAGE(OFFSET($BH$3,0,0,'Données projet'!$E$11+1,1))-AVERAGE(OFFSET($H$3,0,0,'Données projet'!$E$11+1,1))</f>
        <v>308.80022073574963</v>
      </c>
      <c r="BJ169" s="59">
        <f t="shared" si="146"/>
        <v>183.96267407004115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30.852163404025223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30.852163404025223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795.00000000000068</v>
      </c>
      <c r="O170" s="13">
        <f>N170*VLOOKUP('Données projet'!$B$9,Paramètres!$A$1:$I$89,3,0)*VLOOKUP('Données projet'!$B$9,Paramètres!$A$1:$I$89,5,0)</f>
        <v>372.06000000000029</v>
      </c>
      <c r="P170" s="13">
        <f t="shared" si="141"/>
        <v>86.088609967897526</v>
      </c>
      <c r="Q170" s="20">
        <f t="shared" si="162"/>
        <v>797.94216236075533</v>
      </c>
      <c r="R170" s="59">
        <f t="shared" si="109"/>
        <v>1091.2754956940887</v>
      </c>
      <c r="S170" s="59">
        <f ca="1">AVERAGE(OFFSET($R$3,0,0,'Données projet'!$E$9+1,1))-AVERAGE(OFFSET($H$3,0,0,'Données projet'!$E$9+1,1))</f>
        <v>379.12827535040157</v>
      </c>
      <c r="T170" s="59">
        <f t="shared" si="142"/>
        <v>317.29813413796956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22.954835438282384</v>
      </c>
      <c r="AA170" s="21">
        <f>EXP(-LN(2)/25)*AA169+(1-EXP(-LN(2)/25))/(LN(2)/25)*Calculateur!V170*Calculateur!X170*VLOOKUP('Données projet'!$B$9,Paramètres!$A$1:$I$89,3,0)*0.475*44/12</f>
        <v>0.99780725385721825</v>
      </c>
      <c r="AB170" s="21">
        <f>EXP(-LN(2)/2)*AB169+(1-EXP(-LN(2)/2))/(LN(2)/2)*V170*Y170*VLOOKUP('Données projet'!$B$9,Paramètres!$A$1:$I$89,3,0)*0.475*44/12</f>
        <v>1.0314544620380697E-21</v>
      </c>
      <c r="AC170" s="22">
        <f t="shared" si="163"/>
        <v>23.952642692139602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636.99999999999977</v>
      </c>
      <c r="AJ170" s="13">
        <f>AI170*VLOOKUP('Données projet'!$B$10,Paramètres!$A$1:$I$89,3,0)*VLOOKUP('Données projet'!$B$10,Paramètres!$A$1:$I$89,5,0)</f>
        <v>356.08299999999991</v>
      </c>
      <c r="AK170" s="13">
        <f t="shared" si="164"/>
        <v>82.813805255716545</v>
      </c>
      <c r="AL170" s="20">
        <f t="shared" si="165"/>
        <v>764.41193582037283</v>
      </c>
      <c r="AM170" s="59">
        <f t="shared" si="113"/>
        <v>1057.7452691537062</v>
      </c>
      <c r="AN170" s="59">
        <f ca="1">AVERAGE(OFFSET($AM$3,0,0,'Données projet'!$E$10+1,1))-AVERAGE(OFFSET($H$3,0,0,'Données projet'!$E$10+1,1))</f>
        <v>382.55387448074327</v>
      </c>
      <c r="AO170" s="59">
        <f t="shared" si="144"/>
        <v>476.29465646955543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11.741915640840796</v>
      </c>
      <c r="AV170" s="21">
        <f>EXP(-LN(2)/25)*AV169+(1-EXP(-LN(2)/25))/(LN(2)/25)*Calculateur!AQ170*Calculateur!AS170*VLOOKUP('Données projet'!$B$10,Paramètres!$A$1:$I$89,3,0)*0.475*44/12</f>
        <v>0.49151738024264852</v>
      </c>
      <c r="AW170" s="21">
        <f>EXP(-LN(2)/2)*AW169+(1-EXP(-LN(2)/2))/(LN(2)/2)*AQ170*AT170*VLOOKUP('Données projet'!$B$10,Paramètres!$A$1:$I$89,3,0)*0.475*44/12</f>
        <v>1.4474761438830642E-20</v>
      </c>
      <c r="AX170" s="21">
        <f t="shared" si="166"/>
        <v>12.233433021083444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267</v>
      </c>
      <c r="BE170" s="13">
        <f>BD170*VLOOKUP('Données projet'!$B$11,Paramètres!$A$1:$I$89,3,0)*VLOOKUP('Données projet'!$B$11,Paramètres!$A$1:$I$89,5,0)</f>
        <v>270.738</v>
      </c>
      <c r="BF170" s="13">
        <f t="shared" si="167"/>
        <v>65.005866623551711</v>
      </c>
      <c r="BG170" s="20">
        <f t="shared" si="168"/>
        <v>584.7539010360191</v>
      </c>
      <c r="BH170" s="59">
        <f t="shared" si="116"/>
        <v>878.08723436935247</v>
      </c>
      <c r="BI170" s="59">
        <f ca="1">AVERAGE(OFFSET($BH$3,0,0,'Données projet'!$E$11+1,1))-AVERAGE(OFFSET($H$3,0,0,'Données projet'!$E$11+1,1))</f>
        <v>308.80022073574963</v>
      </c>
      <c r="BJ170" s="59">
        <f t="shared" si="146"/>
        <v>183.96267407004115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30.247171297633844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30.247171297633844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795.00000000000068</v>
      </c>
      <c r="O171" s="13">
        <f>N171*VLOOKUP('Données projet'!$B$9,Paramètres!$A$1:$I$89,3,0)*VLOOKUP('Données projet'!$B$9,Paramètres!$A$1:$I$89,5,0)</f>
        <v>372.06000000000029</v>
      </c>
      <c r="P171" s="13">
        <f t="shared" si="141"/>
        <v>86.088609967897526</v>
      </c>
      <c r="Q171" s="20">
        <f t="shared" si="162"/>
        <v>797.94216236075533</v>
      </c>
      <c r="R171" s="59">
        <f t="shared" si="109"/>
        <v>1091.2754956940887</v>
      </c>
      <c r="S171" s="59">
        <f ca="1">AVERAGE(OFFSET($R$3,0,0,'Données projet'!$E$9+1,1))-AVERAGE(OFFSET($H$3,0,0,'Données projet'!$E$9+1,1))</f>
        <v>379.12827535040157</v>
      </c>
      <c r="T171" s="59">
        <f t="shared" si="142"/>
        <v>317.29813413796956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22.504705116404793</v>
      </c>
      <c r="AA171" s="21">
        <f>EXP(-LN(2)/25)*AA170+(1-EXP(-LN(2)/25))/(LN(2)/25)*Calculateur!V171*Calculateur!X171*VLOOKUP('Données projet'!$B$9,Paramètres!$A$1:$I$89,3,0)*0.475*44/12</f>
        <v>0.97052216202808961</v>
      </c>
      <c r="AB171" s="21">
        <f>EXP(-LN(2)/2)*AB170+(1-EXP(-LN(2)/2))/(LN(2)/2)*V171*Y171*VLOOKUP('Données projet'!$B$9,Paramètres!$A$1:$I$89,3,0)*0.475*44/12</f>
        <v>7.2934844459224146E-22</v>
      </c>
      <c r="AC171" s="22">
        <f t="shared" si="163"/>
        <v>23.475227278432882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636.99999999999977</v>
      </c>
      <c r="AJ171" s="13">
        <f>AI171*VLOOKUP('Données projet'!$B$10,Paramètres!$A$1:$I$89,3,0)*VLOOKUP('Données projet'!$B$10,Paramètres!$A$1:$I$89,5,0)</f>
        <v>356.08299999999991</v>
      </c>
      <c r="AK171" s="13">
        <f t="shared" si="164"/>
        <v>82.813805255716545</v>
      </c>
      <c r="AL171" s="20">
        <f t="shared" si="165"/>
        <v>764.41193582037283</v>
      </c>
      <c r="AM171" s="59">
        <f t="shared" si="113"/>
        <v>1057.7452691537062</v>
      </c>
      <c r="AN171" s="59">
        <f ca="1">AVERAGE(OFFSET($AM$3,0,0,'Données projet'!$E$10+1,1))-AVERAGE(OFFSET($H$3,0,0,'Données projet'!$E$10+1,1))</f>
        <v>382.55387448074327</v>
      </c>
      <c r="AO171" s="59">
        <f t="shared" si="144"/>
        <v>476.29465646955543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11.511663836985274</v>
      </c>
      <c r="AV171" s="21">
        <f>EXP(-LN(2)/25)*AV170+(1-EXP(-LN(2)/25))/(LN(2)/25)*Calculateur!AQ171*Calculateur!AS171*VLOOKUP('Données projet'!$B$10,Paramètres!$A$1:$I$89,3,0)*0.475*44/12</f>
        <v>0.47807681163213767</v>
      </c>
      <c r="AW171" s="21">
        <f>EXP(-LN(2)/2)*AW170+(1-EXP(-LN(2)/2))/(LN(2)/2)*AQ171*AT171*VLOOKUP('Données projet'!$B$10,Paramètres!$A$1:$I$89,3,0)*0.475*44/12</f>
        <v>1.0235201969454695E-20</v>
      </c>
      <c r="AX171" s="21">
        <f t="shared" si="166"/>
        <v>11.989740648617412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267</v>
      </c>
      <c r="BE171" s="13">
        <f>BD171*VLOOKUP('Données projet'!$B$11,Paramètres!$A$1:$I$89,3,0)*VLOOKUP('Données projet'!$B$11,Paramètres!$A$1:$I$89,5,0)</f>
        <v>270.738</v>
      </c>
      <c r="BF171" s="13">
        <f t="shared" si="167"/>
        <v>65.005866623551711</v>
      </c>
      <c r="BG171" s="20">
        <f t="shared" si="168"/>
        <v>584.7539010360191</v>
      </c>
      <c r="BH171" s="59">
        <f t="shared" si="116"/>
        <v>878.08723436935247</v>
      </c>
      <c r="BI171" s="59">
        <f ca="1">AVERAGE(OFFSET($BH$3,0,0,'Données projet'!$E$11+1,1))-AVERAGE(OFFSET($H$3,0,0,'Données projet'!$E$11+1,1))</f>
        <v>308.80022073574963</v>
      </c>
      <c r="BJ171" s="59">
        <f t="shared" si="146"/>
        <v>183.96267407004115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29.654042717440053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29.654042717440053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795.00000000000068</v>
      </c>
      <c r="O172" s="13">
        <f>N172*VLOOKUP('Données projet'!$B$9,Paramètres!$A$1:$I$89,3,0)*VLOOKUP('Données projet'!$B$9,Paramètres!$A$1:$I$89,5,0)</f>
        <v>372.06000000000029</v>
      </c>
      <c r="P172" s="13">
        <f t="shared" si="141"/>
        <v>86.088609967897526</v>
      </c>
      <c r="Q172" s="20">
        <f t="shared" si="162"/>
        <v>797.94216236075533</v>
      </c>
      <c r="R172" s="59">
        <f t="shared" si="109"/>
        <v>1091.2754956940887</v>
      </c>
      <c r="S172" s="59">
        <f ca="1">AVERAGE(OFFSET($R$3,0,0,'Données projet'!$E$9+1,1))-AVERAGE(OFFSET($H$3,0,0,'Données projet'!$E$9+1,1))</f>
        <v>379.12827535040157</v>
      </c>
      <c r="T172" s="59">
        <f t="shared" si="142"/>
        <v>317.29813413796956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22.063401575586834</v>
      </c>
      <c r="AA172" s="21">
        <f>EXP(-LN(2)/25)*AA171+(1-EXP(-LN(2)/25))/(LN(2)/25)*Calculateur!V172*Calculateur!X172*VLOOKUP('Données projet'!$B$9,Paramètres!$A$1:$I$89,3,0)*0.475*44/12</f>
        <v>0.9439831824698891</v>
      </c>
      <c r="AB172" s="21">
        <f>EXP(-LN(2)/2)*AB171+(1-EXP(-LN(2)/2))/(LN(2)/2)*V172*Y172*VLOOKUP('Données projet'!$B$9,Paramètres!$A$1:$I$89,3,0)*0.475*44/12</f>
        <v>5.1572723101903486E-22</v>
      </c>
      <c r="AC172" s="22">
        <f t="shared" si="163"/>
        <v>23.007384758056723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636.99999999999977</v>
      </c>
      <c r="AJ172" s="13">
        <f>AI172*VLOOKUP('Données projet'!$B$10,Paramètres!$A$1:$I$89,3,0)*VLOOKUP('Données projet'!$B$10,Paramètres!$A$1:$I$89,5,0)</f>
        <v>356.08299999999991</v>
      </c>
      <c r="AK172" s="13">
        <f t="shared" si="164"/>
        <v>82.813805255716545</v>
      </c>
      <c r="AL172" s="20">
        <f t="shared" si="165"/>
        <v>764.41193582037283</v>
      </c>
      <c r="AM172" s="59">
        <f t="shared" si="113"/>
        <v>1057.7452691537062</v>
      </c>
      <c r="AN172" s="59">
        <f ca="1">AVERAGE(OFFSET($AM$3,0,0,'Données projet'!$E$10+1,1))-AVERAGE(OFFSET($H$3,0,0,'Données projet'!$E$10+1,1))</f>
        <v>382.55387448074327</v>
      </c>
      <c r="AO172" s="59">
        <f t="shared" si="144"/>
        <v>476.29465646955543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11.285927130563627</v>
      </c>
      <c r="AV172" s="21">
        <f>EXP(-LN(2)/25)*AV171+(1-EXP(-LN(2)/25))/(LN(2)/25)*Calculateur!AQ172*Calculateur!AS172*VLOOKUP('Données projet'!$B$10,Paramètres!$A$1:$I$89,3,0)*0.475*44/12</f>
        <v>0.46500377607708998</v>
      </c>
      <c r="AW172" s="21">
        <f>EXP(-LN(2)/2)*AW171+(1-EXP(-LN(2)/2))/(LN(2)/2)*AQ172*AT172*VLOOKUP('Données projet'!$B$10,Paramètres!$A$1:$I$89,3,0)*0.475*44/12</f>
        <v>7.2373807194153212E-21</v>
      </c>
      <c r="AX172" s="21">
        <f t="shared" si="166"/>
        <v>11.750930906640717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267</v>
      </c>
      <c r="BE172" s="13">
        <f>BD172*VLOOKUP('Données projet'!$B$11,Paramètres!$A$1:$I$89,3,0)*VLOOKUP('Données projet'!$B$11,Paramètres!$A$1:$I$89,5,0)</f>
        <v>270.738</v>
      </c>
      <c r="BF172" s="13">
        <f t="shared" si="167"/>
        <v>65.005866623551711</v>
      </c>
      <c r="BG172" s="20">
        <f t="shared" si="168"/>
        <v>584.7539010360191</v>
      </c>
      <c r="BH172" s="59">
        <f t="shared" si="116"/>
        <v>878.08723436935247</v>
      </c>
      <c r="BI172" s="59">
        <f ca="1">AVERAGE(OFFSET($BH$3,0,0,'Données projet'!$E$11+1,1))-AVERAGE(OFFSET($H$3,0,0,'Données projet'!$E$11+1,1))</f>
        <v>308.80022073574963</v>
      </c>
      <c r="BJ172" s="59">
        <f t="shared" si="146"/>
        <v>183.96267407004115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29.072545026931149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29.072545026931149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795.00000000000068</v>
      </c>
      <c r="O173" s="13">
        <f>N173*VLOOKUP('Données projet'!$B$9,Paramètres!$A$1:$I$89,3,0)*VLOOKUP('Données projet'!$B$9,Paramètres!$A$1:$I$89,5,0)</f>
        <v>372.06000000000029</v>
      </c>
      <c r="P173" s="13">
        <f t="shared" si="141"/>
        <v>86.088609967897526</v>
      </c>
      <c r="Q173" s="20">
        <f t="shared" si="162"/>
        <v>797.94216236075533</v>
      </c>
      <c r="R173" s="59">
        <f t="shared" si="109"/>
        <v>1091.2754956940887</v>
      </c>
      <c r="S173" s="59">
        <f ca="1">AVERAGE(OFFSET($R$3,0,0,'Données projet'!$E$9+1,1))-AVERAGE(OFFSET($H$3,0,0,'Données projet'!$E$9+1,1))</f>
        <v>379.12827535040157</v>
      </c>
      <c r="T173" s="59">
        <f t="shared" si="142"/>
        <v>317.29813413796956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21.630751728035733</v>
      </c>
      <c r="AA173" s="21">
        <f>EXP(-LN(2)/25)*AA172+(1-EXP(-LN(2)/25))/(LN(2)/25)*Calculateur!V173*Calculateur!X173*VLOOKUP('Données projet'!$B$9,Paramètres!$A$1:$I$89,3,0)*0.475*44/12</f>
        <v>0.91816991270333193</v>
      </c>
      <c r="AB173" s="21">
        <f>EXP(-LN(2)/2)*AB172+(1-EXP(-LN(2)/2))/(LN(2)/2)*V173*Y173*VLOOKUP('Données projet'!$B$9,Paramètres!$A$1:$I$89,3,0)*0.475*44/12</f>
        <v>3.6467422229612073E-22</v>
      </c>
      <c r="AC173" s="22">
        <f t="shared" si="163"/>
        <v>22.548921640739064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636.99999999999977</v>
      </c>
      <c r="AJ173" s="13">
        <f>AI173*VLOOKUP('Données projet'!$B$10,Paramètres!$A$1:$I$89,3,0)*VLOOKUP('Données projet'!$B$10,Paramètres!$A$1:$I$89,5,0)</f>
        <v>356.08299999999991</v>
      </c>
      <c r="AK173" s="13">
        <f t="shared" si="164"/>
        <v>82.813805255716545</v>
      </c>
      <c r="AL173" s="20">
        <f t="shared" si="165"/>
        <v>764.41193582037283</v>
      </c>
      <c r="AM173" s="59">
        <f t="shared" si="113"/>
        <v>1057.7452691537062</v>
      </c>
      <c r="AN173" s="59">
        <f ca="1">AVERAGE(OFFSET($AM$3,0,0,'Données projet'!$E$10+1,1))-AVERAGE(OFFSET($H$3,0,0,'Données projet'!$E$10+1,1))</f>
        <v>382.55387448074327</v>
      </c>
      <c r="AO173" s="59">
        <f t="shared" si="144"/>
        <v>476.29465646955543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11.064616983269111</v>
      </c>
      <c r="AV173" s="21">
        <f>EXP(-LN(2)/25)*AV172+(1-EXP(-LN(2)/25))/(LN(2)/25)*Calculateur!AQ173*Calculateur!AS173*VLOOKUP('Données projet'!$B$10,Paramètres!$A$1:$I$89,3,0)*0.475*44/12</f>
        <v>0.45228822336677615</v>
      </c>
      <c r="AW173" s="21">
        <f>EXP(-LN(2)/2)*AW172+(1-EXP(-LN(2)/2))/(LN(2)/2)*AQ173*AT173*VLOOKUP('Données projet'!$B$10,Paramètres!$A$1:$I$89,3,0)*0.475*44/12</f>
        <v>5.1176009847273475E-21</v>
      </c>
      <c r="AX173" s="21">
        <f t="shared" si="166"/>
        <v>11.516905206635888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267</v>
      </c>
      <c r="BE173" s="13">
        <f>BD173*VLOOKUP('Données projet'!$B$11,Paramètres!$A$1:$I$89,3,0)*VLOOKUP('Données projet'!$B$11,Paramètres!$A$1:$I$89,5,0)</f>
        <v>270.738</v>
      </c>
      <c r="BF173" s="13">
        <f t="shared" si="167"/>
        <v>65.005866623551711</v>
      </c>
      <c r="BG173" s="20">
        <f t="shared" si="168"/>
        <v>584.7539010360191</v>
      </c>
      <c r="BH173" s="59">
        <f t="shared" si="116"/>
        <v>878.08723436935247</v>
      </c>
      <c r="BI173" s="59">
        <f ca="1">AVERAGE(OFFSET($BH$3,0,0,'Données projet'!$E$11+1,1))-AVERAGE(OFFSET($H$3,0,0,'Données projet'!$E$11+1,1))</f>
        <v>308.80022073574963</v>
      </c>
      <c r="BJ173" s="59">
        <f t="shared" si="146"/>
        <v>183.96267407004115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28.502450151454557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28.502450151454557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795.00000000000068</v>
      </c>
      <c r="O174" s="13">
        <f>N174*VLOOKUP('Données projet'!$B$9,Paramètres!$A$1:$I$89,3,0)*VLOOKUP('Données projet'!$B$9,Paramètres!$A$1:$I$89,5,0)</f>
        <v>372.06000000000029</v>
      </c>
      <c r="P174" s="13">
        <f t="shared" si="141"/>
        <v>86.088609967897526</v>
      </c>
      <c r="Q174" s="20">
        <f t="shared" si="162"/>
        <v>797.94216236075533</v>
      </c>
      <c r="R174" s="59">
        <f t="shared" si="109"/>
        <v>1091.2754956940887</v>
      </c>
      <c r="S174" s="59">
        <f ca="1">AVERAGE(OFFSET($R$3,0,0,'Données projet'!$E$9+1,1))-AVERAGE(OFFSET($H$3,0,0,'Données projet'!$E$9+1,1))</f>
        <v>379.12827535040157</v>
      </c>
      <c r="T174" s="59">
        <f t="shared" si="142"/>
        <v>317.29813413796956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21.206585880104761</v>
      </c>
      <c r="AA174" s="21">
        <f>EXP(-LN(2)/25)*AA173+(1-EXP(-LN(2)/25))/(LN(2)/25)*Calculateur!V174*Calculateur!X174*VLOOKUP('Données projet'!$B$9,Paramètres!$A$1:$I$89,3,0)*0.475*44/12</f>
        <v>0.89306250815600208</v>
      </c>
      <c r="AB174" s="21">
        <f>EXP(-LN(2)/2)*AB173+(1-EXP(-LN(2)/2))/(LN(2)/2)*V174*Y174*VLOOKUP('Données projet'!$B$9,Paramètres!$A$1:$I$89,3,0)*0.475*44/12</f>
        <v>2.5786361550951743E-22</v>
      </c>
      <c r="AC174" s="22">
        <f t="shared" si="163"/>
        <v>22.099648388260764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636.99999999999977</v>
      </c>
      <c r="AJ174" s="13">
        <f>AI174*VLOOKUP('Données projet'!$B$10,Paramètres!$A$1:$I$89,3,0)*VLOOKUP('Données projet'!$B$10,Paramètres!$A$1:$I$89,5,0)</f>
        <v>356.08299999999991</v>
      </c>
      <c r="AK174" s="13">
        <f t="shared" si="164"/>
        <v>82.813805255716545</v>
      </c>
      <c r="AL174" s="20">
        <f t="shared" si="165"/>
        <v>764.41193582037283</v>
      </c>
      <c r="AM174" s="59">
        <f t="shared" si="113"/>
        <v>1057.7452691537062</v>
      </c>
      <c r="AN174" s="59">
        <f ca="1">AVERAGE(OFFSET($AM$3,0,0,'Données projet'!$E$10+1,1))-AVERAGE(OFFSET($H$3,0,0,'Données projet'!$E$10+1,1))</f>
        <v>382.55387448074327</v>
      </c>
      <c r="AO174" s="59">
        <f t="shared" si="144"/>
        <v>476.29465646955543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10.847646592977179</v>
      </c>
      <c r="AV174" s="21">
        <f>EXP(-LN(2)/25)*AV173+(1-EXP(-LN(2)/25))/(LN(2)/25)*Calculateur!AQ174*Calculateur!AS174*VLOOKUP('Données projet'!$B$10,Paramètres!$A$1:$I$89,3,0)*0.475*44/12</f>
        <v>0.43992037811400769</v>
      </c>
      <c r="AW174" s="21">
        <f>EXP(-LN(2)/2)*AW173+(1-EXP(-LN(2)/2))/(LN(2)/2)*AQ174*AT174*VLOOKUP('Données projet'!$B$10,Paramètres!$A$1:$I$89,3,0)*0.475*44/12</f>
        <v>3.6186903597076606E-21</v>
      </c>
      <c r="AX174" s="21">
        <f t="shared" si="166"/>
        <v>11.287566971091188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267</v>
      </c>
      <c r="BE174" s="13">
        <f>BD174*VLOOKUP('Données projet'!$B$11,Paramètres!$A$1:$I$89,3,0)*VLOOKUP('Données projet'!$B$11,Paramètres!$A$1:$I$89,5,0)</f>
        <v>270.738</v>
      </c>
      <c r="BF174" s="13">
        <f t="shared" si="167"/>
        <v>65.005866623551711</v>
      </c>
      <c r="BG174" s="20">
        <f t="shared" si="168"/>
        <v>584.7539010360191</v>
      </c>
      <c r="BH174" s="59">
        <f t="shared" si="116"/>
        <v>878.08723436935247</v>
      </c>
      <c r="BI174" s="59">
        <f ca="1">AVERAGE(OFFSET($BH$3,0,0,'Données projet'!$E$11+1,1))-AVERAGE(OFFSET($H$3,0,0,'Données projet'!$E$11+1,1))</f>
        <v>308.80022073574963</v>
      </c>
      <c r="BJ174" s="59">
        <f t="shared" si="146"/>
        <v>183.96267407004115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27.94353448876252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27.94353448876252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795.00000000000068</v>
      </c>
      <c r="O175" s="13">
        <f>N175*VLOOKUP('Données projet'!$B$9,Paramètres!$A$1:$I$89,3,0)*VLOOKUP('Données projet'!$B$9,Paramètres!$A$1:$I$89,5,0)</f>
        <v>372.06000000000029</v>
      </c>
      <c r="P175" s="13">
        <f t="shared" si="141"/>
        <v>86.088609967897526</v>
      </c>
      <c r="Q175" s="20">
        <f t="shared" si="162"/>
        <v>797.94216236075533</v>
      </c>
      <c r="R175" s="59">
        <f t="shared" si="109"/>
        <v>1091.2754956940887</v>
      </c>
      <c r="S175" s="59">
        <f ca="1">AVERAGE(OFFSET($R$3,0,0,'Données projet'!$E$9+1,1))-AVERAGE(OFFSET($H$3,0,0,'Données projet'!$E$9+1,1))</f>
        <v>379.12827535040157</v>
      </c>
      <c r="T175" s="59">
        <f t="shared" si="142"/>
        <v>317.29813413796956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20.790737665736096</v>
      </c>
      <c r="AA175" s="21">
        <f>EXP(-LN(2)/25)*AA174+(1-EXP(-LN(2)/25))/(LN(2)/25)*Calculateur!V175*Calculateur!X175*VLOOKUP('Données projet'!$B$9,Paramètres!$A$1:$I$89,3,0)*0.475*44/12</f>
        <v>0.86864166690636002</v>
      </c>
      <c r="AB175" s="21">
        <f>EXP(-LN(2)/2)*AB174+(1-EXP(-LN(2)/2))/(LN(2)/2)*V175*Y175*VLOOKUP('Données projet'!$B$9,Paramètres!$A$1:$I$89,3,0)*0.475*44/12</f>
        <v>1.8233711114806036E-22</v>
      </c>
      <c r="AC175" s="22">
        <f t="shared" si="163"/>
        <v>21.659379332642455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636.99999999999977</v>
      </c>
      <c r="AJ175" s="13">
        <f>AI175*VLOOKUP('Données projet'!$B$10,Paramètres!$A$1:$I$89,3,0)*VLOOKUP('Données projet'!$B$10,Paramètres!$A$1:$I$89,5,0)</f>
        <v>356.08299999999991</v>
      </c>
      <c r="AK175" s="13">
        <f t="shared" si="164"/>
        <v>82.813805255716545</v>
      </c>
      <c r="AL175" s="20">
        <f t="shared" si="165"/>
        <v>764.41193582037283</v>
      </c>
      <c r="AM175" s="59">
        <f t="shared" si="113"/>
        <v>1057.7452691537062</v>
      </c>
      <c r="AN175" s="59">
        <f ca="1">AVERAGE(OFFSET($AM$3,0,0,'Données projet'!$E$10+1,1))-AVERAGE(OFFSET($H$3,0,0,'Données projet'!$E$10+1,1))</f>
        <v>382.55387448074327</v>
      </c>
      <c r="AO175" s="59">
        <f t="shared" si="144"/>
        <v>476.29465646955543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10.634930859700003</v>
      </c>
      <c r="AV175" s="21">
        <f>EXP(-LN(2)/25)*AV174+(1-EXP(-LN(2)/25))/(LN(2)/25)*Calculateur!AQ175*Calculateur!AS175*VLOOKUP('Données projet'!$B$10,Paramètres!$A$1:$I$89,3,0)*0.475*44/12</f>
        <v>0.4278907322400729</v>
      </c>
      <c r="AW175" s="21">
        <f>EXP(-LN(2)/2)*AW174+(1-EXP(-LN(2)/2))/(LN(2)/2)*AQ175*AT175*VLOOKUP('Données projet'!$B$10,Paramètres!$A$1:$I$89,3,0)*0.475*44/12</f>
        <v>2.5588004923636738E-21</v>
      </c>
      <c r="AX175" s="21">
        <f t="shared" si="166"/>
        <v>11.062821591940075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267</v>
      </c>
      <c r="BE175" s="13">
        <f>BD175*VLOOKUP('Données projet'!$B$11,Paramètres!$A$1:$I$89,3,0)*VLOOKUP('Données projet'!$B$11,Paramètres!$A$1:$I$89,5,0)</f>
        <v>270.738</v>
      </c>
      <c r="BF175" s="13">
        <f t="shared" si="167"/>
        <v>65.005866623551711</v>
      </c>
      <c r="BG175" s="20">
        <f t="shared" si="168"/>
        <v>584.7539010360191</v>
      </c>
      <c r="BH175" s="59">
        <f t="shared" si="116"/>
        <v>878.08723436935247</v>
      </c>
      <c r="BI175" s="59">
        <f ca="1">AVERAGE(OFFSET($BH$3,0,0,'Données projet'!$E$11+1,1))-AVERAGE(OFFSET($H$3,0,0,'Données projet'!$E$11+1,1))</f>
        <v>308.80022073574963</v>
      </c>
      <c r="BJ175" s="59">
        <f t="shared" si="146"/>
        <v>183.96267407004115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27.395578821310984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27.395578821310984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795.00000000000068</v>
      </c>
      <c r="O176" s="13">
        <f>N176*VLOOKUP('Données projet'!$B$9,Paramètres!$A$1:$I$89,3,0)*VLOOKUP('Données projet'!$B$9,Paramètres!$A$1:$I$89,5,0)</f>
        <v>372.06000000000029</v>
      </c>
      <c r="P176" s="13">
        <f t="shared" si="141"/>
        <v>86.088609967897526</v>
      </c>
      <c r="Q176" s="20">
        <f t="shared" si="162"/>
        <v>797.94216236075533</v>
      </c>
      <c r="R176" s="59">
        <f t="shared" si="109"/>
        <v>1091.2754956940887</v>
      </c>
      <c r="S176" s="59">
        <f ca="1">AVERAGE(OFFSET($R$3,0,0,'Données projet'!$E$9+1,1))-AVERAGE(OFFSET($H$3,0,0,'Données projet'!$E$9+1,1))</f>
        <v>379.12827535040157</v>
      </c>
      <c r="T176" s="59">
        <f t="shared" si="142"/>
        <v>317.29813413796956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20.383043981208832</v>
      </c>
      <c r="AA176" s="21">
        <f>EXP(-LN(2)/25)*AA175+(1-EXP(-LN(2)/25))/(LN(2)/25)*Calculateur!V176*Calculateur!X176*VLOOKUP('Données projet'!$B$9,Paramètres!$A$1:$I$89,3,0)*0.475*44/12</f>
        <v>0.84488861484492561</v>
      </c>
      <c r="AB176" s="21">
        <f>EXP(-LN(2)/2)*AB175+(1-EXP(-LN(2)/2))/(LN(2)/2)*V176*Y176*VLOOKUP('Données projet'!$B$9,Paramètres!$A$1:$I$89,3,0)*0.475*44/12</f>
        <v>1.2893180775475871E-22</v>
      </c>
      <c r="AC176" s="22">
        <f t="shared" si="163"/>
        <v>21.227932596053758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636.99999999999977</v>
      </c>
      <c r="AJ176" s="13">
        <f>AI176*VLOOKUP('Données projet'!$B$10,Paramètres!$A$1:$I$89,3,0)*VLOOKUP('Données projet'!$B$10,Paramètres!$A$1:$I$89,5,0)</f>
        <v>356.08299999999991</v>
      </c>
      <c r="AK176" s="13">
        <f t="shared" si="164"/>
        <v>82.813805255716545</v>
      </c>
      <c r="AL176" s="20">
        <f t="shared" si="165"/>
        <v>764.41193582037283</v>
      </c>
      <c r="AM176" s="59">
        <f t="shared" si="113"/>
        <v>1057.7452691537062</v>
      </c>
      <c r="AN176" s="59">
        <f ca="1">AVERAGE(OFFSET($AM$3,0,0,'Données projet'!$E$10+1,1))-AVERAGE(OFFSET($H$3,0,0,'Données projet'!$E$10+1,1))</f>
        <v>382.55387448074327</v>
      </c>
      <c r="AO176" s="59">
        <f t="shared" si="144"/>
        <v>476.29465646955543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10.426386352208604</v>
      </c>
      <c r="AV176" s="21">
        <f>EXP(-LN(2)/25)*AV175+(1-EXP(-LN(2)/25))/(LN(2)/25)*Calculateur!AQ176*Calculateur!AS176*VLOOKUP('Données projet'!$B$10,Paramètres!$A$1:$I$89,3,0)*0.475*44/12</f>
        <v>0.41619003766517243</v>
      </c>
      <c r="AW176" s="21">
        <f>EXP(-LN(2)/2)*AW175+(1-EXP(-LN(2)/2))/(LN(2)/2)*AQ176*AT176*VLOOKUP('Données projet'!$B$10,Paramètres!$A$1:$I$89,3,0)*0.475*44/12</f>
        <v>1.8093451798538303E-21</v>
      </c>
      <c r="AX176" s="21">
        <f t="shared" si="166"/>
        <v>10.842576389873777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267</v>
      </c>
      <c r="BE176" s="13">
        <f>BD176*VLOOKUP('Données projet'!$B$11,Paramètres!$A$1:$I$89,3,0)*VLOOKUP('Données projet'!$B$11,Paramètres!$A$1:$I$89,5,0)</f>
        <v>270.738</v>
      </c>
      <c r="BF176" s="13">
        <f t="shared" si="167"/>
        <v>65.005866623551711</v>
      </c>
      <c r="BG176" s="20">
        <f t="shared" si="168"/>
        <v>584.7539010360191</v>
      </c>
      <c r="BH176" s="59">
        <f t="shared" si="116"/>
        <v>878.08723436935247</v>
      </c>
      <c r="BI176" s="59">
        <f ca="1">AVERAGE(OFFSET($BH$3,0,0,'Données projet'!$E$11+1,1))-AVERAGE(OFFSET($H$3,0,0,'Données projet'!$E$11+1,1))</f>
        <v>308.80022073574963</v>
      </c>
      <c r="BJ176" s="59">
        <f t="shared" si="146"/>
        <v>183.96267407004115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26.858368230278217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26.858368230278217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795.00000000000068</v>
      </c>
      <c r="O177" s="13">
        <f>N177*VLOOKUP('Données projet'!$B$9,Paramètres!$A$1:$I$89,3,0)*VLOOKUP('Données projet'!$B$9,Paramètres!$A$1:$I$89,5,0)</f>
        <v>372.06000000000029</v>
      </c>
      <c r="P177" s="13">
        <f t="shared" si="141"/>
        <v>86.088609967897526</v>
      </c>
      <c r="Q177" s="20">
        <f t="shared" si="162"/>
        <v>797.94216236075533</v>
      </c>
      <c r="R177" s="59">
        <f t="shared" si="109"/>
        <v>1091.2754956940887</v>
      </c>
      <c r="S177" s="59">
        <f ca="1">AVERAGE(OFFSET($R$3,0,0,'Données projet'!$E$9+1,1))-AVERAGE(OFFSET($H$3,0,0,'Données projet'!$E$9+1,1))</f>
        <v>379.12827535040157</v>
      </c>
      <c r="T177" s="59">
        <f t="shared" si="142"/>
        <v>317.29813413796956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19.983344921166555</v>
      </c>
      <c r="AA177" s="21">
        <f>EXP(-LN(2)/25)*AA176+(1-EXP(-LN(2)/25))/(LN(2)/25)*Calculateur!V177*Calculateur!X177*VLOOKUP('Données projet'!$B$9,Paramètres!$A$1:$I$89,3,0)*0.475*44/12</f>
        <v>0.82178509124122989</v>
      </c>
      <c r="AB177" s="21">
        <f>EXP(-LN(2)/2)*AB176+(1-EXP(-LN(2)/2))/(LN(2)/2)*V177*Y177*VLOOKUP('Données projet'!$B$9,Paramètres!$A$1:$I$89,3,0)*0.475*44/12</f>
        <v>9.1168555574030182E-23</v>
      </c>
      <c r="AC177" s="22">
        <f t="shared" si="163"/>
        <v>20.805130012407787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636.99999999999977</v>
      </c>
      <c r="AJ177" s="13">
        <f>AI177*VLOOKUP('Données projet'!$B$10,Paramètres!$A$1:$I$89,3,0)*VLOOKUP('Données projet'!$B$10,Paramètres!$A$1:$I$89,5,0)</f>
        <v>356.08299999999991</v>
      </c>
      <c r="AK177" s="13">
        <f t="shared" si="164"/>
        <v>82.813805255716545</v>
      </c>
      <c r="AL177" s="20">
        <f t="shared" si="165"/>
        <v>764.41193582037283</v>
      </c>
      <c r="AM177" s="59">
        <f t="shared" si="113"/>
        <v>1057.7452691537062</v>
      </c>
      <c r="AN177" s="59">
        <f ca="1">AVERAGE(OFFSET($AM$3,0,0,'Données projet'!$E$10+1,1))-AVERAGE(OFFSET($H$3,0,0,'Données projet'!$E$10+1,1))</f>
        <v>382.55387448074327</v>
      </c>
      <c r="AO177" s="59">
        <f t="shared" si="144"/>
        <v>476.29465646955543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10.221931275309522</v>
      </c>
      <c r="AV177" s="21">
        <f>EXP(-LN(2)/25)*AV176+(1-EXP(-LN(2)/25))/(LN(2)/25)*Calculateur!AQ177*Calculateur!AS177*VLOOKUP('Données projet'!$B$10,Paramètres!$A$1:$I$89,3,0)*0.475*44/12</f>
        <v>0.40480929919873543</v>
      </c>
      <c r="AW177" s="21">
        <f>EXP(-LN(2)/2)*AW176+(1-EXP(-LN(2)/2))/(LN(2)/2)*AQ177*AT177*VLOOKUP('Données projet'!$B$10,Paramètres!$A$1:$I$89,3,0)*0.475*44/12</f>
        <v>1.2794002461818369E-21</v>
      </c>
      <c r="AX177" s="21">
        <f t="shared" si="166"/>
        <v>10.626740574508258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267</v>
      </c>
      <c r="BE177" s="13">
        <f>BD177*VLOOKUP('Données projet'!$B$11,Paramètres!$A$1:$I$89,3,0)*VLOOKUP('Données projet'!$B$11,Paramètres!$A$1:$I$89,5,0)</f>
        <v>270.738</v>
      </c>
      <c r="BF177" s="13">
        <f t="shared" si="167"/>
        <v>65.005866623551711</v>
      </c>
      <c r="BG177" s="20">
        <f t="shared" si="168"/>
        <v>584.7539010360191</v>
      </c>
      <c r="BH177" s="59">
        <f t="shared" si="116"/>
        <v>878.08723436935247</v>
      </c>
      <c r="BI177" s="59">
        <f ca="1">AVERAGE(OFFSET($BH$3,0,0,'Données projet'!$E$11+1,1))-AVERAGE(OFFSET($H$3,0,0,'Données projet'!$E$11+1,1))</f>
        <v>308.80022073574963</v>
      </c>
      <c r="BJ177" s="59">
        <f t="shared" si="146"/>
        <v>183.96267407004115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26.331692011269496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26.331692011269496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795.00000000000068</v>
      </c>
      <c r="O178" s="13">
        <f>N178*VLOOKUP('Données projet'!$B$9,Paramètres!$A$1:$I$89,3,0)*VLOOKUP('Données projet'!$B$9,Paramètres!$A$1:$I$89,5,0)</f>
        <v>372.06000000000029</v>
      </c>
      <c r="P178" s="13">
        <f t="shared" si="141"/>
        <v>86.088609967897526</v>
      </c>
      <c r="Q178" s="20">
        <f t="shared" si="162"/>
        <v>797.94216236075533</v>
      </c>
      <c r="R178" s="59">
        <f t="shared" si="109"/>
        <v>1091.2754956940887</v>
      </c>
      <c r="S178" s="59">
        <f ca="1">AVERAGE(OFFSET($R$3,0,0,'Données projet'!$E$9+1,1))-AVERAGE(OFFSET($H$3,0,0,'Données projet'!$E$9+1,1))</f>
        <v>379.12827535040157</v>
      </c>
      <c r="T178" s="59">
        <f t="shared" si="142"/>
        <v>317.29813413796956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19.591483715899354</v>
      </c>
      <c r="AA178" s="21">
        <f>EXP(-LN(2)/25)*AA177+(1-EXP(-LN(2)/25))/(LN(2)/25)*Calculateur!V178*Calculateur!X178*VLOOKUP('Données projet'!$B$9,Paramètres!$A$1:$I$89,3,0)*0.475*44/12</f>
        <v>0.79931333470543875</v>
      </c>
      <c r="AB178" s="21">
        <f>EXP(-LN(2)/2)*AB177+(1-EXP(-LN(2)/2))/(LN(2)/2)*V178*Y178*VLOOKUP('Données projet'!$B$9,Paramètres!$A$1:$I$89,3,0)*0.475*44/12</f>
        <v>6.4465903877379357E-23</v>
      </c>
      <c r="AC178" s="22">
        <f t="shared" si="163"/>
        <v>20.390797050604792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636.99999999999977</v>
      </c>
      <c r="AJ178" s="13">
        <f>AI178*VLOOKUP('Données projet'!$B$10,Paramètres!$A$1:$I$89,3,0)*VLOOKUP('Données projet'!$B$10,Paramètres!$A$1:$I$89,5,0)</f>
        <v>356.08299999999991</v>
      </c>
      <c r="AK178" s="13">
        <f t="shared" si="164"/>
        <v>82.813805255716545</v>
      </c>
      <c r="AL178" s="20">
        <f t="shared" si="165"/>
        <v>764.41193582037283</v>
      </c>
      <c r="AM178" s="59">
        <f t="shared" si="113"/>
        <v>1057.7452691537062</v>
      </c>
      <c r="AN178" s="59">
        <f ca="1">AVERAGE(OFFSET($AM$3,0,0,'Données projet'!$E$10+1,1))-AVERAGE(OFFSET($H$3,0,0,'Données projet'!$E$10+1,1))</f>
        <v>382.55387448074327</v>
      </c>
      <c r="AO178" s="59">
        <f t="shared" si="144"/>
        <v>476.29465646955543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10.021485437763149</v>
      </c>
      <c r="AV178" s="21">
        <f>EXP(-LN(2)/25)*AV177+(1-EXP(-LN(2)/25))/(LN(2)/25)*Calculateur!AQ178*Calculateur!AS178*VLOOKUP('Données projet'!$B$10,Paramètres!$A$1:$I$89,3,0)*0.475*44/12</f>
        <v>0.39373976762415019</v>
      </c>
      <c r="AW178" s="21">
        <f>EXP(-LN(2)/2)*AW177+(1-EXP(-LN(2)/2))/(LN(2)/2)*AQ178*AT178*VLOOKUP('Données projet'!$B$10,Paramètres!$A$1:$I$89,3,0)*0.475*44/12</f>
        <v>9.0467258992691515E-22</v>
      </c>
      <c r="AX178" s="21">
        <f t="shared" si="166"/>
        <v>10.4152252053873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267</v>
      </c>
      <c r="BE178" s="13">
        <f>BD178*VLOOKUP('Données projet'!$B$11,Paramètres!$A$1:$I$89,3,0)*VLOOKUP('Données projet'!$B$11,Paramètres!$A$1:$I$89,5,0)</f>
        <v>270.738</v>
      </c>
      <c r="BF178" s="13">
        <f t="shared" si="167"/>
        <v>65.005866623551711</v>
      </c>
      <c r="BG178" s="20">
        <f t="shared" si="168"/>
        <v>584.7539010360191</v>
      </c>
      <c r="BH178" s="59">
        <f t="shared" si="116"/>
        <v>878.08723436935247</v>
      </c>
      <c r="BI178" s="59">
        <f ca="1">AVERAGE(OFFSET($BH$3,0,0,'Données projet'!$E$11+1,1))-AVERAGE(OFFSET($H$3,0,0,'Données projet'!$E$11+1,1))</f>
        <v>308.80022073574963</v>
      </c>
      <c r="BJ178" s="59">
        <f t="shared" si="146"/>
        <v>183.96267407004115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25.815343591674761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25.815343591674761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795.00000000000068</v>
      </c>
      <c r="O179" s="13">
        <f>N179*VLOOKUP('Données projet'!$B$9,Paramètres!$A$1:$I$89,3,0)*VLOOKUP('Données projet'!$B$9,Paramètres!$A$1:$I$89,5,0)</f>
        <v>372.06000000000029</v>
      </c>
      <c r="P179" s="13">
        <f t="shared" si="141"/>
        <v>86.088609967897526</v>
      </c>
      <c r="Q179" s="20">
        <f t="shared" si="162"/>
        <v>797.94216236075533</v>
      </c>
      <c r="R179" s="59">
        <f t="shared" si="109"/>
        <v>1091.2754956940887</v>
      </c>
      <c r="S179" s="59">
        <f ca="1">AVERAGE(OFFSET($R$3,0,0,'Données projet'!$E$9+1,1))-AVERAGE(OFFSET($H$3,0,0,'Données projet'!$E$9+1,1))</f>
        <v>379.12827535040157</v>
      </c>
      <c r="T179" s="59">
        <f t="shared" si="142"/>
        <v>317.29813413796956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19.207306669855708</v>
      </c>
      <c r="AA179" s="21">
        <f>EXP(-LN(2)/25)*AA178+(1-EXP(-LN(2)/25))/(LN(2)/25)*Calculateur!V179*Calculateur!X179*VLOOKUP('Données projet'!$B$9,Paramètres!$A$1:$I$89,3,0)*0.475*44/12</f>
        <v>0.77745606953385715</v>
      </c>
      <c r="AB179" s="21">
        <f>EXP(-LN(2)/2)*AB178+(1-EXP(-LN(2)/2))/(LN(2)/2)*V179*Y179*VLOOKUP('Données projet'!$B$9,Paramètres!$A$1:$I$89,3,0)*0.475*44/12</f>
        <v>4.5584277787015091E-23</v>
      </c>
      <c r="AC179" s="22">
        <f t="shared" si="163"/>
        <v>19.984762739389566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636.99999999999977</v>
      </c>
      <c r="AJ179" s="13">
        <f>AI179*VLOOKUP('Données projet'!$B$10,Paramètres!$A$1:$I$89,3,0)*VLOOKUP('Données projet'!$B$10,Paramètres!$A$1:$I$89,5,0)</f>
        <v>356.08299999999991</v>
      </c>
      <c r="AK179" s="13">
        <f t="shared" si="164"/>
        <v>82.813805255716545</v>
      </c>
      <c r="AL179" s="20">
        <f t="shared" si="165"/>
        <v>764.41193582037283</v>
      </c>
      <c r="AM179" s="59">
        <f t="shared" si="113"/>
        <v>1057.7452691537062</v>
      </c>
      <c r="AN179" s="59">
        <f ca="1">AVERAGE(OFFSET($AM$3,0,0,'Données projet'!$E$10+1,1))-AVERAGE(OFFSET($H$3,0,0,'Données projet'!$E$10+1,1))</f>
        <v>382.55387448074327</v>
      </c>
      <c r="AO179" s="59">
        <f t="shared" si="144"/>
        <v>476.29465646955543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9.8249702208311707</v>
      </c>
      <c r="AV179" s="21">
        <f>EXP(-LN(2)/25)*AV178+(1-EXP(-LN(2)/25))/(LN(2)/25)*Calculateur!AQ179*Calculateur!AS179*VLOOKUP('Données projet'!$B$10,Paramètres!$A$1:$I$89,3,0)*0.475*44/12</f>
        <v>0.38297293297259333</v>
      </c>
      <c r="AW179" s="21">
        <f>EXP(-LN(2)/2)*AW178+(1-EXP(-LN(2)/2))/(LN(2)/2)*AQ179*AT179*VLOOKUP('Données projet'!$B$10,Paramètres!$A$1:$I$89,3,0)*0.475*44/12</f>
        <v>6.3970012309091844E-22</v>
      </c>
      <c r="AX179" s="21">
        <f t="shared" si="166"/>
        <v>10.207943153803765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267</v>
      </c>
      <c r="BE179" s="13">
        <f>BD179*VLOOKUP('Données projet'!$B$11,Paramètres!$A$1:$I$89,3,0)*VLOOKUP('Données projet'!$B$11,Paramètres!$A$1:$I$89,5,0)</f>
        <v>270.738</v>
      </c>
      <c r="BF179" s="13">
        <f t="shared" si="167"/>
        <v>65.005866623551711</v>
      </c>
      <c r="BG179" s="20">
        <f t="shared" si="168"/>
        <v>584.7539010360191</v>
      </c>
      <c r="BH179" s="59">
        <f t="shared" si="116"/>
        <v>878.08723436935247</v>
      </c>
      <c r="BI179" s="59">
        <f ca="1">AVERAGE(OFFSET($BH$3,0,0,'Données projet'!$E$11+1,1))-AVERAGE(OFFSET($H$3,0,0,'Données projet'!$E$11+1,1))</f>
        <v>308.80022073574963</v>
      </c>
      <c r="BJ179" s="59">
        <f t="shared" si="146"/>
        <v>183.96267407004115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25.309120449646841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25.309120449646841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795.00000000000068</v>
      </c>
      <c r="O180" s="13">
        <f>N180*VLOOKUP('Données projet'!$B$9,Paramètres!$A$1:$I$89,3,0)*VLOOKUP('Données projet'!$B$9,Paramètres!$A$1:$I$89,5,0)</f>
        <v>372.06000000000029</v>
      </c>
      <c r="P180" s="13">
        <f t="shared" si="141"/>
        <v>86.088609967897526</v>
      </c>
      <c r="Q180" s="20">
        <f t="shared" si="162"/>
        <v>797.94216236075533</v>
      </c>
      <c r="R180" s="59">
        <f t="shared" si="109"/>
        <v>1091.2754956940887</v>
      </c>
      <c r="S180" s="59">
        <f ca="1">AVERAGE(OFFSET($R$3,0,0,'Données projet'!$E$9+1,1))-AVERAGE(OFFSET($H$3,0,0,'Données projet'!$E$9+1,1))</f>
        <v>379.12827535040157</v>
      </c>
      <c r="T180" s="59">
        <f t="shared" si="142"/>
        <v>317.29813413796956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18.830663101360116</v>
      </c>
      <c r="AA180" s="21">
        <f>EXP(-LN(2)/25)*AA179+(1-EXP(-LN(2)/25))/(LN(2)/25)*Calculateur!V180*Calculateur!X180*VLOOKUP('Données projet'!$B$9,Paramètres!$A$1:$I$89,3,0)*0.475*44/12</f>
        <v>0.75619649242781606</v>
      </c>
      <c r="AB180" s="21">
        <f>EXP(-LN(2)/2)*AB179+(1-EXP(-LN(2)/2))/(LN(2)/2)*V180*Y180*VLOOKUP('Données projet'!$B$9,Paramètres!$A$1:$I$89,3,0)*0.475*44/12</f>
        <v>3.2232951938689679E-23</v>
      </c>
      <c r="AC180" s="22">
        <f t="shared" si="163"/>
        <v>19.586859593787931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636.99999999999977</v>
      </c>
      <c r="AJ180" s="13">
        <f>AI180*VLOOKUP('Données projet'!$B$10,Paramètres!$A$1:$I$89,3,0)*VLOOKUP('Données projet'!$B$10,Paramètres!$A$1:$I$89,5,0)</f>
        <v>356.08299999999991</v>
      </c>
      <c r="AK180" s="13">
        <f t="shared" si="164"/>
        <v>82.813805255716545</v>
      </c>
      <c r="AL180" s="20">
        <f t="shared" si="165"/>
        <v>764.41193582037283</v>
      </c>
      <c r="AM180" s="59">
        <f t="shared" si="113"/>
        <v>1057.7452691537062</v>
      </c>
      <c r="AN180" s="59">
        <f ca="1">AVERAGE(OFFSET($AM$3,0,0,'Données projet'!$E$10+1,1))-AVERAGE(OFFSET($H$3,0,0,'Données projet'!$E$10+1,1))</f>
        <v>382.55387448074327</v>
      </c>
      <c r="AO180" s="59">
        <f t="shared" si="144"/>
        <v>476.29465646955543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9.6323085474407826</v>
      </c>
      <c r="AV180" s="21">
        <f>EXP(-LN(2)/25)*AV179+(1-EXP(-LN(2)/25))/(LN(2)/25)*Calculateur!AQ180*Calculateur!AS180*VLOOKUP('Données projet'!$B$10,Paramètres!$A$1:$I$89,3,0)*0.475*44/12</f>
        <v>0.37250051798078654</v>
      </c>
      <c r="AW180" s="21">
        <f>EXP(-LN(2)/2)*AW179+(1-EXP(-LN(2)/2))/(LN(2)/2)*AQ180*AT180*VLOOKUP('Données projet'!$B$10,Paramètres!$A$1:$I$89,3,0)*0.475*44/12</f>
        <v>4.5233629496345758E-22</v>
      </c>
      <c r="AX180" s="21">
        <f t="shared" si="166"/>
        <v>10.004809065421568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267</v>
      </c>
      <c r="BE180" s="13">
        <f>BD180*VLOOKUP('Données projet'!$B$11,Paramètres!$A$1:$I$89,3,0)*VLOOKUP('Données projet'!$B$11,Paramètres!$A$1:$I$89,5,0)</f>
        <v>270.738</v>
      </c>
      <c r="BF180" s="13">
        <f t="shared" si="167"/>
        <v>65.005866623551711</v>
      </c>
      <c r="BG180" s="20">
        <f t="shared" si="168"/>
        <v>584.7539010360191</v>
      </c>
      <c r="BH180" s="59">
        <f t="shared" si="116"/>
        <v>878.08723436935247</v>
      </c>
      <c r="BI180" s="59">
        <f ca="1">AVERAGE(OFFSET($BH$3,0,0,'Données projet'!$E$11+1,1))-AVERAGE(OFFSET($H$3,0,0,'Données projet'!$E$11+1,1))</f>
        <v>308.80022073574963</v>
      </c>
      <c r="BJ180" s="59">
        <f t="shared" si="146"/>
        <v>183.96267407004115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24.812824034668459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24.812824034668459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795.00000000000068</v>
      </c>
      <c r="O181" s="13">
        <f>N181*VLOOKUP('Données projet'!$B$9,Paramètres!$A$1:$I$89,3,0)*VLOOKUP('Données projet'!$B$9,Paramètres!$A$1:$I$89,5,0)</f>
        <v>372.06000000000029</v>
      </c>
      <c r="P181" s="13">
        <f t="shared" si="141"/>
        <v>86.088609967897526</v>
      </c>
      <c r="Q181" s="20">
        <f t="shared" si="162"/>
        <v>797.94216236075533</v>
      </c>
      <c r="R181" s="59">
        <f t="shared" si="109"/>
        <v>1091.2754956940887</v>
      </c>
      <c r="S181" s="59">
        <f ca="1">AVERAGE(OFFSET($R$3,0,0,'Données projet'!$E$9+1,1))-AVERAGE(OFFSET($H$3,0,0,'Données projet'!$E$9+1,1))</f>
        <v>379.12827535040157</v>
      </c>
      <c r="T181" s="59">
        <f t="shared" si="142"/>
        <v>317.29813413796956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18.461405283512832</v>
      </c>
      <c r="AA181" s="21">
        <f>EXP(-LN(2)/25)*AA180+(1-EXP(-LN(2)/25))/(LN(2)/25)*Calculateur!V181*Calculateur!X181*VLOOKUP('Données projet'!$B$9,Paramètres!$A$1:$I$89,3,0)*0.475*44/12</f>
        <v>0.73551825957573225</v>
      </c>
      <c r="AB181" s="21">
        <f>EXP(-LN(2)/2)*AB180+(1-EXP(-LN(2)/2))/(LN(2)/2)*V181*Y181*VLOOKUP('Données projet'!$B$9,Paramètres!$A$1:$I$89,3,0)*0.475*44/12</f>
        <v>2.2792138893507546E-23</v>
      </c>
      <c r="AC181" s="22">
        <f t="shared" si="163"/>
        <v>19.196923543088563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636.99999999999977</v>
      </c>
      <c r="AJ181" s="13">
        <f>AI181*VLOOKUP('Données projet'!$B$10,Paramètres!$A$1:$I$89,3,0)*VLOOKUP('Données projet'!$B$10,Paramètres!$A$1:$I$89,5,0)</f>
        <v>356.08299999999991</v>
      </c>
      <c r="AK181" s="13">
        <f t="shared" si="164"/>
        <v>82.813805255716545</v>
      </c>
      <c r="AL181" s="20">
        <f t="shared" si="165"/>
        <v>764.41193582037283</v>
      </c>
      <c r="AM181" s="59">
        <f t="shared" si="113"/>
        <v>1057.7452691537062</v>
      </c>
      <c r="AN181" s="59">
        <f ca="1">AVERAGE(OFFSET($AM$3,0,0,'Données projet'!$E$10+1,1))-AVERAGE(OFFSET($H$3,0,0,'Données projet'!$E$10+1,1))</f>
        <v>382.55387448074327</v>
      </c>
      <c r="AO181" s="59">
        <f t="shared" si="144"/>
        <v>476.29465646955543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9.4434248519535622</v>
      </c>
      <c r="AV181" s="21">
        <f>EXP(-LN(2)/25)*AV180+(1-EXP(-LN(2)/25))/(LN(2)/25)*Calculateur!AQ181*Calculateur!AS181*VLOOKUP('Données projet'!$B$10,Paramètres!$A$1:$I$89,3,0)*0.475*44/12</f>
        <v>0.36231447172765108</v>
      </c>
      <c r="AW181" s="21">
        <f>EXP(-LN(2)/2)*AW180+(1-EXP(-LN(2)/2))/(LN(2)/2)*AQ181*AT181*VLOOKUP('Données projet'!$B$10,Paramètres!$A$1:$I$89,3,0)*0.475*44/12</f>
        <v>3.1985006154545922E-22</v>
      </c>
      <c r="AX181" s="21">
        <f t="shared" si="166"/>
        <v>9.8057393236812125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267</v>
      </c>
      <c r="BE181" s="13">
        <f>BD181*VLOOKUP('Données projet'!$B$11,Paramètres!$A$1:$I$89,3,0)*VLOOKUP('Données projet'!$B$11,Paramètres!$A$1:$I$89,5,0)</f>
        <v>270.738</v>
      </c>
      <c r="BF181" s="13">
        <f t="shared" si="167"/>
        <v>65.005866623551711</v>
      </c>
      <c r="BG181" s="20">
        <f t="shared" si="168"/>
        <v>584.7539010360191</v>
      </c>
      <c r="BH181" s="59">
        <f t="shared" si="116"/>
        <v>878.08723436935247</v>
      </c>
      <c r="BI181" s="59">
        <f ca="1">AVERAGE(OFFSET($BH$3,0,0,'Données projet'!$E$11+1,1))-AVERAGE(OFFSET($H$3,0,0,'Données projet'!$E$11+1,1))</f>
        <v>308.80022073574963</v>
      </c>
      <c r="BJ181" s="59">
        <f t="shared" si="146"/>
        <v>183.96267407004115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24.326259689676881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24.326259689676881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795.00000000000068</v>
      </c>
      <c r="O182" s="13">
        <f>N182*VLOOKUP('Données projet'!$B$9,Paramètres!$A$1:$I$89,3,0)*VLOOKUP('Données projet'!$B$9,Paramètres!$A$1:$I$89,5,0)</f>
        <v>372.06000000000029</v>
      </c>
      <c r="P182" s="13">
        <f t="shared" si="141"/>
        <v>86.088609967897526</v>
      </c>
      <c r="Q182" s="20">
        <f t="shared" si="162"/>
        <v>797.94216236075533</v>
      </c>
      <c r="R182" s="59">
        <f t="shared" si="109"/>
        <v>1091.2754956940887</v>
      </c>
      <c r="S182" s="59">
        <f ca="1">AVERAGE(OFFSET($R$3,0,0,'Données projet'!$E$9+1,1))-AVERAGE(OFFSET($H$3,0,0,'Données projet'!$E$9+1,1))</f>
        <v>379.12827535040157</v>
      </c>
      <c r="T182" s="59">
        <f t="shared" si="142"/>
        <v>317.29813413796956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18.099388386248503</v>
      </c>
      <c r="AA182" s="21">
        <f>EXP(-LN(2)/25)*AA181+(1-EXP(-LN(2)/25))/(LN(2)/25)*Calculateur!V182*Calculateur!X182*VLOOKUP('Données projet'!$B$9,Paramètres!$A$1:$I$89,3,0)*0.475*44/12</f>
        <v>0.7154054740884096</v>
      </c>
      <c r="AB182" s="21">
        <f>EXP(-LN(2)/2)*AB181+(1-EXP(-LN(2)/2))/(LN(2)/2)*V182*Y182*VLOOKUP('Données projet'!$B$9,Paramètres!$A$1:$I$89,3,0)*0.475*44/12</f>
        <v>1.6116475969344839E-23</v>
      </c>
      <c r="AC182" s="22">
        <f t="shared" si="163"/>
        <v>18.814793860336913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636.99999999999977</v>
      </c>
      <c r="AJ182" s="13">
        <f>AI182*VLOOKUP('Données projet'!$B$10,Paramètres!$A$1:$I$89,3,0)*VLOOKUP('Données projet'!$B$10,Paramètres!$A$1:$I$89,5,0)</f>
        <v>356.08299999999991</v>
      </c>
      <c r="AK182" s="13">
        <f t="shared" si="164"/>
        <v>82.813805255716545</v>
      </c>
      <c r="AL182" s="20">
        <f t="shared" si="165"/>
        <v>764.41193582037283</v>
      </c>
      <c r="AM182" s="59">
        <f t="shared" si="113"/>
        <v>1057.7452691537062</v>
      </c>
      <c r="AN182" s="59">
        <f ca="1">AVERAGE(OFFSET($AM$3,0,0,'Données projet'!$E$10+1,1))-AVERAGE(OFFSET($H$3,0,0,'Données projet'!$E$10+1,1))</f>
        <v>382.55387448074327</v>
      </c>
      <c r="AO182" s="59">
        <f t="shared" si="144"/>
        <v>476.29465646955543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9.258245050527167</v>
      </c>
      <c r="AV182" s="21">
        <f>EXP(-LN(2)/25)*AV181+(1-EXP(-LN(2)/25))/(LN(2)/25)*Calculateur!AQ182*Calculateur!AS182*VLOOKUP('Données projet'!$B$10,Paramètres!$A$1:$I$89,3,0)*0.475*44/12</f>
        <v>0.35240696344496847</v>
      </c>
      <c r="AW182" s="21">
        <f>EXP(-LN(2)/2)*AW181+(1-EXP(-LN(2)/2))/(LN(2)/2)*AQ182*AT182*VLOOKUP('Données projet'!$B$10,Paramètres!$A$1:$I$89,3,0)*0.475*44/12</f>
        <v>2.2616814748172879E-22</v>
      </c>
      <c r="AX182" s="21">
        <f t="shared" si="166"/>
        <v>9.6106520139721354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267</v>
      </c>
      <c r="BE182" s="13">
        <f>BD182*VLOOKUP('Données projet'!$B$11,Paramètres!$A$1:$I$89,3,0)*VLOOKUP('Données projet'!$B$11,Paramètres!$A$1:$I$89,5,0)</f>
        <v>270.738</v>
      </c>
      <c r="BF182" s="13">
        <f t="shared" si="167"/>
        <v>65.005866623551711</v>
      </c>
      <c r="BG182" s="20">
        <f t="shared" si="168"/>
        <v>584.7539010360191</v>
      </c>
      <c r="BH182" s="59">
        <f t="shared" si="116"/>
        <v>878.08723436935247</v>
      </c>
      <c r="BI182" s="59">
        <f ca="1">AVERAGE(OFFSET($BH$3,0,0,'Données projet'!$E$11+1,1))-AVERAGE(OFFSET($H$3,0,0,'Données projet'!$E$11+1,1))</f>
        <v>308.80022073574963</v>
      </c>
      <c r="BJ182" s="59">
        <f t="shared" si="146"/>
        <v>183.96267407004115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23.84923657471564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23.84923657471564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795.00000000000068</v>
      </c>
      <c r="O183" s="13">
        <f>N183*VLOOKUP('Données projet'!$B$9,Paramètres!$A$1:$I$89,3,0)*VLOOKUP('Données projet'!$B$9,Paramètres!$A$1:$I$89,5,0)</f>
        <v>372.06000000000029</v>
      </c>
      <c r="P183" s="13">
        <f t="shared" si="141"/>
        <v>86.088609967897526</v>
      </c>
      <c r="Q183" s="20">
        <f t="shared" si="162"/>
        <v>797.94216236075533</v>
      </c>
      <c r="R183" s="59">
        <f t="shared" si="109"/>
        <v>1091.2754956940887</v>
      </c>
      <c r="S183" s="59">
        <f ca="1">AVERAGE(OFFSET($R$3,0,0,'Données projet'!$E$9+1,1))-AVERAGE(OFFSET($H$3,0,0,'Données projet'!$E$9+1,1))</f>
        <v>379.12827535040157</v>
      </c>
      <c r="T183" s="59">
        <f t="shared" si="142"/>
        <v>317.29813413796956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17.744470419531023</v>
      </c>
      <c r="AA183" s="21">
        <f>EXP(-LN(2)/25)*AA182+(1-EXP(-LN(2)/25))/(LN(2)/25)*Calculateur!V183*Calculateur!X183*VLOOKUP('Données projet'!$B$9,Paramètres!$A$1:$I$89,3,0)*0.475*44/12</f>
        <v>0.69584267377792319</v>
      </c>
      <c r="AB183" s="21">
        <f>EXP(-LN(2)/2)*AB182+(1-EXP(-LN(2)/2))/(LN(2)/2)*V183*Y183*VLOOKUP('Données projet'!$B$9,Paramètres!$A$1:$I$89,3,0)*0.475*44/12</f>
        <v>1.1396069446753773E-23</v>
      </c>
      <c r="AC183" s="22">
        <f t="shared" si="163"/>
        <v>18.440313093308948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636.99999999999977</v>
      </c>
      <c r="AJ183" s="13">
        <f>AI183*VLOOKUP('Données projet'!$B$10,Paramètres!$A$1:$I$89,3,0)*VLOOKUP('Données projet'!$B$10,Paramètres!$A$1:$I$89,5,0)</f>
        <v>356.08299999999991</v>
      </c>
      <c r="AK183" s="13">
        <f t="shared" si="164"/>
        <v>82.813805255716545</v>
      </c>
      <c r="AL183" s="20">
        <f t="shared" si="165"/>
        <v>764.41193582037283</v>
      </c>
      <c r="AM183" s="59">
        <f t="shared" si="113"/>
        <v>1057.7452691537062</v>
      </c>
      <c r="AN183" s="59">
        <f ca="1">AVERAGE(OFFSET($AM$3,0,0,'Données projet'!$E$10+1,1))-AVERAGE(OFFSET($H$3,0,0,'Données projet'!$E$10+1,1))</f>
        <v>382.55387448074327</v>
      </c>
      <c r="AO183" s="59">
        <f t="shared" si="144"/>
        <v>476.29465646955543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9.0766965120582181</v>
      </c>
      <c r="AV183" s="21">
        <f>EXP(-LN(2)/25)*AV182+(1-EXP(-LN(2)/25))/(LN(2)/25)*Calculateur!AQ183*Calculateur!AS183*VLOOKUP('Données projet'!$B$10,Paramètres!$A$1:$I$89,3,0)*0.475*44/12</f>
        <v>0.34277037649728903</v>
      </c>
      <c r="AW183" s="21">
        <f>EXP(-LN(2)/2)*AW182+(1-EXP(-LN(2)/2))/(LN(2)/2)*AQ183*AT183*VLOOKUP('Données projet'!$B$10,Paramètres!$A$1:$I$89,3,0)*0.475*44/12</f>
        <v>1.5992503077272961E-22</v>
      </c>
      <c r="AX183" s="21">
        <f t="shared" si="166"/>
        <v>9.4194668885555064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267</v>
      </c>
      <c r="BE183" s="13">
        <f>BD183*VLOOKUP('Données projet'!$B$11,Paramètres!$A$1:$I$89,3,0)*VLOOKUP('Données projet'!$B$11,Paramètres!$A$1:$I$89,5,0)</f>
        <v>270.738</v>
      </c>
      <c r="BF183" s="13">
        <f t="shared" si="167"/>
        <v>65.005866623551711</v>
      </c>
      <c r="BG183" s="20">
        <f t="shared" si="168"/>
        <v>584.7539010360191</v>
      </c>
      <c r="BH183" s="59">
        <f t="shared" si="116"/>
        <v>878.08723436935247</v>
      </c>
      <c r="BI183" s="59">
        <f ca="1">AVERAGE(OFFSET($BH$3,0,0,'Données projet'!$E$11+1,1))-AVERAGE(OFFSET($H$3,0,0,'Données projet'!$E$11+1,1))</f>
        <v>308.80022073574963</v>
      </c>
      <c r="BJ183" s="59">
        <f t="shared" si="146"/>
        <v>183.96267407004115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23.381567592083421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23.381567592083421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795.00000000000068</v>
      </c>
      <c r="O184" s="13">
        <f>N184*VLOOKUP('Données projet'!$B$9,Paramètres!$A$1:$I$89,3,0)*VLOOKUP('Données projet'!$B$9,Paramètres!$A$1:$I$89,5,0)</f>
        <v>372.06000000000029</v>
      </c>
      <c r="P184" s="13">
        <f t="shared" si="141"/>
        <v>86.088609967897526</v>
      </c>
      <c r="Q184" s="20">
        <f t="shared" si="162"/>
        <v>797.94216236075533</v>
      </c>
      <c r="R184" s="59">
        <f t="shared" si="109"/>
        <v>1091.2754956940887</v>
      </c>
      <c r="S184" s="59">
        <f ca="1">AVERAGE(OFFSET($R$3,0,0,'Données projet'!$E$9+1,1))-AVERAGE(OFFSET($H$3,0,0,'Données projet'!$E$9+1,1))</f>
        <v>379.12827535040157</v>
      </c>
      <c r="T184" s="59">
        <f t="shared" si="142"/>
        <v>317.29813413796956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17.396512177662288</v>
      </c>
      <c r="AA184" s="21">
        <f>EXP(-LN(2)/25)*AA183+(1-EXP(-LN(2)/25))/(LN(2)/25)*Calculateur!V184*Calculateur!X184*VLOOKUP('Données projet'!$B$9,Paramètres!$A$1:$I$89,3,0)*0.475*44/12</f>
        <v>0.67681481927069009</v>
      </c>
      <c r="AB184" s="21">
        <f>EXP(-LN(2)/2)*AB183+(1-EXP(-LN(2)/2))/(LN(2)/2)*V184*Y184*VLOOKUP('Données projet'!$B$9,Paramètres!$A$1:$I$89,3,0)*0.475*44/12</f>
        <v>8.0582379846724196E-24</v>
      </c>
      <c r="AC184" s="22">
        <f t="shared" si="163"/>
        <v>18.073326996932977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636.99999999999977</v>
      </c>
      <c r="AJ184" s="13">
        <f>AI184*VLOOKUP('Données projet'!$B$10,Paramètres!$A$1:$I$89,3,0)*VLOOKUP('Données projet'!$B$10,Paramètres!$A$1:$I$89,5,0)</f>
        <v>356.08299999999991</v>
      </c>
      <c r="AK184" s="13">
        <f t="shared" si="164"/>
        <v>82.813805255716545</v>
      </c>
      <c r="AL184" s="20">
        <f t="shared" si="165"/>
        <v>764.41193582037283</v>
      </c>
      <c r="AM184" s="59">
        <f t="shared" si="113"/>
        <v>1057.7452691537062</v>
      </c>
      <c r="AN184" s="59">
        <f ca="1">AVERAGE(OFFSET($AM$3,0,0,'Données projet'!$E$10+1,1))-AVERAGE(OFFSET($H$3,0,0,'Données projet'!$E$10+1,1))</f>
        <v>382.55387448074327</v>
      </c>
      <c r="AO184" s="59">
        <f t="shared" si="144"/>
        <v>476.29465646955543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8.898708029694971</v>
      </c>
      <c r="AV184" s="21">
        <f>EXP(-LN(2)/25)*AV183+(1-EXP(-LN(2)/25))/(LN(2)/25)*Calculateur!AQ184*Calculateur!AS184*VLOOKUP('Données projet'!$B$10,Paramètres!$A$1:$I$89,3,0)*0.475*44/12</f>
        <v>0.33339730252645999</v>
      </c>
      <c r="AW184" s="21">
        <f>EXP(-LN(2)/2)*AW183+(1-EXP(-LN(2)/2))/(LN(2)/2)*AQ184*AT184*VLOOKUP('Données projet'!$B$10,Paramètres!$A$1:$I$89,3,0)*0.475*44/12</f>
        <v>1.1308407374086439E-22</v>
      </c>
      <c r="AX184" s="21">
        <f t="shared" si="166"/>
        <v>9.2321053322214315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267</v>
      </c>
      <c r="BE184" s="13">
        <f>BD184*VLOOKUP('Données projet'!$B$11,Paramètres!$A$1:$I$89,3,0)*VLOOKUP('Données projet'!$B$11,Paramètres!$A$1:$I$89,5,0)</f>
        <v>270.738</v>
      </c>
      <c r="BF184" s="13">
        <f t="shared" si="167"/>
        <v>65.005866623551711</v>
      </c>
      <c r="BG184" s="20">
        <f t="shared" si="168"/>
        <v>584.7539010360191</v>
      </c>
      <c r="BH184" s="59">
        <f t="shared" si="116"/>
        <v>878.08723436935247</v>
      </c>
      <c r="BI184" s="59">
        <f ca="1">AVERAGE(OFFSET($BH$3,0,0,'Données projet'!$E$11+1,1))-AVERAGE(OFFSET($H$3,0,0,'Données projet'!$E$11+1,1))</f>
        <v>308.80022073574963</v>
      </c>
      <c r="BJ184" s="59">
        <f t="shared" si="146"/>
        <v>183.96267407004115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22.923069312950705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22.923069312950705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795.00000000000068</v>
      </c>
      <c r="O185" s="13">
        <f>N185*VLOOKUP('Données projet'!$B$9,Paramètres!$A$1:$I$89,3,0)*VLOOKUP('Données projet'!$B$9,Paramètres!$A$1:$I$89,5,0)</f>
        <v>372.06000000000029</v>
      </c>
      <c r="P185" s="13">
        <f t="shared" si="141"/>
        <v>86.088609967897526</v>
      </c>
      <c r="Q185" s="20">
        <f t="shared" si="162"/>
        <v>797.94216236075533</v>
      </c>
      <c r="R185" s="59">
        <f t="shared" si="109"/>
        <v>1091.2754956940887</v>
      </c>
      <c r="S185" s="59">
        <f ca="1">AVERAGE(OFFSET($R$3,0,0,'Données projet'!$E$9+1,1))-AVERAGE(OFFSET($H$3,0,0,'Données projet'!$E$9+1,1))</f>
        <v>379.12827535040157</v>
      </c>
      <c r="T185" s="59">
        <f t="shared" si="142"/>
        <v>317.29813413796956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17.055377184683028</v>
      </c>
      <c r="AA185" s="21">
        <f>EXP(-LN(2)/25)*AA184+(1-EXP(-LN(2)/25))/(LN(2)/25)*Calculateur!V185*Calculateur!X185*VLOOKUP('Données projet'!$B$9,Paramètres!$A$1:$I$89,3,0)*0.475*44/12</f>
        <v>0.65830728244558856</v>
      </c>
      <c r="AB185" s="21">
        <f>EXP(-LN(2)/2)*AB184+(1-EXP(-LN(2)/2))/(LN(2)/2)*V185*Y185*VLOOKUP('Données projet'!$B$9,Paramètres!$A$1:$I$89,3,0)*0.475*44/12</f>
        <v>5.6980347233768864E-24</v>
      </c>
      <c r="AC185" s="22">
        <f t="shared" si="163"/>
        <v>17.713684467128616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636.99999999999977</v>
      </c>
      <c r="AJ185" s="13">
        <f>AI185*VLOOKUP('Données projet'!$B$10,Paramètres!$A$1:$I$89,3,0)*VLOOKUP('Données projet'!$B$10,Paramètres!$A$1:$I$89,5,0)</f>
        <v>356.08299999999991</v>
      </c>
      <c r="AK185" s="13">
        <f t="shared" si="164"/>
        <v>82.813805255716545</v>
      </c>
      <c r="AL185" s="20">
        <f t="shared" si="165"/>
        <v>764.41193582037283</v>
      </c>
      <c r="AM185" s="59">
        <f t="shared" si="113"/>
        <v>1057.7452691537062</v>
      </c>
      <c r="AN185" s="59">
        <f ca="1">AVERAGE(OFFSET($AM$3,0,0,'Données projet'!$E$10+1,1))-AVERAGE(OFFSET($H$3,0,0,'Données projet'!$E$10+1,1))</f>
        <v>382.55387448074327</v>
      </c>
      <c r="AO185" s="59">
        <f t="shared" si="144"/>
        <v>476.29465646955543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8.7242097929086118</v>
      </c>
      <c r="AV185" s="21">
        <f>EXP(-LN(2)/25)*AV184+(1-EXP(-LN(2)/25))/(LN(2)/25)*Calculateur!AQ185*Calculateur!AS185*VLOOKUP('Données projet'!$B$10,Paramètres!$A$1:$I$89,3,0)*0.475*44/12</f>
        <v>0.3242805357562718</v>
      </c>
      <c r="AW185" s="21">
        <f>EXP(-LN(2)/2)*AW184+(1-EXP(-LN(2)/2))/(LN(2)/2)*AQ185*AT185*VLOOKUP('Données projet'!$B$10,Paramètres!$A$1:$I$89,3,0)*0.475*44/12</f>
        <v>7.9962515386364805E-23</v>
      </c>
      <c r="AX185" s="21">
        <f t="shared" si="166"/>
        <v>9.048490328664883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267</v>
      </c>
      <c r="BE185" s="13">
        <f>BD185*VLOOKUP('Données projet'!$B$11,Paramètres!$A$1:$I$89,3,0)*VLOOKUP('Données projet'!$B$11,Paramètres!$A$1:$I$89,5,0)</f>
        <v>270.738</v>
      </c>
      <c r="BF185" s="13">
        <f t="shared" si="167"/>
        <v>65.005866623551711</v>
      </c>
      <c r="BG185" s="20">
        <f t="shared" si="168"/>
        <v>584.7539010360191</v>
      </c>
      <c r="BH185" s="59">
        <f t="shared" si="116"/>
        <v>878.08723436935247</v>
      </c>
      <c r="BI185" s="59">
        <f ca="1">AVERAGE(OFFSET($BH$3,0,0,'Données projet'!$E$11+1,1))-AVERAGE(OFFSET($H$3,0,0,'Données projet'!$E$11+1,1))</f>
        <v>308.80022073574963</v>
      </c>
      <c r="BJ185" s="59">
        <f t="shared" si="146"/>
        <v>183.96267407004115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22.473561905415444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22.473561905415444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795.00000000000068</v>
      </c>
      <c r="O186" s="13">
        <f>N186*VLOOKUP('Données projet'!$B$9,Paramètres!$A$1:$I$89,3,0)*VLOOKUP('Données projet'!$B$9,Paramètres!$A$1:$I$89,5,0)</f>
        <v>372.06000000000029</v>
      </c>
      <c r="P186" s="13">
        <f t="shared" si="141"/>
        <v>86.088609967897526</v>
      </c>
      <c r="Q186" s="20">
        <f t="shared" si="162"/>
        <v>797.94216236075533</v>
      </c>
      <c r="R186" s="59">
        <f t="shared" si="109"/>
        <v>1091.2754956940887</v>
      </c>
      <c r="S186" s="59">
        <f ca="1">AVERAGE(OFFSET($R$3,0,0,'Données projet'!$E$9+1,1))-AVERAGE(OFFSET($H$3,0,0,'Données projet'!$E$9+1,1))</f>
        <v>379.12827535040157</v>
      </c>
      <c r="T186" s="59">
        <f t="shared" si="142"/>
        <v>317.29813413796956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16.720931640844292</v>
      </c>
      <c r="AA186" s="21">
        <f>EXP(-LN(2)/25)*AA185+(1-EXP(-LN(2)/25))/(LN(2)/25)*Calculateur!V186*Calculateur!X186*VLOOKUP('Données projet'!$B$9,Paramètres!$A$1:$I$89,3,0)*0.475*44/12</f>
        <v>0.64030583518823858</v>
      </c>
      <c r="AB186" s="21">
        <f>EXP(-LN(2)/2)*AB185+(1-EXP(-LN(2)/2))/(LN(2)/2)*V186*Y186*VLOOKUP('Données projet'!$B$9,Paramètres!$A$1:$I$89,3,0)*0.475*44/12</f>
        <v>4.0291189923362098E-24</v>
      </c>
      <c r="AC186" s="22">
        <f t="shared" si="163"/>
        <v>17.361237476032532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636.99999999999977</v>
      </c>
      <c r="AJ186" s="13">
        <f>AI186*VLOOKUP('Données projet'!$B$10,Paramètres!$A$1:$I$89,3,0)*VLOOKUP('Données projet'!$B$10,Paramètres!$A$1:$I$89,5,0)</f>
        <v>356.08299999999991</v>
      </c>
      <c r="AK186" s="13">
        <f t="shared" si="164"/>
        <v>82.813805255716545</v>
      </c>
      <c r="AL186" s="20">
        <f t="shared" si="165"/>
        <v>764.41193582037283</v>
      </c>
      <c r="AM186" s="59">
        <f t="shared" si="113"/>
        <v>1057.7452691537062</v>
      </c>
      <c r="AN186" s="59">
        <f ca="1">AVERAGE(OFFSET($AM$3,0,0,'Données projet'!$E$10+1,1))-AVERAGE(OFFSET($H$3,0,0,'Données projet'!$E$10+1,1))</f>
        <v>382.55387448074327</v>
      </c>
      <c r="AO186" s="59">
        <f t="shared" si="144"/>
        <v>476.29465646955543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8.5531333601122181</v>
      </c>
      <c r="AV186" s="21">
        <f>EXP(-LN(2)/25)*AV185+(1-EXP(-LN(2)/25))/(LN(2)/25)*Calculateur!AQ186*Calculateur!AS186*VLOOKUP('Données projet'!$B$10,Paramètres!$A$1:$I$89,3,0)*0.475*44/12</f>
        <v>0.31541306745284431</v>
      </c>
      <c r="AW186" s="21">
        <f>EXP(-LN(2)/2)*AW185+(1-EXP(-LN(2)/2))/(LN(2)/2)*AQ186*AT186*VLOOKUP('Données projet'!$B$10,Paramètres!$A$1:$I$89,3,0)*0.475*44/12</f>
        <v>5.6542036870432197E-23</v>
      </c>
      <c r="AX186" s="21">
        <f t="shared" si="166"/>
        <v>8.8685464275650627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267</v>
      </c>
      <c r="BE186" s="13">
        <f>BD186*VLOOKUP('Données projet'!$B$11,Paramètres!$A$1:$I$89,3,0)*VLOOKUP('Données projet'!$B$11,Paramètres!$A$1:$I$89,5,0)</f>
        <v>270.738</v>
      </c>
      <c r="BF186" s="13">
        <f t="shared" si="167"/>
        <v>65.005866623551711</v>
      </c>
      <c r="BG186" s="20">
        <f t="shared" si="168"/>
        <v>584.7539010360191</v>
      </c>
      <c r="BH186" s="59">
        <f t="shared" si="116"/>
        <v>878.08723436935247</v>
      </c>
      <c r="BI186" s="59">
        <f ca="1">AVERAGE(OFFSET($BH$3,0,0,'Données projet'!$E$11+1,1))-AVERAGE(OFFSET($H$3,0,0,'Données projet'!$E$11+1,1))</f>
        <v>308.80022073574963</v>
      </c>
      <c r="BJ186" s="59">
        <f t="shared" si="146"/>
        <v>183.96267407004115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22.032869063969503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22.032869063969503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795.00000000000068</v>
      </c>
      <c r="O187" s="13">
        <f>N187*VLOOKUP('Données projet'!$B$9,Paramètres!$A$1:$I$89,3,0)*VLOOKUP('Données projet'!$B$9,Paramètres!$A$1:$I$89,5,0)</f>
        <v>372.06000000000029</v>
      </c>
      <c r="P187" s="13">
        <f t="shared" si="141"/>
        <v>86.088609967897526</v>
      </c>
      <c r="Q187" s="20">
        <f t="shared" si="162"/>
        <v>797.94216236075533</v>
      </c>
      <c r="R187" s="59">
        <f t="shared" si="109"/>
        <v>1091.2754956940887</v>
      </c>
      <c r="S187" s="59">
        <f ca="1">AVERAGE(OFFSET($R$3,0,0,'Données projet'!$E$9+1,1))-AVERAGE(OFFSET($H$3,0,0,'Données projet'!$E$9+1,1))</f>
        <v>379.12827535040157</v>
      </c>
      <c r="T187" s="59">
        <f t="shared" si="142"/>
        <v>317.29813413796956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16.393044370128592</v>
      </c>
      <c r="AA187" s="21">
        <f>EXP(-LN(2)/25)*AA186+(1-EXP(-LN(2)/25))/(LN(2)/25)*Calculateur!V187*Calculateur!X187*VLOOKUP('Données projet'!$B$9,Paramètres!$A$1:$I$89,3,0)*0.475*44/12</f>
        <v>0.62279663845279576</v>
      </c>
      <c r="AB187" s="21">
        <f>EXP(-LN(2)/2)*AB186+(1-EXP(-LN(2)/2))/(LN(2)/2)*V187*Y187*VLOOKUP('Données projet'!$B$9,Paramètres!$A$1:$I$89,3,0)*0.475*44/12</f>
        <v>2.8490173616884432E-24</v>
      </c>
      <c r="AC187" s="22">
        <f t="shared" si="163"/>
        <v>17.01584100858139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636.99999999999977</v>
      </c>
      <c r="AJ187" s="13">
        <f>AI187*VLOOKUP('Données projet'!$B$10,Paramètres!$A$1:$I$89,3,0)*VLOOKUP('Données projet'!$B$10,Paramètres!$A$1:$I$89,5,0)</f>
        <v>356.08299999999991</v>
      </c>
      <c r="AK187" s="13">
        <f t="shared" si="164"/>
        <v>82.813805255716545</v>
      </c>
      <c r="AL187" s="20">
        <f t="shared" si="165"/>
        <v>764.41193582037283</v>
      </c>
      <c r="AM187" s="59">
        <f t="shared" si="113"/>
        <v>1057.7452691537062</v>
      </c>
      <c r="AN187" s="59">
        <f ca="1">AVERAGE(OFFSET($AM$3,0,0,'Données projet'!$E$10+1,1))-AVERAGE(OFFSET($H$3,0,0,'Données projet'!$E$10+1,1))</f>
        <v>382.55387448074327</v>
      </c>
      <c r="AO187" s="59">
        <f t="shared" si="144"/>
        <v>476.29465646955543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8.3854116318166412</v>
      </c>
      <c r="AV187" s="21">
        <f>EXP(-LN(2)/25)*AV186+(1-EXP(-LN(2)/25))/(LN(2)/25)*Calculateur!AQ187*Calculateur!AS187*VLOOKUP('Données projet'!$B$10,Paramètres!$A$1:$I$89,3,0)*0.475*44/12</f>
        <v>0.30678808053649392</v>
      </c>
      <c r="AW187" s="21">
        <f>EXP(-LN(2)/2)*AW186+(1-EXP(-LN(2)/2))/(LN(2)/2)*AQ187*AT187*VLOOKUP('Données projet'!$B$10,Paramètres!$A$1:$I$89,3,0)*0.475*44/12</f>
        <v>3.9981257693182402E-23</v>
      </c>
      <c r="AX187" s="21">
        <f t="shared" si="166"/>
        <v>8.6921997123531352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267</v>
      </c>
      <c r="BE187" s="13">
        <f>BD187*VLOOKUP('Données projet'!$B$11,Paramètres!$A$1:$I$89,3,0)*VLOOKUP('Données projet'!$B$11,Paramètres!$A$1:$I$89,5,0)</f>
        <v>270.738</v>
      </c>
      <c r="BF187" s="13">
        <f t="shared" si="167"/>
        <v>65.005866623551711</v>
      </c>
      <c r="BG187" s="20">
        <f t="shared" si="168"/>
        <v>584.7539010360191</v>
      </c>
      <c r="BH187" s="59">
        <f t="shared" si="116"/>
        <v>878.08723436935247</v>
      </c>
      <c r="BI187" s="59">
        <f ca="1">AVERAGE(OFFSET($BH$3,0,0,'Données projet'!$E$11+1,1))-AVERAGE(OFFSET($H$3,0,0,'Données projet'!$E$11+1,1))</f>
        <v>308.80022073574963</v>
      </c>
      <c r="BJ187" s="59">
        <f t="shared" si="146"/>
        <v>183.96267407004115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21.600817940348225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21.600817940348225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795.00000000000068</v>
      </c>
      <c r="O188" s="13">
        <f>N188*VLOOKUP('Données projet'!$B$9,Paramètres!$A$1:$I$89,3,0)*VLOOKUP('Données projet'!$B$9,Paramètres!$A$1:$I$89,5,0)</f>
        <v>372.06000000000029</v>
      </c>
      <c r="P188" s="13">
        <f t="shared" si="141"/>
        <v>86.088609967897526</v>
      </c>
      <c r="Q188" s="20">
        <f t="shared" si="162"/>
        <v>797.94216236075533</v>
      </c>
      <c r="R188" s="59">
        <f t="shared" si="109"/>
        <v>1091.2754956940887</v>
      </c>
      <c r="S188" s="59">
        <f ca="1">AVERAGE(OFFSET($R$3,0,0,'Données projet'!$E$9+1,1))-AVERAGE(OFFSET($H$3,0,0,'Données projet'!$E$9+1,1))</f>
        <v>379.12827535040157</v>
      </c>
      <c r="T188" s="59">
        <f t="shared" si="142"/>
        <v>317.29813413796956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16.071586768800142</v>
      </c>
      <c r="AA188" s="21">
        <f>EXP(-LN(2)/25)*AA187+(1-EXP(-LN(2)/25))/(LN(2)/25)*Calculateur!V188*Calculateur!X188*VLOOKUP('Données projet'!$B$9,Paramètres!$A$1:$I$89,3,0)*0.475*44/12</f>
        <v>0.60576623162285226</v>
      </c>
      <c r="AB188" s="21">
        <f>EXP(-LN(2)/2)*AB187+(1-EXP(-LN(2)/2))/(LN(2)/2)*V188*Y188*VLOOKUP('Données projet'!$B$9,Paramètres!$A$1:$I$89,3,0)*0.475*44/12</f>
        <v>2.0145594961681049E-24</v>
      </c>
      <c r="AC188" s="22">
        <f t="shared" si="163"/>
        <v>16.677353000422993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636.99999999999977</v>
      </c>
      <c r="AJ188" s="13">
        <f>AI188*VLOOKUP('Données projet'!$B$10,Paramètres!$A$1:$I$89,3,0)*VLOOKUP('Données projet'!$B$10,Paramètres!$A$1:$I$89,5,0)</f>
        <v>356.08299999999991</v>
      </c>
      <c r="AK188" s="13">
        <f t="shared" si="164"/>
        <v>82.813805255716545</v>
      </c>
      <c r="AL188" s="20">
        <f t="shared" si="165"/>
        <v>764.41193582037283</v>
      </c>
      <c r="AM188" s="59">
        <f t="shared" si="113"/>
        <v>1057.7452691537062</v>
      </c>
      <c r="AN188" s="59">
        <f ca="1">AVERAGE(OFFSET($AM$3,0,0,'Données projet'!$E$10+1,1))-AVERAGE(OFFSET($H$3,0,0,'Données projet'!$E$10+1,1))</f>
        <v>382.55387448074327</v>
      </c>
      <c r="AO188" s="59">
        <f t="shared" si="144"/>
        <v>476.29465646955543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8.2209788243127875</v>
      </c>
      <c r="AV188" s="21">
        <f>EXP(-LN(2)/25)*AV187+(1-EXP(-LN(2)/25))/(LN(2)/25)*Calculateur!AQ188*Calculateur!AS188*VLOOKUP('Données projet'!$B$10,Paramètres!$A$1:$I$89,3,0)*0.475*44/12</f>
        <v>0.2983989443409395</v>
      </c>
      <c r="AW188" s="21">
        <f>EXP(-LN(2)/2)*AW187+(1-EXP(-LN(2)/2))/(LN(2)/2)*AQ188*AT188*VLOOKUP('Données projet'!$B$10,Paramètres!$A$1:$I$89,3,0)*0.475*44/12</f>
        <v>2.8271018435216099E-23</v>
      </c>
      <c r="AX188" s="21">
        <f t="shared" si="166"/>
        <v>8.5193777686537278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267</v>
      </c>
      <c r="BE188" s="13">
        <f>BD188*VLOOKUP('Données projet'!$B$11,Paramètres!$A$1:$I$89,3,0)*VLOOKUP('Données projet'!$B$11,Paramètres!$A$1:$I$89,5,0)</f>
        <v>270.738</v>
      </c>
      <c r="BF188" s="13">
        <f t="shared" si="167"/>
        <v>65.005866623551711</v>
      </c>
      <c r="BG188" s="20">
        <f t="shared" si="168"/>
        <v>584.7539010360191</v>
      </c>
      <c r="BH188" s="59">
        <f t="shared" si="116"/>
        <v>878.08723436935247</v>
      </c>
      <c r="BI188" s="59">
        <f ca="1">AVERAGE(OFFSET($BH$3,0,0,'Données projet'!$E$11+1,1))-AVERAGE(OFFSET($H$3,0,0,'Données projet'!$E$11+1,1))</f>
        <v>308.80022073574963</v>
      </c>
      <c r="BJ188" s="59">
        <f t="shared" si="146"/>
        <v>183.96267407004115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21.177239075735997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21.177239075735997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795.00000000000068</v>
      </c>
      <c r="O189" s="13">
        <f>N189*VLOOKUP('Données projet'!$B$9,Paramètres!$A$1:$I$89,3,0)*VLOOKUP('Données projet'!$B$9,Paramètres!$A$1:$I$89,5,0)</f>
        <v>372.06000000000029</v>
      </c>
      <c r="P189" s="13">
        <f t="shared" si="141"/>
        <v>86.088609967897526</v>
      </c>
      <c r="Q189" s="20">
        <f t="shared" si="162"/>
        <v>797.94216236075533</v>
      </c>
      <c r="R189" s="59">
        <f t="shared" si="109"/>
        <v>1091.2754956940887</v>
      </c>
      <c r="S189" s="59">
        <f ca="1">AVERAGE(OFFSET($R$3,0,0,'Données projet'!$E$9+1,1))-AVERAGE(OFFSET($H$3,0,0,'Données projet'!$E$9+1,1))</f>
        <v>379.12827535040157</v>
      </c>
      <c r="T189" s="59">
        <f t="shared" si="142"/>
        <v>317.29813413796956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15.756432754963964</v>
      </c>
      <c r="AA189" s="21">
        <f>EXP(-LN(2)/25)*AA188+(1-EXP(-LN(2)/25))/(LN(2)/25)*Calculateur!V189*Calculateur!X189*VLOOKUP('Données projet'!$B$9,Paramètres!$A$1:$I$89,3,0)*0.475*44/12</f>
        <v>0.58920152216326371</v>
      </c>
      <c r="AB189" s="21">
        <f>EXP(-LN(2)/2)*AB188+(1-EXP(-LN(2)/2))/(LN(2)/2)*V189*Y189*VLOOKUP('Données projet'!$B$9,Paramètres!$A$1:$I$89,3,0)*0.475*44/12</f>
        <v>1.4245086808442216E-24</v>
      </c>
      <c r="AC189" s="22">
        <f t="shared" si="163"/>
        <v>16.345634277127228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636.99999999999977</v>
      </c>
      <c r="AJ189" s="13">
        <f>AI189*VLOOKUP('Données projet'!$B$10,Paramètres!$A$1:$I$89,3,0)*VLOOKUP('Données projet'!$B$10,Paramètres!$A$1:$I$89,5,0)</f>
        <v>356.08299999999991</v>
      </c>
      <c r="AK189" s="13">
        <f t="shared" si="164"/>
        <v>82.813805255716545</v>
      </c>
      <c r="AL189" s="20">
        <f t="shared" si="165"/>
        <v>764.41193582037283</v>
      </c>
      <c r="AM189" s="59">
        <f t="shared" si="113"/>
        <v>1057.7452691537062</v>
      </c>
      <c r="AN189" s="59">
        <f ca="1">AVERAGE(OFFSET($AM$3,0,0,'Données projet'!$E$10+1,1))-AVERAGE(OFFSET($H$3,0,0,'Données projet'!$E$10+1,1))</f>
        <v>382.55387448074327</v>
      </c>
      <c r="AO189" s="59">
        <f t="shared" si="144"/>
        <v>476.29465646955543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8.0597704438699758</v>
      </c>
      <c r="AV189" s="21">
        <f>EXP(-LN(2)/25)*AV188+(1-EXP(-LN(2)/25))/(LN(2)/25)*Calculateur!AQ189*Calculateur!AS189*VLOOKUP('Données projet'!$B$10,Paramètres!$A$1:$I$89,3,0)*0.475*44/12</f>
        <v>0.290239209515818</v>
      </c>
      <c r="AW189" s="21">
        <f>EXP(-LN(2)/2)*AW188+(1-EXP(-LN(2)/2))/(LN(2)/2)*AQ189*AT189*VLOOKUP('Données projet'!$B$10,Paramètres!$A$1:$I$89,3,0)*0.475*44/12</f>
        <v>1.9990628846591201E-23</v>
      </c>
      <c r="AX189" s="21">
        <f t="shared" si="166"/>
        <v>8.3500096533857935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267</v>
      </c>
      <c r="BE189" s="13">
        <f>BD189*VLOOKUP('Données projet'!$B$11,Paramètres!$A$1:$I$89,3,0)*VLOOKUP('Données projet'!$B$11,Paramètres!$A$1:$I$89,5,0)</f>
        <v>270.738</v>
      </c>
      <c r="BF189" s="13">
        <f t="shared" si="167"/>
        <v>65.005866623551711</v>
      </c>
      <c r="BG189" s="20">
        <f t="shared" si="168"/>
        <v>584.7539010360191</v>
      </c>
      <c r="BH189" s="59">
        <f t="shared" si="116"/>
        <v>878.08723436935247</v>
      </c>
      <c r="BI189" s="59">
        <f ca="1">AVERAGE(OFFSET($BH$3,0,0,'Données projet'!$E$11+1,1))-AVERAGE(OFFSET($H$3,0,0,'Données projet'!$E$11+1,1))</f>
        <v>308.80022073574963</v>
      </c>
      <c r="BJ189" s="59">
        <f t="shared" si="146"/>
        <v>183.96267407004115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20.761966334301217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20.761966334301217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795.00000000000068</v>
      </c>
      <c r="O190" s="13">
        <f>N190*VLOOKUP('Données projet'!$B$9,Paramètres!$A$1:$I$89,3,0)*VLOOKUP('Données projet'!$B$9,Paramètres!$A$1:$I$89,5,0)</f>
        <v>372.06000000000029</v>
      </c>
      <c r="P190" s="13">
        <f t="shared" si="141"/>
        <v>86.088609967897526</v>
      </c>
      <c r="Q190" s="20">
        <f t="shared" si="162"/>
        <v>797.94216236075533</v>
      </c>
      <c r="R190" s="59">
        <f t="shared" si="109"/>
        <v>1091.2754956940887</v>
      </c>
      <c r="S190" s="59">
        <f ca="1">AVERAGE(OFFSET($R$3,0,0,'Données projet'!$E$9+1,1))-AVERAGE(OFFSET($H$3,0,0,'Données projet'!$E$9+1,1))</f>
        <v>379.12827535040157</v>
      </c>
      <c r="T190" s="59">
        <f t="shared" si="142"/>
        <v>317.29813413796956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15.447458719114145</v>
      </c>
      <c r="AA190" s="21">
        <f>EXP(-LN(2)/25)*AA189+(1-EXP(-LN(2)/25))/(LN(2)/25)*Calculateur!V190*Calculateur!X190*VLOOKUP('Données projet'!$B$9,Paramètres!$A$1:$I$89,3,0)*0.475*44/12</f>
        <v>0.57308977555494789</v>
      </c>
      <c r="AB190" s="21">
        <f>EXP(-LN(2)/2)*AB189+(1-EXP(-LN(2)/2))/(LN(2)/2)*V190*Y190*VLOOKUP('Données projet'!$B$9,Paramètres!$A$1:$I$89,3,0)*0.475*44/12</f>
        <v>1.0072797480840525E-24</v>
      </c>
      <c r="AC190" s="22">
        <f t="shared" si="163"/>
        <v>16.020548494669093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636.99999999999977</v>
      </c>
      <c r="AJ190" s="13">
        <f>AI190*VLOOKUP('Données projet'!$B$10,Paramètres!$A$1:$I$89,3,0)*VLOOKUP('Données projet'!$B$10,Paramètres!$A$1:$I$89,5,0)</f>
        <v>356.08299999999991</v>
      </c>
      <c r="AK190" s="13">
        <f t="shared" si="164"/>
        <v>82.813805255716545</v>
      </c>
      <c r="AL190" s="20">
        <f t="shared" si="165"/>
        <v>764.41193582037283</v>
      </c>
      <c r="AM190" s="59">
        <f t="shared" si="113"/>
        <v>1057.7452691537062</v>
      </c>
      <c r="AN190" s="59">
        <f ca="1">AVERAGE(OFFSET($AM$3,0,0,'Données projet'!$E$10+1,1))-AVERAGE(OFFSET($H$3,0,0,'Données projet'!$E$10+1,1))</f>
        <v>382.55387448074327</v>
      </c>
      <c r="AO190" s="59">
        <f t="shared" si="144"/>
        <v>476.29465646955543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7.9017232614402442</v>
      </c>
      <c r="AV190" s="21">
        <f>EXP(-LN(2)/25)*AV189+(1-EXP(-LN(2)/25))/(LN(2)/25)*Calculateur!AQ190*Calculateur!AS190*VLOOKUP('Données projet'!$B$10,Paramètres!$A$1:$I$89,3,0)*0.475*44/12</f>
        <v>0.28230260306859128</v>
      </c>
      <c r="AW190" s="21">
        <f>EXP(-LN(2)/2)*AW189+(1-EXP(-LN(2)/2))/(LN(2)/2)*AQ190*AT190*VLOOKUP('Données projet'!$B$10,Paramètres!$A$1:$I$89,3,0)*0.475*44/12</f>
        <v>1.4135509217608049E-23</v>
      </c>
      <c r="AX190" s="21">
        <f t="shared" si="166"/>
        <v>8.1840258645088362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267</v>
      </c>
      <c r="BE190" s="13">
        <f>BD190*VLOOKUP('Données projet'!$B$11,Paramètres!$A$1:$I$89,3,0)*VLOOKUP('Données projet'!$B$11,Paramètres!$A$1:$I$89,5,0)</f>
        <v>270.738</v>
      </c>
      <c r="BF190" s="13">
        <f t="shared" si="167"/>
        <v>65.005866623551711</v>
      </c>
      <c r="BG190" s="20">
        <f t="shared" si="168"/>
        <v>584.7539010360191</v>
      </c>
      <c r="BH190" s="59">
        <f t="shared" si="116"/>
        <v>878.08723436935247</v>
      </c>
      <c r="BI190" s="59">
        <f ca="1">AVERAGE(OFFSET($BH$3,0,0,'Données projet'!$E$11+1,1))-AVERAGE(OFFSET($H$3,0,0,'Données projet'!$E$11+1,1))</f>
        <v>308.80022073574963</v>
      </c>
      <c r="BJ190" s="59">
        <f t="shared" si="146"/>
        <v>183.96267407004115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20.354836838034611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20.354836838034611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795.00000000000068</v>
      </c>
      <c r="O191" s="13">
        <f>N191*VLOOKUP('Données projet'!$B$9,Paramètres!$A$1:$I$89,3,0)*VLOOKUP('Données projet'!$B$9,Paramètres!$A$1:$I$89,5,0)</f>
        <v>372.06000000000029</v>
      </c>
      <c r="P191" s="13">
        <f t="shared" si="141"/>
        <v>86.088609967897526</v>
      </c>
      <c r="Q191" s="20">
        <f t="shared" si="162"/>
        <v>797.94216236075533</v>
      </c>
      <c r="R191" s="59">
        <f t="shared" si="109"/>
        <v>1091.2754956940887</v>
      </c>
      <c r="S191" s="59">
        <f ca="1">AVERAGE(OFFSET($R$3,0,0,'Données projet'!$E$9+1,1))-AVERAGE(OFFSET($H$3,0,0,'Données projet'!$E$9+1,1))</f>
        <v>379.12827535040157</v>
      </c>
      <c r="T191" s="59">
        <f t="shared" si="142"/>
        <v>317.29813413796956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15.144543475651789</v>
      </c>
      <c r="AA191" s="21">
        <f>EXP(-LN(2)/25)*AA190+(1-EXP(-LN(2)/25))/(LN(2)/25)*Calculateur!V191*Calculateur!X191*VLOOKUP('Données projet'!$B$9,Paramètres!$A$1:$I$89,3,0)*0.475*44/12</f>
        <v>0.5574186055049164</v>
      </c>
      <c r="AB191" s="21">
        <f>EXP(-LN(2)/2)*AB190+(1-EXP(-LN(2)/2))/(LN(2)/2)*V191*Y191*VLOOKUP('Données projet'!$B$9,Paramètres!$A$1:$I$89,3,0)*0.475*44/12</f>
        <v>7.122543404221108E-25</v>
      </c>
      <c r="AC191" s="22">
        <f t="shared" si="163"/>
        <v>15.701962081156704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636.99999999999977</v>
      </c>
      <c r="AJ191" s="13">
        <f>AI191*VLOOKUP('Données projet'!$B$10,Paramètres!$A$1:$I$89,3,0)*VLOOKUP('Données projet'!$B$10,Paramètres!$A$1:$I$89,5,0)</f>
        <v>356.08299999999991</v>
      </c>
      <c r="AK191" s="13">
        <f t="shared" si="164"/>
        <v>82.813805255716545</v>
      </c>
      <c r="AL191" s="20">
        <f t="shared" si="165"/>
        <v>764.41193582037283</v>
      </c>
      <c r="AM191" s="59">
        <f t="shared" si="113"/>
        <v>1057.7452691537062</v>
      </c>
      <c r="AN191" s="59">
        <f ca="1">AVERAGE(OFFSET($AM$3,0,0,'Données projet'!$E$10+1,1))-AVERAGE(OFFSET($H$3,0,0,'Données projet'!$E$10+1,1))</f>
        <v>382.55387448074327</v>
      </c>
      <c r="AO191" s="59">
        <f t="shared" si="144"/>
        <v>476.29465646955543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7.7467752878586973</v>
      </c>
      <c r="AV191" s="21">
        <f>EXP(-LN(2)/25)*AV190+(1-EXP(-LN(2)/25))/(LN(2)/25)*Calculateur!AQ191*Calculateur!AS191*VLOOKUP('Données projet'!$B$10,Paramètres!$A$1:$I$89,3,0)*0.475*44/12</f>
        <v>0.27458302354203196</v>
      </c>
      <c r="AW191" s="21">
        <f>EXP(-LN(2)/2)*AW190+(1-EXP(-LN(2)/2))/(LN(2)/2)*AQ191*AT191*VLOOKUP('Données projet'!$B$10,Paramètres!$A$1:$I$89,3,0)*0.475*44/12</f>
        <v>9.9953144232956006E-24</v>
      </c>
      <c r="AX191" s="21">
        <f t="shared" si="166"/>
        <v>8.0213583114007285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267</v>
      </c>
      <c r="BE191" s="13">
        <f>BD191*VLOOKUP('Données projet'!$B$11,Paramètres!$A$1:$I$89,3,0)*VLOOKUP('Données projet'!$B$11,Paramètres!$A$1:$I$89,5,0)</f>
        <v>270.738</v>
      </c>
      <c r="BF191" s="13">
        <f t="shared" si="167"/>
        <v>65.005866623551711</v>
      </c>
      <c r="BG191" s="20">
        <f t="shared" si="168"/>
        <v>584.7539010360191</v>
      </c>
      <c r="BH191" s="59">
        <f t="shared" si="116"/>
        <v>878.08723436935247</v>
      </c>
      <c r="BI191" s="59">
        <f ca="1">AVERAGE(OFFSET($BH$3,0,0,'Données projet'!$E$11+1,1))-AVERAGE(OFFSET($H$3,0,0,'Données projet'!$E$11+1,1))</f>
        <v>308.80022073574963</v>
      </c>
      <c r="BJ191" s="59">
        <f t="shared" si="146"/>
        <v>183.96267407004115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19.955690902865321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19.955690902865321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795.00000000000068</v>
      </c>
      <c r="O192" s="13">
        <f>N192*VLOOKUP('Données projet'!$B$9,Paramètres!$A$1:$I$89,3,0)*VLOOKUP('Données projet'!$B$9,Paramètres!$A$1:$I$89,5,0)</f>
        <v>372.06000000000029</v>
      </c>
      <c r="P192" s="13">
        <f t="shared" si="141"/>
        <v>86.088609967897526</v>
      </c>
      <c r="Q192" s="20">
        <f t="shared" si="162"/>
        <v>797.94216236075533</v>
      </c>
      <c r="R192" s="59">
        <f t="shared" si="109"/>
        <v>1091.2754956940887</v>
      </c>
      <c r="S192" s="59">
        <f ca="1">AVERAGE(OFFSET($R$3,0,0,'Données projet'!$E$9+1,1))-AVERAGE(OFFSET($H$3,0,0,'Données projet'!$E$9+1,1))</f>
        <v>379.12827535040157</v>
      </c>
      <c r="T192" s="59">
        <f t="shared" si="142"/>
        <v>317.29813413796956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14.847568215353673</v>
      </c>
      <c r="AA192" s="21">
        <f>EXP(-LN(2)/25)*AA191+(1-EXP(-LN(2)/25))/(LN(2)/25)*Calculateur!V192*Calculateur!X192*VLOOKUP('Données projet'!$B$9,Paramètres!$A$1:$I$89,3,0)*0.475*44/12</f>
        <v>0.54217596442401395</v>
      </c>
      <c r="AB192" s="21">
        <f>EXP(-LN(2)/2)*AB191+(1-EXP(-LN(2)/2))/(LN(2)/2)*V192*Y192*VLOOKUP('Données projet'!$B$9,Paramètres!$A$1:$I$89,3,0)*0.475*44/12</f>
        <v>5.0363987404202623E-25</v>
      </c>
      <c r="AC192" s="22">
        <f t="shared" si="163"/>
        <v>15.389744179777688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636.99999999999977</v>
      </c>
      <c r="AJ192" s="13">
        <f>AI192*VLOOKUP('Données projet'!$B$10,Paramètres!$A$1:$I$89,3,0)*VLOOKUP('Données projet'!$B$10,Paramètres!$A$1:$I$89,5,0)</f>
        <v>356.08299999999991</v>
      </c>
      <c r="AK192" s="13">
        <f t="shared" si="164"/>
        <v>82.813805255716545</v>
      </c>
      <c r="AL192" s="20">
        <f t="shared" si="165"/>
        <v>764.41193582037283</v>
      </c>
      <c r="AM192" s="59">
        <f t="shared" si="113"/>
        <v>1057.7452691537062</v>
      </c>
      <c r="AN192" s="59">
        <f ca="1">AVERAGE(OFFSET($AM$3,0,0,'Données projet'!$E$10+1,1))-AVERAGE(OFFSET($H$3,0,0,'Données projet'!$E$10+1,1))</f>
        <v>382.55387448074327</v>
      </c>
      <c r="AO192" s="59">
        <f t="shared" si="144"/>
        <v>476.29465646955543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7.5948657495301521</v>
      </c>
      <c r="AV192" s="21">
        <f>EXP(-LN(2)/25)*AV191+(1-EXP(-LN(2)/25))/(LN(2)/25)*Calculateur!AQ192*Calculateur!AS192*VLOOKUP('Données projet'!$B$10,Paramètres!$A$1:$I$89,3,0)*0.475*44/12</f>
        <v>0.26707453632358147</v>
      </c>
      <c r="AW192" s="21">
        <f>EXP(-LN(2)/2)*AW191+(1-EXP(-LN(2)/2))/(LN(2)/2)*AQ192*AT192*VLOOKUP('Données projet'!$B$10,Paramètres!$A$1:$I$89,3,0)*0.475*44/12</f>
        <v>7.0677546088040246E-24</v>
      </c>
      <c r="AX192" s="21">
        <f t="shared" si="166"/>
        <v>7.8619402858537333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267</v>
      </c>
      <c r="BE192" s="13">
        <f>BD192*VLOOKUP('Données projet'!$B$11,Paramètres!$A$1:$I$89,3,0)*VLOOKUP('Données projet'!$B$11,Paramètres!$A$1:$I$89,5,0)</f>
        <v>270.738</v>
      </c>
      <c r="BF192" s="13">
        <f t="shared" si="167"/>
        <v>65.005866623551711</v>
      </c>
      <c r="BG192" s="20">
        <f t="shared" si="168"/>
        <v>584.7539010360191</v>
      </c>
      <c r="BH192" s="59">
        <f t="shared" si="116"/>
        <v>878.08723436935247</v>
      </c>
      <c r="BI192" s="59">
        <f ca="1">AVERAGE(OFFSET($BH$3,0,0,'Données projet'!$E$11+1,1))-AVERAGE(OFFSET($H$3,0,0,'Données projet'!$E$11+1,1))</f>
        <v>308.80022073574963</v>
      </c>
      <c r="BJ192" s="59">
        <f t="shared" si="146"/>
        <v>183.96267407004115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19.564371976029719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19.564371976029719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795.00000000000068</v>
      </c>
      <c r="O193" s="13">
        <f>N193*VLOOKUP('Données projet'!$B$9,Paramètres!$A$1:$I$89,3,0)*VLOOKUP('Données projet'!$B$9,Paramètres!$A$1:$I$89,5,0)</f>
        <v>372.06000000000029</v>
      </c>
      <c r="P193" s="13">
        <f t="shared" si="141"/>
        <v>86.088609967897526</v>
      </c>
      <c r="Q193" s="20">
        <f t="shared" si="162"/>
        <v>797.94216236075533</v>
      </c>
      <c r="R193" s="59">
        <f t="shared" si="109"/>
        <v>1091.2754956940887</v>
      </c>
      <c r="S193" s="59">
        <f ca="1">AVERAGE(OFFSET($R$3,0,0,'Données projet'!$E$9+1,1))-AVERAGE(OFFSET($H$3,0,0,'Données projet'!$E$9+1,1))</f>
        <v>379.12827535040157</v>
      </c>
      <c r="T193" s="59">
        <f t="shared" si="142"/>
        <v>317.29813413796956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14.556416458772981</v>
      </c>
      <c r="AA193" s="21">
        <f>EXP(-LN(2)/25)*AA192+(1-EXP(-LN(2)/25))/(LN(2)/25)*Calculateur!V193*Calculateur!X193*VLOOKUP('Données projet'!$B$9,Paramètres!$A$1:$I$89,3,0)*0.475*44/12</f>
        <v>0.5273501341650445</v>
      </c>
      <c r="AB193" s="21">
        <f>EXP(-LN(2)/2)*AB192+(1-EXP(-LN(2)/2))/(LN(2)/2)*V193*Y193*VLOOKUP('Données projet'!$B$9,Paramètres!$A$1:$I$89,3,0)*0.475*44/12</f>
        <v>3.561271702110554E-25</v>
      </c>
      <c r="AC193" s="22">
        <f t="shared" si="163"/>
        <v>15.083766592938025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636.99999999999977</v>
      </c>
      <c r="AJ193" s="13">
        <f>AI193*VLOOKUP('Données projet'!$B$10,Paramètres!$A$1:$I$89,3,0)*VLOOKUP('Données projet'!$B$10,Paramètres!$A$1:$I$89,5,0)</f>
        <v>356.08299999999991</v>
      </c>
      <c r="AK193" s="13">
        <f t="shared" si="164"/>
        <v>82.813805255716545</v>
      </c>
      <c r="AL193" s="20">
        <f t="shared" si="165"/>
        <v>764.41193582037283</v>
      </c>
      <c r="AM193" s="59">
        <f t="shared" si="113"/>
        <v>1057.7452691537062</v>
      </c>
      <c r="AN193" s="59">
        <f ca="1">AVERAGE(OFFSET($AM$3,0,0,'Données projet'!$E$10+1,1))-AVERAGE(OFFSET($H$3,0,0,'Données projet'!$E$10+1,1))</f>
        <v>382.55387448074327</v>
      </c>
      <c r="AO193" s="59">
        <f t="shared" si="144"/>
        <v>476.29465646955543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7.4459350645925602</v>
      </c>
      <c r="AV193" s="21">
        <f>EXP(-LN(2)/25)*AV192+(1-EXP(-LN(2)/25))/(LN(2)/25)*Calculateur!AQ193*Calculateur!AS193*VLOOKUP('Données projet'!$B$10,Paramètres!$A$1:$I$89,3,0)*0.475*44/12</f>
        <v>0.25977136908297366</v>
      </c>
      <c r="AW193" s="21">
        <f>EXP(-LN(2)/2)*AW192+(1-EXP(-LN(2)/2))/(LN(2)/2)*AQ193*AT193*VLOOKUP('Données projet'!$B$10,Paramètres!$A$1:$I$89,3,0)*0.475*44/12</f>
        <v>4.9976572116478003E-24</v>
      </c>
      <c r="AX193" s="21">
        <f t="shared" si="166"/>
        <v>7.7057064336755339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267</v>
      </c>
      <c r="BE193" s="13">
        <f>BD193*VLOOKUP('Données projet'!$B$11,Paramètres!$A$1:$I$89,3,0)*VLOOKUP('Données projet'!$B$11,Paramètres!$A$1:$I$89,5,0)</f>
        <v>270.738</v>
      </c>
      <c r="BF193" s="13">
        <f t="shared" si="167"/>
        <v>65.005866623551711</v>
      </c>
      <c r="BG193" s="20">
        <f t="shared" si="168"/>
        <v>584.7539010360191</v>
      </c>
      <c r="BH193" s="59">
        <f t="shared" si="116"/>
        <v>878.08723436935247</v>
      </c>
      <c r="BI193" s="59">
        <f ca="1">AVERAGE(OFFSET($BH$3,0,0,'Données projet'!$E$11+1,1))-AVERAGE(OFFSET($H$3,0,0,'Données projet'!$E$11+1,1))</f>
        <v>308.80022073574963</v>
      </c>
      <c r="BJ193" s="59">
        <f t="shared" si="146"/>
        <v>183.96267407004115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19.180726574668387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19.180726574668387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795.00000000000068</v>
      </c>
      <c r="O194" s="13">
        <f>N194*VLOOKUP('Données projet'!$B$9,Paramètres!$A$1:$I$89,3,0)*VLOOKUP('Données projet'!$B$9,Paramètres!$A$1:$I$89,5,0)</f>
        <v>372.06000000000029</v>
      </c>
      <c r="P194" s="13">
        <f t="shared" si="141"/>
        <v>86.088609967897526</v>
      </c>
      <c r="Q194" s="20">
        <f t="shared" si="162"/>
        <v>797.94216236075533</v>
      </c>
      <c r="R194" s="59">
        <f t="shared" si="109"/>
        <v>1091.2754956940887</v>
      </c>
      <c r="S194" s="59">
        <f ca="1">AVERAGE(OFFSET($R$3,0,0,'Données projet'!$E$9+1,1))-AVERAGE(OFFSET($H$3,0,0,'Données projet'!$E$9+1,1))</f>
        <v>379.12827535040157</v>
      </c>
      <c r="T194" s="59">
        <f t="shared" si="142"/>
        <v>317.29813413796956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14.2709740105538</v>
      </c>
      <c r="AA194" s="21">
        <f>EXP(-LN(2)/25)*AA193+(1-EXP(-LN(2)/25))/(LN(2)/25)*Calculateur!V194*Calculateur!X194*VLOOKUP('Données projet'!$B$9,Paramètres!$A$1:$I$89,3,0)*0.475*44/12</f>
        <v>0.51292971701416312</v>
      </c>
      <c r="AB194" s="21">
        <f>EXP(-LN(2)/2)*AB193+(1-EXP(-LN(2)/2))/(LN(2)/2)*V194*Y194*VLOOKUP('Données projet'!$B$9,Paramètres!$A$1:$I$89,3,0)*0.475*44/12</f>
        <v>2.5181993702101311E-25</v>
      </c>
      <c r="AC194" s="22">
        <f t="shared" si="163"/>
        <v>14.783903727567964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636.99999999999977</v>
      </c>
      <c r="AJ194" s="13">
        <f>AI194*VLOOKUP('Données projet'!$B$10,Paramètres!$A$1:$I$89,3,0)*VLOOKUP('Données projet'!$B$10,Paramètres!$A$1:$I$89,5,0)</f>
        <v>356.08299999999991</v>
      </c>
      <c r="AK194" s="13">
        <f t="shared" si="164"/>
        <v>82.813805255716545</v>
      </c>
      <c r="AL194" s="20">
        <f t="shared" si="165"/>
        <v>764.41193582037283</v>
      </c>
      <c r="AM194" s="59">
        <f t="shared" si="113"/>
        <v>1057.7452691537062</v>
      </c>
      <c r="AN194" s="59">
        <f ca="1">AVERAGE(OFFSET($AM$3,0,0,'Données projet'!$E$10+1,1))-AVERAGE(OFFSET($H$3,0,0,'Données projet'!$E$10+1,1))</f>
        <v>382.55387448074327</v>
      </c>
      <c r="AO194" s="59">
        <f t="shared" si="144"/>
        <v>476.29465646955543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7.2999248195478463</v>
      </c>
      <c r="AV194" s="21">
        <f>EXP(-LN(2)/25)*AV193+(1-EXP(-LN(2)/25))/(LN(2)/25)*Calculateur!AQ194*Calculateur!AS194*VLOOKUP('Données projet'!$B$10,Paramètres!$A$1:$I$89,3,0)*0.475*44/12</f>
        <v>0.25266790733461714</v>
      </c>
      <c r="AW194" s="21">
        <f>EXP(-LN(2)/2)*AW193+(1-EXP(-LN(2)/2))/(LN(2)/2)*AQ194*AT194*VLOOKUP('Données projet'!$B$10,Paramètres!$A$1:$I$89,3,0)*0.475*44/12</f>
        <v>3.5338773044020123E-24</v>
      </c>
      <c r="AX194" s="21">
        <f t="shared" si="166"/>
        <v>7.5525927268824633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267</v>
      </c>
      <c r="BE194" s="13">
        <f>BD194*VLOOKUP('Données projet'!$B$11,Paramètres!$A$1:$I$89,3,0)*VLOOKUP('Données projet'!$B$11,Paramètres!$A$1:$I$89,5,0)</f>
        <v>270.738</v>
      </c>
      <c r="BF194" s="13">
        <f t="shared" si="167"/>
        <v>65.005866623551711</v>
      </c>
      <c r="BG194" s="20">
        <f t="shared" si="168"/>
        <v>584.7539010360191</v>
      </c>
      <c r="BH194" s="59">
        <f t="shared" si="116"/>
        <v>878.08723436935247</v>
      </c>
      <c r="BI194" s="59">
        <f ca="1">AVERAGE(OFFSET($BH$3,0,0,'Données projet'!$E$11+1,1))-AVERAGE(OFFSET($H$3,0,0,'Données projet'!$E$11+1,1))</f>
        <v>308.80022073574963</v>
      </c>
      <c r="BJ194" s="59">
        <f t="shared" si="146"/>
        <v>183.96267407004115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18.804604225627163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18.804604225627163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795.00000000000068</v>
      </c>
      <c r="O195" s="13">
        <f>N195*VLOOKUP('Données projet'!$B$9,Paramètres!$A$1:$I$89,3,0)*VLOOKUP('Données projet'!$B$9,Paramètres!$A$1:$I$89,5,0)</f>
        <v>372.06000000000029</v>
      </c>
      <c r="P195" s="13">
        <f t="shared" si="141"/>
        <v>86.088609967897526</v>
      </c>
      <c r="Q195" s="20">
        <f t="shared" si="162"/>
        <v>797.94216236075533</v>
      </c>
      <c r="R195" s="59">
        <f t="shared" ref="R195:R203" si="191">Q195+(I195+J195)*44/12</f>
        <v>1091.2754956940887</v>
      </c>
      <c r="S195" s="59">
        <f ca="1">AVERAGE(OFFSET($R$3,0,0,'Données projet'!$E$9+1,1))-AVERAGE(OFFSET($H$3,0,0,'Données projet'!$E$9+1,1))</f>
        <v>379.12827535040157</v>
      </c>
      <c r="T195" s="59">
        <f t="shared" si="142"/>
        <v>317.29813413796956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13.991128914641495</v>
      </c>
      <c r="AA195" s="21">
        <f>EXP(-LN(2)/25)*AA194+(1-EXP(-LN(2)/25))/(LN(2)/25)*Calculateur!V195*Calculateur!X195*VLOOKUP('Données projet'!$B$9,Paramètres!$A$1:$I$89,3,0)*0.475*44/12</f>
        <v>0.49890362692860935</v>
      </c>
      <c r="AB195" s="21">
        <f>EXP(-LN(2)/2)*AB194+(1-EXP(-LN(2)/2))/(LN(2)/2)*V195*Y195*VLOOKUP('Données projet'!$B$9,Paramètres!$A$1:$I$89,3,0)*0.475*44/12</f>
        <v>1.780635851055277E-25</v>
      </c>
      <c r="AC195" s="22">
        <f t="shared" si="163"/>
        <v>14.490032541570104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636.99999999999977</v>
      </c>
      <c r="AJ195" s="13">
        <f>AI195*VLOOKUP('Données projet'!$B$10,Paramètres!$A$1:$I$89,3,0)*VLOOKUP('Données projet'!$B$10,Paramètres!$A$1:$I$89,5,0)</f>
        <v>356.08299999999991</v>
      </c>
      <c r="AK195" s="13">
        <f t="shared" si="164"/>
        <v>82.813805255716545</v>
      </c>
      <c r="AL195" s="20">
        <f t="shared" si="165"/>
        <v>764.41193582037283</v>
      </c>
      <c r="AM195" s="59">
        <f t="shared" si="113"/>
        <v>1057.7452691537062</v>
      </c>
      <c r="AN195" s="59">
        <f ca="1">AVERAGE(OFFSET($AM$3,0,0,'Données projet'!$E$10+1,1))-AVERAGE(OFFSET($H$3,0,0,'Données projet'!$E$10+1,1))</f>
        <v>382.55387448074327</v>
      </c>
      <c r="AO195" s="59">
        <f t="shared" si="144"/>
        <v>476.29465646955543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7.1567777463510041</v>
      </c>
      <c r="AV195" s="21">
        <f>EXP(-LN(2)/25)*AV194+(1-EXP(-LN(2)/25))/(LN(2)/25)*Calculateur!AQ195*Calculateur!AS195*VLOOKUP('Données projet'!$B$10,Paramètres!$A$1:$I$89,3,0)*0.475*44/12</f>
        <v>0.24575869012132426</v>
      </c>
      <c r="AW195" s="21">
        <f>EXP(-LN(2)/2)*AW194+(1-EXP(-LN(2)/2))/(LN(2)/2)*AQ195*AT195*VLOOKUP('Données projet'!$B$10,Paramètres!$A$1:$I$89,3,0)*0.475*44/12</f>
        <v>2.4988286058239002E-24</v>
      </c>
      <c r="AX195" s="21">
        <f t="shared" si="166"/>
        <v>7.4025364364723281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267</v>
      </c>
      <c r="BE195" s="13">
        <f>BD195*VLOOKUP('Données projet'!$B$11,Paramètres!$A$1:$I$89,3,0)*VLOOKUP('Données projet'!$B$11,Paramètres!$A$1:$I$89,5,0)</f>
        <v>270.738</v>
      </c>
      <c r="BF195" s="13">
        <f t="shared" si="167"/>
        <v>65.005866623551711</v>
      </c>
      <c r="BG195" s="20">
        <f t="shared" si="168"/>
        <v>584.7539010360191</v>
      </c>
      <c r="BH195" s="59">
        <f t="shared" si="116"/>
        <v>878.08723436935247</v>
      </c>
      <c r="BI195" s="59">
        <f ca="1">AVERAGE(OFFSET($BH$3,0,0,'Données projet'!$E$11+1,1))-AVERAGE(OFFSET($H$3,0,0,'Données projet'!$E$11+1,1))</f>
        <v>308.80022073574963</v>
      </c>
      <c r="BJ195" s="59">
        <f t="shared" si="146"/>
        <v>183.96267407004115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18.435857406438654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18.435857406438654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795.00000000000068</v>
      </c>
      <c r="O196" s="13">
        <f>N196*VLOOKUP('Données projet'!$B$9,Paramètres!$A$1:$I$89,3,0)*VLOOKUP('Données projet'!$B$9,Paramètres!$A$1:$I$89,5,0)</f>
        <v>372.06000000000029</v>
      </c>
      <c r="P196" s="13">
        <f t="shared" si="141"/>
        <v>86.088609967897526</v>
      </c>
      <c r="Q196" s="20">
        <f t="shared" si="162"/>
        <v>797.94216236075533</v>
      </c>
      <c r="R196" s="59">
        <f t="shared" si="191"/>
        <v>1091.2754956940887</v>
      </c>
      <c r="S196" s="59">
        <f ca="1">AVERAGE(OFFSET($R$3,0,0,'Données projet'!$E$9+1,1))-AVERAGE(OFFSET($H$3,0,0,'Données projet'!$E$9+1,1))</f>
        <v>379.12827535040157</v>
      </c>
      <c r="T196" s="59">
        <f t="shared" si="142"/>
        <v>317.29813413796956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13.716771410371376</v>
      </c>
      <c r="AA196" s="21">
        <f>EXP(-LN(2)/25)*AA195+(1-EXP(-LN(2)/25))/(LN(2)/25)*Calculateur!V196*Calculateur!X196*VLOOKUP('Données projet'!$B$9,Paramètres!$A$1:$I$89,3,0)*0.475*44/12</f>
        <v>0.48526108101404503</v>
      </c>
      <c r="AB196" s="21">
        <f>EXP(-LN(2)/2)*AB195+(1-EXP(-LN(2)/2))/(LN(2)/2)*V196*Y196*VLOOKUP('Données projet'!$B$9,Paramètres!$A$1:$I$89,3,0)*0.475*44/12</f>
        <v>1.2590996851050656E-25</v>
      </c>
      <c r="AC196" s="22">
        <f t="shared" si="163"/>
        <v>14.20203249138542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636.99999999999977</v>
      </c>
      <c r="AJ196" s="13">
        <f>AI196*VLOOKUP('Données projet'!$B$10,Paramètres!$A$1:$I$89,3,0)*VLOOKUP('Données projet'!$B$10,Paramètres!$A$1:$I$89,5,0)</f>
        <v>356.08299999999991</v>
      </c>
      <c r="AK196" s="13">
        <f t="shared" si="164"/>
        <v>82.813805255716545</v>
      </c>
      <c r="AL196" s="20">
        <f t="shared" si="165"/>
        <v>764.41193582037283</v>
      </c>
      <c r="AM196" s="59">
        <f t="shared" ref="AM196:AM203" si="193">AL196+(AD196+AE196)*44/12</f>
        <v>1057.7452691537062</v>
      </c>
      <c r="AN196" s="59">
        <f ca="1">AVERAGE(OFFSET($AM$3,0,0,'Données projet'!$E$10+1,1))-AVERAGE(OFFSET($H$3,0,0,'Données projet'!$E$10+1,1))</f>
        <v>382.55387448074327</v>
      </c>
      <c r="AO196" s="59">
        <f t="shared" si="144"/>
        <v>476.29465646955543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7.0164376999484581</v>
      </c>
      <c r="AV196" s="21">
        <f>EXP(-LN(2)/25)*AV195+(1-EXP(-LN(2)/25))/(LN(2)/25)*Calculateur!AQ196*Calculateur!AS196*VLOOKUP('Données projet'!$B$10,Paramètres!$A$1:$I$89,3,0)*0.475*44/12</f>
        <v>0.23903840581606883</v>
      </c>
      <c r="AW196" s="21">
        <f>EXP(-LN(2)/2)*AW195+(1-EXP(-LN(2)/2))/(LN(2)/2)*AQ196*AT196*VLOOKUP('Données projet'!$B$10,Paramètres!$A$1:$I$89,3,0)*0.475*44/12</f>
        <v>1.7669386522010062E-24</v>
      </c>
      <c r="AX196" s="21">
        <f t="shared" si="166"/>
        <v>7.2554761057645267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267</v>
      </c>
      <c r="BE196" s="13">
        <f>BD196*VLOOKUP('Données projet'!$B$11,Paramètres!$A$1:$I$89,3,0)*VLOOKUP('Données projet'!$B$11,Paramètres!$A$1:$I$89,5,0)</f>
        <v>270.738</v>
      </c>
      <c r="BF196" s="13">
        <f t="shared" si="167"/>
        <v>65.005866623551711</v>
      </c>
      <c r="BG196" s="20">
        <f t="shared" si="168"/>
        <v>584.7539010360191</v>
      </c>
      <c r="BH196" s="59">
        <f t="shared" ref="BH196:BH203" si="194">BG196+(AY196+AZ196)*44/12</f>
        <v>878.08723436935247</v>
      </c>
      <c r="BI196" s="59">
        <f ca="1">AVERAGE(OFFSET($BH$3,0,0,'Données projet'!$E$11+1,1))-AVERAGE(OFFSET($H$3,0,0,'Données projet'!$E$11+1,1))</f>
        <v>308.80022073574963</v>
      </c>
      <c r="BJ196" s="59">
        <f t="shared" si="146"/>
        <v>183.96267407004115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18.07434148746108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18.07434148746108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795.00000000000068</v>
      </c>
      <c r="O197" s="13">
        <f>N197*VLOOKUP('Données projet'!$B$9,Paramètres!$A$1:$I$89,3,0)*VLOOKUP('Données projet'!$B$9,Paramètres!$A$1:$I$89,5,0)</f>
        <v>372.06000000000029</v>
      </c>
      <c r="P197" s="13">
        <f t="shared" ref="P197:P203" si="203">EXP(-1.0587+0.8836*LN(O197)+0.284)</f>
        <v>86.088609967897526</v>
      </c>
      <c r="Q197" s="20">
        <f t="shared" si="162"/>
        <v>797.94216236075533</v>
      </c>
      <c r="R197" s="59">
        <f t="shared" si="191"/>
        <v>1091.2754956940887</v>
      </c>
      <c r="S197" s="59">
        <f ca="1">AVERAGE(OFFSET($R$3,0,0,'Données projet'!$E$9+1,1))-AVERAGE(OFFSET($H$3,0,0,'Données projet'!$E$9+1,1))</f>
        <v>379.12827535040157</v>
      </c>
      <c r="T197" s="59">
        <f t="shared" ref="T197:T203" si="204">$T$3</f>
        <v>317.29813413796956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13.44779388941844</v>
      </c>
      <c r="AA197" s="21">
        <f>EXP(-LN(2)/25)*AA196+(1-EXP(-LN(2)/25))/(LN(2)/25)*Calculateur!V197*Calculateur!X197*VLOOKUP('Données projet'!$B$9,Paramètres!$A$1:$I$89,3,0)*0.475*44/12</f>
        <v>0.47199159123494477</v>
      </c>
      <c r="AB197" s="21">
        <f>EXP(-LN(2)/2)*AB196+(1-EXP(-LN(2)/2))/(LN(2)/2)*V197*Y197*VLOOKUP('Données projet'!$B$9,Paramètres!$A$1:$I$89,3,0)*0.475*44/12</f>
        <v>8.903179255276385E-26</v>
      </c>
      <c r="AC197" s="22">
        <f t="shared" si="163"/>
        <v>13.919785480653385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636.99999999999977</v>
      </c>
      <c r="AJ197" s="13">
        <f>AI197*VLOOKUP('Données projet'!$B$10,Paramètres!$A$1:$I$89,3,0)*VLOOKUP('Données projet'!$B$10,Paramètres!$A$1:$I$89,5,0)</f>
        <v>356.08299999999991</v>
      </c>
      <c r="AK197" s="13">
        <f t="shared" si="164"/>
        <v>82.813805255716545</v>
      </c>
      <c r="AL197" s="20">
        <f t="shared" si="165"/>
        <v>764.41193582037283</v>
      </c>
      <c r="AM197" s="59">
        <f t="shared" si="193"/>
        <v>1057.7452691537062</v>
      </c>
      <c r="AN197" s="59">
        <f ca="1">AVERAGE(OFFSET($AM$3,0,0,'Données projet'!$E$10+1,1))-AVERAGE(OFFSET($H$3,0,0,'Données projet'!$E$10+1,1))</f>
        <v>382.55387448074327</v>
      </c>
      <c r="AO197" s="59">
        <f t="shared" ref="AO197:AO203" si="205">$AO$3</f>
        <v>476.29465646955543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6.8788496362568896</v>
      </c>
      <c r="AV197" s="21">
        <f>EXP(-LN(2)/25)*AV196+(1-EXP(-LN(2)/25))/(LN(2)/25)*Calculateur!AQ197*Calculateur!AS197*VLOOKUP('Données projet'!$B$10,Paramètres!$A$1:$I$89,3,0)*0.475*44/12</f>
        <v>0.23250188803854499</v>
      </c>
      <c r="AW197" s="21">
        <f>EXP(-LN(2)/2)*AW196+(1-EXP(-LN(2)/2))/(LN(2)/2)*AQ197*AT197*VLOOKUP('Données projet'!$B$10,Paramètres!$A$1:$I$89,3,0)*0.475*44/12</f>
        <v>1.2494143029119501E-24</v>
      </c>
      <c r="AX197" s="21">
        <f t="shared" si="166"/>
        <v>7.1113515242954346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267</v>
      </c>
      <c r="BE197" s="13">
        <f>BD197*VLOOKUP('Données projet'!$B$11,Paramètres!$A$1:$I$89,3,0)*VLOOKUP('Données projet'!$B$11,Paramètres!$A$1:$I$89,5,0)</f>
        <v>270.738</v>
      </c>
      <c r="BF197" s="13">
        <f t="shared" si="167"/>
        <v>65.005866623551711</v>
      </c>
      <c r="BG197" s="20">
        <f t="shared" si="168"/>
        <v>584.7539010360191</v>
      </c>
      <c r="BH197" s="59">
        <f t="shared" si="194"/>
        <v>878.08723436935247</v>
      </c>
      <c r="BI197" s="59">
        <f ca="1">AVERAGE(OFFSET($BH$3,0,0,'Données projet'!$E$11+1,1))-AVERAGE(OFFSET($H$3,0,0,'Données projet'!$E$11+1,1))</f>
        <v>308.80022073574963</v>
      </c>
      <c r="BJ197" s="59">
        <f t="shared" ref="BJ197:BJ203" si="206">$BJ$3</f>
        <v>183.96267407004115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17.71991467515172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17.71991467515172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795.00000000000068</v>
      </c>
      <c r="O198" s="13">
        <f>N198*VLOOKUP('Données projet'!$B$9,Paramètres!$A$1:$I$89,3,0)*VLOOKUP('Données projet'!$B$9,Paramètres!$A$1:$I$89,5,0)</f>
        <v>372.06000000000029</v>
      </c>
      <c r="P198" s="13">
        <f t="shared" si="203"/>
        <v>86.088609967897526</v>
      </c>
      <c r="Q198" s="20">
        <f t="shared" si="162"/>
        <v>797.94216236075533</v>
      </c>
      <c r="R198" s="59">
        <f t="shared" si="191"/>
        <v>1091.2754956940887</v>
      </c>
      <c r="S198" s="59">
        <f ca="1">AVERAGE(OFFSET($R$3,0,0,'Données projet'!$E$9+1,1))-AVERAGE(OFFSET($H$3,0,0,'Données projet'!$E$9+1,1))</f>
        <v>379.12827535040157</v>
      </c>
      <c r="T198" s="59">
        <f t="shared" si="204"/>
        <v>317.29813413796956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13.184090853591302</v>
      </c>
      <c r="AA198" s="21">
        <f>EXP(-LN(2)/25)*AA197+(1-EXP(-LN(2)/25))/(LN(2)/25)*Calculateur!V198*Calculateur!X198*VLOOKUP('Données projet'!$B$9,Paramètres!$A$1:$I$89,3,0)*0.475*44/12</f>
        <v>0.45908495635166618</v>
      </c>
      <c r="AB198" s="21">
        <f>EXP(-LN(2)/2)*AB197+(1-EXP(-LN(2)/2))/(LN(2)/2)*V198*Y198*VLOOKUP('Données projet'!$B$9,Paramètres!$A$1:$I$89,3,0)*0.475*44/12</f>
        <v>6.2954984255253278E-26</v>
      </c>
      <c r="AC198" s="22">
        <f t="shared" si="163"/>
        <v>13.643175809942969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636.99999999999977</v>
      </c>
      <c r="AJ198" s="13">
        <f>AI198*VLOOKUP('Données projet'!$B$10,Paramètres!$A$1:$I$89,3,0)*VLOOKUP('Données projet'!$B$10,Paramètres!$A$1:$I$89,5,0)</f>
        <v>356.08299999999991</v>
      </c>
      <c r="AK198" s="13">
        <f t="shared" si="164"/>
        <v>82.813805255716545</v>
      </c>
      <c r="AL198" s="20">
        <f t="shared" si="165"/>
        <v>764.41193582037283</v>
      </c>
      <c r="AM198" s="59">
        <f t="shared" si="193"/>
        <v>1057.7452691537062</v>
      </c>
      <c r="AN198" s="59">
        <f ca="1">AVERAGE(OFFSET($AM$3,0,0,'Données projet'!$E$10+1,1))-AVERAGE(OFFSET($H$3,0,0,'Données projet'!$E$10+1,1))</f>
        <v>382.55387448074327</v>
      </c>
      <c r="AO198" s="59">
        <f t="shared" si="205"/>
        <v>476.29465646955543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6.7439595905738807</v>
      </c>
      <c r="AV198" s="21">
        <f>EXP(-LN(2)/25)*AV197+(1-EXP(-LN(2)/25))/(LN(2)/25)*Calculateur!AQ198*Calculateur!AS198*VLOOKUP('Données projet'!$B$10,Paramètres!$A$1:$I$89,3,0)*0.475*44/12</f>
        <v>0.22614411168338808</v>
      </c>
      <c r="AW198" s="21">
        <f>EXP(-LN(2)/2)*AW197+(1-EXP(-LN(2)/2))/(LN(2)/2)*AQ198*AT198*VLOOKUP('Données projet'!$B$10,Paramètres!$A$1:$I$89,3,0)*0.475*44/12</f>
        <v>8.8346932610050308E-25</v>
      </c>
      <c r="AX198" s="21">
        <f t="shared" si="166"/>
        <v>6.9701037022572692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267</v>
      </c>
      <c r="BE198" s="13">
        <f>BD198*VLOOKUP('Données projet'!$B$11,Paramètres!$A$1:$I$89,3,0)*VLOOKUP('Données projet'!$B$11,Paramètres!$A$1:$I$89,5,0)</f>
        <v>270.738</v>
      </c>
      <c r="BF198" s="13">
        <f t="shared" si="167"/>
        <v>65.005866623551711</v>
      </c>
      <c r="BG198" s="20">
        <f t="shared" si="168"/>
        <v>584.7539010360191</v>
      </c>
      <c r="BH198" s="59">
        <f t="shared" si="194"/>
        <v>878.08723436935247</v>
      </c>
      <c r="BI198" s="59">
        <f ca="1">AVERAGE(OFFSET($BH$3,0,0,'Données projet'!$E$11+1,1))-AVERAGE(OFFSET($H$3,0,0,'Données projet'!$E$11+1,1))</f>
        <v>308.80022073574963</v>
      </c>
      <c r="BJ198" s="59">
        <f t="shared" si="206"/>
        <v>183.96267407004115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17.372437956452739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17.372437956452739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795.00000000000068</v>
      </c>
      <c r="O199" s="13">
        <f>N199*VLOOKUP('Données projet'!$B$9,Paramètres!$A$1:$I$89,3,0)*VLOOKUP('Données projet'!$B$9,Paramètres!$A$1:$I$89,5,0)</f>
        <v>372.06000000000029</v>
      </c>
      <c r="P199" s="13">
        <f t="shared" si="203"/>
        <v>86.088609967897526</v>
      </c>
      <c r="Q199" s="20">
        <f t="shared" si="162"/>
        <v>797.94216236075533</v>
      </c>
      <c r="R199" s="59">
        <f t="shared" si="191"/>
        <v>1091.2754956940887</v>
      </c>
      <c r="S199" s="59">
        <f ca="1">AVERAGE(OFFSET($R$3,0,0,'Données projet'!$E$9+1,1))-AVERAGE(OFFSET($H$3,0,0,'Données projet'!$E$9+1,1))</f>
        <v>379.12827535040157</v>
      </c>
      <c r="T199" s="59">
        <f t="shared" si="204"/>
        <v>317.29813413796956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12.925558873453765</v>
      </c>
      <c r="AA199" s="21">
        <f>EXP(-LN(2)/25)*AA198+(1-EXP(-LN(2)/25))/(LN(2)/25)*Calculateur!V199*Calculateur!X199*VLOOKUP('Données projet'!$B$9,Paramètres!$A$1:$I$89,3,0)*0.475*44/12</f>
        <v>0.44653125407800126</v>
      </c>
      <c r="AB199" s="21">
        <f>EXP(-LN(2)/2)*AB198+(1-EXP(-LN(2)/2))/(LN(2)/2)*V199*Y199*VLOOKUP('Données projet'!$B$9,Paramètres!$A$1:$I$89,3,0)*0.475*44/12</f>
        <v>4.4515896276381925E-26</v>
      </c>
      <c r="AC199" s="22">
        <f t="shared" si="163"/>
        <v>13.372090127531767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636.99999999999977</v>
      </c>
      <c r="AJ199" s="13">
        <f>AI199*VLOOKUP('Données projet'!$B$10,Paramètres!$A$1:$I$89,3,0)*VLOOKUP('Données projet'!$B$10,Paramètres!$A$1:$I$89,5,0)</f>
        <v>356.08299999999991</v>
      </c>
      <c r="AK199" s="13">
        <f t="shared" si="164"/>
        <v>82.813805255716545</v>
      </c>
      <c r="AL199" s="20">
        <f t="shared" si="165"/>
        <v>764.41193582037283</v>
      </c>
      <c r="AM199" s="59">
        <f t="shared" si="193"/>
        <v>1057.7452691537062</v>
      </c>
      <c r="AN199" s="59">
        <f ca="1">AVERAGE(OFFSET($AM$3,0,0,'Données projet'!$E$10+1,1))-AVERAGE(OFFSET($H$3,0,0,'Données projet'!$E$10+1,1))</f>
        <v>382.55387448074327</v>
      </c>
      <c r="AO199" s="59">
        <f t="shared" si="205"/>
        <v>476.29465646955543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6.6117146564119116</v>
      </c>
      <c r="AV199" s="21">
        <f>EXP(-LN(2)/25)*AV198+(1-EXP(-LN(2)/25))/(LN(2)/25)*Calculateur!AQ199*Calculateur!AS199*VLOOKUP('Données projet'!$B$10,Paramètres!$A$1:$I$89,3,0)*0.475*44/12</f>
        <v>0.21996018905700385</v>
      </c>
      <c r="AW199" s="21">
        <f>EXP(-LN(2)/2)*AW198+(1-EXP(-LN(2)/2))/(LN(2)/2)*AQ199*AT199*VLOOKUP('Données projet'!$B$10,Paramètres!$A$1:$I$89,3,0)*0.475*44/12</f>
        <v>6.2470715145597504E-25</v>
      </c>
      <c r="AX199" s="21">
        <f t="shared" si="166"/>
        <v>6.8316748454689158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267</v>
      </c>
      <c r="BE199" s="13">
        <f>BD199*VLOOKUP('Données projet'!$B$11,Paramètres!$A$1:$I$89,3,0)*VLOOKUP('Données projet'!$B$11,Paramètres!$A$1:$I$89,5,0)</f>
        <v>270.738</v>
      </c>
      <c r="BF199" s="13">
        <f t="shared" si="167"/>
        <v>65.005866623551711</v>
      </c>
      <c r="BG199" s="20">
        <f t="shared" si="168"/>
        <v>584.7539010360191</v>
      </c>
      <c r="BH199" s="59">
        <f t="shared" si="194"/>
        <v>878.08723436935247</v>
      </c>
      <c r="BI199" s="59">
        <f ca="1">AVERAGE(OFFSET($BH$3,0,0,'Données projet'!$E$11+1,1))-AVERAGE(OFFSET($H$3,0,0,'Données projet'!$E$11+1,1))</f>
        <v>308.80022073574963</v>
      </c>
      <c r="BJ199" s="59">
        <f t="shared" si="206"/>
        <v>183.96267407004115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17.031775044267572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17.031775044267572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795.00000000000068</v>
      </c>
      <c r="O200" s="13">
        <f>N200*VLOOKUP('Données projet'!$B$9,Paramètres!$A$1:$I$89,3,0)*VLOOKUP('Données projet'!$B$9,Paramètres!$A$1:$I$89,5,0)</f>
        <v>372.06000000000029</v>
      </c>
      <c r="P200" s="13">
        <f t="shared" si="203"/>
        <v>86.088609967897526</v>
      </c>
      <c r="Q200" s="20">
        <f t="shared" si="162"/>
        <v>797.94216236075533</v>
      </c>
      <c r="R200" s="59">
        <f t="shared" si="191"/>
        <v>1091.2754956940887</v>
      </c>
      <c r="S200" s="59">
        <f ca="1">AVERAGE(OFFSET($R$3,0,0,'Données projet'!$E$9+1,1))-AVERAGE(OFFSET($H$3,0,0,'Données projet'!$E$9+1,1))</f>
        <v>379.12827535040157</v>
      </c>
      <c r="T200" s="59">
        <f t="shared" si="204"/>
        <v>317.29813413796956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12.672096547757787</v>
      </c>
      <c r="AA200" s="21">
        <f>EXP(-LN(2)/25)*AA199+(1-EXP(-LN(2)/25))/(LN(2)/25)*Calculateur!V200*Calculateur!X200*VLOOKUP('Données projet'!$B$9,Paramètres!$A$1:$I$89,3,0)*0.475*44/12</f>
        <v>0.43432083345318023</v>
      </c>
      <c r="AB200" s="21">
        <f>EXP(-LN(2)/2)*AB199+(1-EXP(-LN(2)/2))/(LN(2)/2)*V200*Y200*VLOOKUP('Données projet'!$B$9,Paramètres!$A$1:$I$89,3,0)*0.475*44/12</f>
        <v>3.1477492127626639E-26</v>
      </c>
      <c r="AC200" s="22">
        <f t="shared" si="163"/>
        <v>13.106417381210967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636.99999999999977</v>
      </c>
      <c r="AJ200" s="13">
        <f>AI200*VLOOKUP('Données projet'!$B$10,Paramètres!$A$1:$I$89,3,0)*VLOOKUP('Données projet'!$B$10,Paramètres!$A$1:$I$89,5,0)</f>
        <v>356.08299999999991</v>
      </c>
      <c r="AK200" s="13">
        <f t="shared" si="164"/>
        <v>82.813805255716545</v>
      </c>
      <c r="AL200" s="20">
        <f t="shared" si="165"/>
        <v>764.41193582037283</v>
      </c>
      <c r="AM200" s="59">
        <f t="shared" si="193"/>
        <v>1057.7452691537062</v>
      </c>
      <c r="AN200" s="59">
        <f ca="1">AVERAGE(OFFSET($AM$3,0,0,'Données projet'!$E$10+1,1))-AVERAGE(OFFSET($H$3,0,0,'Données projet'!$E$10+1,1))</f>
        <v>382.55387448074327</v>
      </c>
      <c r="AO200" s="59">
        <f t="shared" si="205"/>
        <v>476.29465646955543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6.4820629647474135</v>
      </c>
      <c r="AV200" s="21">
        <f>EXP(-LN(2)/25)*AV199+(1-EXP(-LN(2)/25))/(LN(2)/25)*Calculateur!AQ200*Calculateur!AS200*VLOOKUP('Données projet'!$B$10,Paramètres!$A$1:$I$89,3,0)*0.475*44/12</f>
        <v>0.21394536612003645</v>
      </c>
      <c r="AW200" s="21">
        <f>EXP(-LN(2)/2)*AW199+(1-EXP(-LN(2)/2))/(LN(2)/2)*AQ200*AT200*VLOOKUP('Données projet'!$B$10,Paramètres!$A$1:$I$89,3,0)*0.475*44/12</f>
        <v>4.4173466305025154E-25</v>
      </c>
      <c r="AX200" s="21">
        <f t="shared" si="166"/>
        <v>6.6960083308674498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267</v>
      </c>
      <c r="BE200" s="13">
        <f>BD200*VLOOKUP('Données projet'!$B$11,Paramètres!$A$1:$I$89,3,0)*VLOOKUP('Données projet'!$B$11,Paramètres!$A$1:$I$89,5,0)</f>
        <v>270.738</v>
      </c>
      <c r="BF200" s="13">
        <f t="shared" si="167"/>
        <v>65.005866623551711</v>
      </c>
      <c r="BG200" s="20">
        <f t="shared" si="168"/>
        <v>584.7539010360191</v>
      </c>
      <c r="BH200" s="59">
        <f t="shared" si="194"/>
        <v>878.08723436935247</v>
      </c>
      <c r="BI200" s="59">
        <f ca="1">AVERAGE(OFFSET($BH$3,0,0,'Données projet'!$E$11+1,1))-AVERAGE(OFFSET($H$3,0,0,'Données projet'!$E$11+1,1))</f>
        <v>308.80022073574963</v>
      </c>
      <c r="BJ200" s="59">
        <f t="shared" si="206"/>
        <v>183.96267407004115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16.697792324006496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16.697792324006496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795.00000000000068</v>
      </c>
      <c r="O201" s="13">
        <f>N201*VLOOKUP('Données projet'!$B$9,Paramètres!$A$1:$I$89,3,0)*VLOOKUP('Données projet'!$B$9,Paramètres!$A$1:$I$89,5,0)</f>
        <v>372.06000000000029</v>
      </c>
      <c r="P201" s="13">
        <f t="shared" si="203"/>
        <v>86.088609967897526</v>
      </c>
      <c r="Q201" s="20">
        <f t="shared" si="162"/>
        <v>797.94216236075533</v>
      </c>
      <c r="R201" s="59">
        <f t="shared" si="191"/>
        <v>1091.2754956940887</v>
      </c>
      <c r="S201" s="59">
        <f ca="1">AVERAGE(OFFSET($R$3,0,0,'Données projet'!$E$9+1,1))-AVERAGE(OFFSET($H$3,0,0,'Données projet'!$E$9+1,1))</f>
        <v>379.12827535040157</v>
      </c>
      <c r="T201" s="59">
        <f t="shared" si="204"/>
        <v>317.29813413796956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12.423604463671955</v>
      </c>
      <c r="AA201" s="21">
        <f>EXP(-LN(2)/25)*AA200+(1-EXP(-LN(2)/25))/(LN(2)/25)*Calculateur!V201*Calculateur!X201*VLOOKUP('Données projet'!$B$9,Paramètres!$A$1:$I$89,3,0)*0.475*44/12</f>
        <v>0.42244430742246303</v>
      </c>
      <c r="AB201" s="21">
        <f>EXP(-LN(2)/2)*AB200+(1-EXP(-LN(2)/2))/(LN(2)/2)*V201*Y201*VLOOKUP('Données projet'!$B$9,Paramètres!$A$1:$I$89,3,0)*0.475*44/12</f>
        <v>2.2257948138190962E-26</v>
      </c>
      <c r="AC201" s="22">
        <f t="shared" si="163"/>
        <v>12.846048771094418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636.99999999999977</v>
      </c>
      <c r="AJ201" s="13">
        <f>AI201*VLOOKUP('Données projet'!$B$10,Paramètres!$A$1:$I$89,3,0)*VLOOKUP('Données projet'!$B$10,Paramètres!$A$1:$I$89,5,0)</f>
        <v>356.08299999999991</v>
      </c>
      <c r="AK201" s="13">
        <f t="shared" si="164"/>
        <v>82.813805255716545</v>
      </c>
      <c r="AL201" s="20">
        <f t="shared" si="165"/>
        <v>764.41193582037283</v>
      </c>
      <c r="AM201" s="59">
        <f t="shared" si="193"/>
        <v>1057.7452691537062</v>
      </c>
      <c r="AN201" s="59">
        <f ca="1">AVERAGE(OFFSET($AM$3,0,0,'Données projet'!$E$10+1,1))-AVERAGE(OFFSET($H$3,0,0,'Données projet'!$E$10+1,1))</f>
        <v>382.55387448074327</v>
      </c>
      <c r="AO201" s="59">
        <f t="shared" si="205"/>
        <v>476.29465646955543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6.3549536636767332</v>
      </c>
      <c r="AV201" s="21">
        <f>EXP(-LN(2)/25)*AV200+(1-EXP(-LN(2)/25))/(LN(2)/25)*Calculateur!AQ201*Calculateur!AS201*VLOOKUP('Données projet'!$B$10,Paramètres!$A$1:$I$89,3,0)*0.475*44/12</f>
        <v>0.20809501883258621</v>
      </c>
      <c r="AW201" s="21">
        <f>EXP(-LN(2)/2)*AW200+(1-EXP(-LN(2)/2))/(LN(2)/2)*AQ201*AT201*VLOOKUP('Données projet'!$B$10,Paramètres!$A$1:$I$89,3,0)*0.475*44/12</f>
        <v>3.1235357572798752E-25</v>
      </c>
      <c r="AX201" s="21">
        <f t="shared" si="166"/>
        <v>6.5630486825093195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267</v>
      </c>
      <c r="BE201" s="13">
        <f>BD201*VLOOKUP('Données projet'!$B$11,Paramètres!$A$1:$I$89,3,0)*VLOOKUP('Données projet'!$B$11,Paramètres!$A$1:$I$89,5,0)</f>
        <v>270.738</v>
      </c>
      <c r="BF201" s="13">
        <f t="shared" si="167"/>
        <v>65.005866623551711</v>
      </c>
      <c r="BG201" s="20">
        <f t="shared" si="168"/>
        <v>584.7539010360191</v>
      </c>
      <c r="BH201" s="59">
        <f t="shared" si="194"/>
        <v>878.08723436935247</v>
      </c>
      <c r="BI201" s="59">
        <f ca="1">AVERAGE(OFFSET($BH$3,0,0,'Données projet'!$E$11+1,1))-AVERAGE(OFFSET($H$3,0,0,'Données projet'!$E$11+1,1))</f>
        <v>308.80022073574963</v>
      </c>
      <c r="BJ201" s="59">
        <f t="shared" si="206"/>
        <v>183.96267407004115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16.370358801180394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16.370358801180394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795.00000000000068</v>
      </c>
      <c r="O202" s="13">
        <f>N202*VLOOKUP('Données projet'!$B$9,Paramètres!$A$1:$I$89,3,0)*VLOOKUP('Données projet'!$B$9,Paramètres!$A$1:$I$89,5,0)</f>
        <v>372.06000000000029</v>
      </c>
      <c r="P202" s="13">
        <f t="shared" si="203"/>
        <v>86.088609967897526</v>
      </c>
      <c r="Q202" s="20">
        <f t="shared" si="162"/>
        <v>797.94216236075533</v>
      </c>
      <c r="R202" s="59">
        <f t="shared" si="191"/>
        <v>1091.2754956940887</v>
      </c>
      <c r="S202" s="59">
        <f ca="1">AVERAGE(OFFSET($R$3,0,0,'Données projet'!$E$9+1,1))-AVERAGE(OFFSET($H$3,0,0,'Données projet'!$E$9+1,1))</f>
        <v>379.12827535040157</v>
      </c>
      <c r="T202" s="59">
        <f t="shared" si="204"/>
        <v>317.29813413796956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12.17998515778984</v>
      </c>
      <c r="AA202" s="21">
        <f>EXP(-LN(2)/25)*AA201+(1-EXP(-LN(2)/25))/(LN(2)/25)*Calculateur!V202*Calculateur!X202*VLOOKUP('Données projet'!$B$9,Paramètres!$A$1:$I$89,3,0)*0.475*44/12</f>
        <v>0.41089254562061517</v>
      </c>
      <c r="AB202" s="21">
        <f>EXP(-LN(2)/2)*AB201+(1-EXP(-LN(2)/2))/(LN(2)/2)*V202*Y202*VLOOKUP('Données projet'!$B$9,Paramètres!$A$1:$I$89,3,0)*0.475*44/12</f>
        <v>1.573874606381332E-26</v>
      </c>
      <c r="AC202" s="22">
        <f t="shared" si="163"/>
        <v>12.590877703410456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636.99999999999977</v>
      </c>
      <c r="AJ202" s="13">
        <f>AI202*VLOOKUP('Données projet'!$B$10,Paramètres!$A$1:$I$89,3,0)*VLOOKUP('Données projet'!$B$10,Paramètres!$A$1:$I$89,5,0)</f>
        <v>356.08299999999991</v>
      </c>
      <c r="AK202" s="13">
        <f t="shared" si="164"/>
        <v>82.813805255716545</v>
      </c>
      <c r="AL202" s="20">
        <f t="shared" si="165"/>
        <v>764.41193582037283</v>
      </c>
      <c r="AM202" s="59">
        <f t="shared" si="193"/>
        <v>1057.7452691537062</v>
      </c>
      <c r="AN202" s="59">
        <f ca="1">AVERAGE(OFFSET($AM$3,0,0,'Données projet'!$E$10+1,1))-AVERAGE(OFFSET($H$3,0,0,'Données projet'!$E$10+1,1))</f>
        <v>382.55387448074327</v>
      </c>
      <c r="AO202" s="59">
        <f t="shared" si="205"/>
        <v>476.29465646955543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6.2303368984710303</v>
      </c>
      <c r="AV202" s="21">
        <f>EXP(-LN(2)/25)*AV201+(1-EXP(-LN(2)/25))/(LN(2)/25)*Calculateur!AQ202*Calculateur!AS202*VLOOKUP('Données projet'!$B$10,Paramètres!$A$1:$I$89,3,0)*0.475*44/12</f>
        <v>0.20240464959936771</v>
      </c>
      <c r="AW202" s="21">
        <f>EXP(-LN(2)/2)*AW201+(1-EXP(-LN(2)/2))/(LN(2)/2)*AQ202*AT202*VLOOKUP('Données projet'!$B$10,Paramètres!$A$1:$I$89,3,0)*0.475*44/12</f>
        <v>2.2086733152512577E-25</v>
      </c>
      <c r="AX202" s="21">
        <f t="shared" si="166"/>
        <v>6.432741548070398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267</v>
      </c>
      <c r="BE202" s="13">
        <f>BD202*VLOOKUP('Données projet'!$B$11,Paramètres!$A$1:$I$89,3,0)*VLOOKUP('Données projet'!$B$11,Paramètres!$A$1:$I$89,5,0)</f>
        <v>270.738</v>
      </c>
      <c r="BF202" s="13">
        <f t="shared" si="167"/>
        <v>65.005866623551711</v>
      </c>
      <c r="BG202" s="20">
        <f t="shared" si="168"/>
        <v>584.7539010360191</v>
      </c>
      <c r="BH202" s="59">
        <f t="shared" si="194"/>
        <v>878.08723436935247</v>
      </c>
      <c r="BI202" s="59">
        <f ca="1">AVERAGE(OFFSET($BH$3,0,0,'Données projet'!$E$11+1,1))-AVERAGE(OFFSET($H$3,0,0,'Données projet'!$E$11+1,1))</f>
        <v>308.80022073574963</v>
      </c>
      <c r="BJ202" s="59">
        <f t="shared" si="206"/>
        <v>183.96267407004115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16.049346050022184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16.049346050022184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795.00000000000068</v>
      </c>
      <c r="O203" s="13">
        <f>N203*VLOOKUP('Données projet'!$B$9,Paramètres!$A$1:$I$89,3,0)*VLOOKUP('Données projet'!$B$9,Paramètres!$A$1:$I$89,5,0)</f>
        <v>372.06000000000029</v>
      </c>
      <c r="P203" s="13">
        <f t="shared" si="203"/>
        <v>86.088609967897526</v>
      </c>
      <c r="Q203" s="20">
        <f t="shared" si="162"/>
        <v>797.94216236075533</v>
      </c>
      <c r="R203" s="59">
        <f t="shared" si="191"/>
        <v>1091.2754956940887</v>
      </c>
      <c r="S203" s="59">
        <f ca="1">AVERAGE(OFFSET($R$3,0,0,'Données projet'!$E$9+1,1))-AVERAGE(OFFSET($H$3,0,0,'Données projet'!$E$9+1,1))</f>
        <v>379.12827535040157</v>
      </c>
      <c r="T203" s="59">
        <f t="shared" si="204"/>
        <v>317.29813413796956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11.94114307790297</v>
      </c>
      <c r="AA203" s="21">
        <f>EXP(-LN(2)/25)*AA202+(1-EXP(-LN(2)/25))/(LN(2)/25)*Calculateur!V203*Calculateur!X203*VLOOKUP('Données projet'!$B$9,Paramètres!$A$1:$I$89,3,0)*0.475*44/12</f>
        <v>0.3996566673527196</v>
      </c>
      <c r="AB203" s="21">
        <f>EXP(-LN(2)/2)*AB202+(1-EXP(-LN(2)/2))/(LN(2)/2)*V203*Y203*VLOOKUP('Données projet'!$B$9,Paramètres!$A$1:$I$89,3,0)*0.475*44/12</f>
        <v>1.1128974069095481E-26</v>
      </c>
      <c r="AC203" s="22">
        <f t="shared" si="163"/>
        <v>12.340799745255689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636.99999999999977</v>
      </c>
      <c r="AJ203" s="13">
        <f>AI203*VLOOKUP('Données projet'!$B$10,Paramètres!$A$1:$I$89,3,0)*VLOOKUP('Données projet'!$B$10,Paramètres!$A$1:$I$89,5,0)</f>
        <v>356.08299999999991</v>
      </c>
      <c r="AK203" s="13">
        <f t="shared" si="164"/>
        <v>82.813805255716545</v>
      </c>
      <c r="AL203" s="20">
        <f t="shared" si="165"/>
        <v>764.41193582037283</v>
      </c>
      <c r="AM203" s="59">
        <f t="shared" si="193"/>
        <v>1057.7452691537062</v>
      </c>
      <c r="AN203" s="59">
        <f ca="1">AVERAGE(OFFSET($AM$3,0,0,'Données projet'!$E$10+1,1))-AVERAGE(OFFSET($H$3,0,0,'Données projet'!$E$10+1,1))</f>
        <v>382.55387448074327</v>
      </c>
      <c r="AO203" s="59">
        <f t="shared" si="205"/>
        <v>476.29465646955543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6.1081637920222898</v>
      </c>
      <c r="AV203" s="21">
        <f>EXP(-LN(2)/25)*AV202+(1-EXP(-LN(2)/25))/(LN(2)/25)*Calculateur!AQ203*Calculateur!AS203*VLOOKUP('Données projet'!$B$10,Paramètres!$A$1:$I$89,3,0)*0.475*44/12</f>
        <v>0.1968698838120751</v>
      </c>
      <c r="AW203" s="21">
        <f>EXP(-LN(2)/2)*AW202+(1-EXP(-LN(2)/2))/(LN(2)/2)*AQ203*AT203*VLOOKUP('Données projet'!$B$10,Paramètres!$A$1:$I$89,3,0)*0.475*44/12</f>
        <v>1.5617678786399376E-25</v>
      </c>
      <c r="AX203" s="21">
        <f t="shared" si="166"/>
        <v>6.3050336758343652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267</v>
      </c>
      <c r="BE203" s="13">
        <f>BD203*VLOOKUP('Données projet'!$B$11,Paramètres!$A$1:$I$89,3,0)*VLOOKUP('Données projet'!$B$11,Paramètres!$A$1:$I$89,5,0)</f>
        <v>270.738</v>
      </c>
      <c r="BF203" s="13">
        <f t="shared" si="167"/>
        <v>65.005866623551711</v>
      </c>
      <c r="BG203" s="20">
        <f t="shared" si="168"/>
        <v>584.7539010360191</v>
      </c>
      <c r="BH203" s="59">
        <f t="shared" si="194"/>
        <v>878.08723436935247</v>
      </c>
      <c r="BI203" s="59">
        <f ca="1">AVERAGE(OFFSET($BH$3,0,0,'Données projet'!$E$11+1,1))-AVERAGE(OFFSET($H$3,0,0,'Données projet'!$E$11+1,1))</f>
        <v>308.80022073574963</v>
      </c>
      <c r="BJ203" s="59">
        <f t="shared" si="206"/>
        <v>183.96267407004115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15.734628163115742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15.734628163115742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1.3167180204218134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1.3070441688874561</v>
      </c>
      <c r="BA205" s="81">
        <f>EXP(LN('Données projet'!B88)/'Données projet'!A88)</f>
        <v>1.2054868146447177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88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89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88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0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0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89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88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89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Cèdre de l'Atlas</v>
      </c>
      <c r="B6" s="144">
        <f>'Données projet'!D9</f>
        <v>3</v>
      </c>
      <c r="C6" s="145">
        <f ca="1">IF(OR('Données projet'!B9="",'Données projet'!C9="",'Données projet'!C9=0%),0,Calculateur!S3)</f>
        <v>379.12827535040157</v>
      </c>
      <c r="D6" s="145">
        <f>IF(OR('Données projet'!B9="",'Données projet'!C9="",'Données projet'!C9=0%),0,Calculateur!T3)</f>
        <v>317.29813413796956</v>
      </c>
      <c r="E6" s="145">
        <f ca="1">MIN(C6,D6)</f>
        <v>317.29813413796956</v>
      </c>
      <c r="F6" s="145">
        <f ca="1">E6*B6</f>
        <v>951.89440241390867</v>
      </c>
      <c r="G6" s="145">
        <f ca="1">F6*(100%-'Données projet'!$C$24)*(100%-'Données projet'!$C$25)*(100%-'Données projet'!$C$26)*(100%-'Données projet'!$C$27)</f>
        <v>856.70496217251787</v>
      </c>
      <c r="H6" s="146">
        <f>IF(OR('Données projet'!B9="",'Données projet'!C9="",'Données projet'!C9=0%),0,AVERAGE(Calculateur!$AC$3:$AC$33)*B6)</f>
        <v>19.668107771998105</v>
      </c>
      <c r="I6" s="147">
        <f>H6*(100%-'Données projet'!$C$24)*(100%-'Données projet'!$C$25)*(100%-'Données projet'!$C$26)*(100%-'Données projet'!$C$27)</f>
        <v>17.701296994798295</v>
      </c>
      <c r="J6" s="148">
        <f>IF(OR('Données projet'!B9="",'Données projet'!C9="",'Données projet'!C9=0%),0,SUM(Calculateur!$V$3:$V$33)*VLOOKUP('Données projet'!$B$9,Paramètres!$A$1:$I$89,9,0)*B6)</f>
        <v>214.14</v>
      </c>
      <c r="K6" s="149">
        <f>J6*(100%-'Données projet'!$C$24)*(100%-'Données projet'!$C$25)*(100%-'Données projet'!$C$26)*(100%-'Données projet'!$C$27)</f>
        <v>192.726</v>
      </c>
      <c r="L6" s="150">
        <f ca="1">G6+I6+K6</f>
        <v>1067.1322591673161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Douglas</v>
      </c>
      <c r="B7" s="152">
        <f>'Données projet'!D10</f>
        <v>1.5</v>
      </c>
      <c r="C7" s="145">
        <f ca="1">IF(OR('Données projet'!B10="",'Données projet'!C10="",'Données projet'!C10=0%),0,Calculateur!AN3)</f>
        <v>382.55387448074327</v>
      </c>
      <c r="D7" s="145">
        <f>IF(OR('Données projet'!B10="",'Données projet'!C10="",'Données projet'!C10=0%),0,Calculateur!AO3)</f>
        <v>476.29465646955543</v>
      </c>
      <c r="E7" s="145">
        <f t="shared" ref="E7:E15" ca="1" si="0">MIN(C7,D7)</f>
        <v>382.55387448074327</v>
      </c>
      <c r="F7" s="145">
        <f t="shared" ref="F7:F15" ca="1" si="1">E7*B7</f>
        <v>573.83081172111497</v>
      </c>
      <c r="G7" s="145">
        <f ca="1">F7*(100%-'Données projet'!$C$24)*(100%-'Données projet'!$C$25)*(100%-'Données projet'!$C$26)*(100%-'Données projet'!$C$27)</f>
        <v>516.4477305490035</v>
      </c>
      <c r="H7" s="153">
        <f>IF(OR('Données projet'!B10="",'Données projet'!C10="",'Données projet'!C10=0%),0,AVERAGE(Calculateur!$AX$3:$AX$33)*B7)</f>
        <v>6.0019654458397138</v>
      </c>
      <c r="I7" s="147">
        <f>H7*(100%-'Données projet'!$C$24)*(100%-'Données projet'!$C$25)*(100%-'Données projet'!$C$26)*(100%-'Données projet'!$C$27)</f>
        <v>5.4017689012557426</v>
      </c>
      <c r="J7" s="148">
        <f>IF(OR('Données projet'!B10="",'Données projet'!C10="",'Données projet'!C10=0%),0,SUM(Calculateur!$AQ$3:$AQ$33)*VLOOKUP('Données projet'!$B$10,Paramètres!$A$1:$I$89,9,0)*B7)</f>
        <v>69.66</v>
      </c>
      <c r="K7" s="149">
        <f>J7*(100%-'Données projet'!$C$24)*(100%-'Données projet'!$C$25)*(100%-'Données projet'!$C$26)*(100%-'Données projet'!$C$27)</f>
        <v>62.693999999999996</v>
      </c>
      <c r="L7" s="150">
        <f t="shared" ref="L7:L15" ca="1" si="2">G7+I7+K7</f>
        <v>584.54349945025922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pubescent</v>
      </c>
      <c r="B8" s="152">
        <f>'Données projet'!D11</f>
        <v>0.5</v>
      </c>
      <c r="C8" s="145">
        <f ca="1">IF(OR('Données projet'!B11="",'Données projet'!C11="",'Données projet'!C11=0%),0,Calculateur!BI3)</f>
        <v>308.80022073574963</v>
      </c>
      <c r="D8" s="145">
        <f>IF(OR('Données projet'!B11="",'Données projet'!C11="",'Données projet'!C11=0%),0,Calculateur!BJ3)</f>
        <v>183.96267407004115</v>
      </c>
      <c r="E8" s="145">
        <f t="shared" ca="1" si="0"/>
        <v>183.96267407004115</v>
      </c>
      <c r="F8" s="145">
        <f t="shared" ca="1" si="1"/>
        <v>91.981337035020573</v>
      </c>
      <c r="G8" s="145">
        <f ca="1">F8*(100%-'Données projet'!$C$24)*(100%-'Données projet'!$C$25)*(100%-'Données projet'!$C$26)*(100%-'Données projet'!$C$27)</f>
        <v>82.783203331518521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3.625</v>
      </c>
      <c r="K8" s="149">
        <f>J8*(100%-'Données projet'!$C$24)*(100%-'Données projet'!$C$25)*(100%-'Données projet'!$C$26)*(100%-'Données projet'!$C$27)</f>
        <v>3.2625000000000002</v>
      </c>
      <c r="L8" s="150">
        <f t="shared" ca="1" si="2"/>
        <v>86.045703331518524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1617.7065511700441</v>
      </c>
      <c r="G16" s="164">
        <f t="shared" ca="1" si="3"/>
        <v>1455.9358960530399</v>
      </c>
      <c r="H16" s="165">
        <f t="shared" si="3"/>
        <v>25.670073217837817</v>
      </c>
      <c r="I16" s="165">
        <f t="shared" si="3"/>
        <v>23.103065896054037</v>
      </c>
      <c r="J16" s="166">
        <f t="shared" si="3"/>
        <v>287.42499999999995</v>
      </c>
      <c r="K16" s="166">
        <f t="shared" si="3"/>
        <v>258.6825</v>
      </c>
      <c r="L16" s="167">
        <f t="shared" ca="1" si="3"/>
        <v>1737.721461949094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1" t="s">
        <v>246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L5" zoomScale="90" zoomScaleNormal="9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9" t="s">
        <v>315</v>
      </c>
      <c r="I4" s="269"/>
      <c r="K4" s="293" t="s">
        <v>253</v>
      </c>
      <c r="L4" s="294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Cèdre de l'Atlas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-2413.0221419288309</v>
      </c>
      <c r="U10" s="176">
        <f>'Données projet'!D9</f>
        <v>3</v>
      </c>
      <c r="V10" s="175">
        <f>U10*T10</f>
        <v>-7239.0664257864928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Douglas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-647.77998743932756</v>
      </c>
      <c r="U11" s="176">
        <f>'Données projet'!D10</f>
        <v>1.5</v>
      </c>
      <c r="V11" s="175">
        <f t="shared" ref="V11" si="0">U11*T11</f>
        <v>-971.66998115899128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pubescent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-2531.817323513942</v>
      </c>
      <c r="U12" s="176">
        <f>'Données projet'!D11</f>
        <v>0.5</v>
      </c>
      <c r="V12" s="175">
        <f t="shared" ref="V12:V19" si="1">U12*T12</f>
        <v>-1265.908661756971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Cèdre de l'Atlas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6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6"/>
      <c r="H16" s="188"/>
      <c r="I16" s="189"/>
      <c r="J16" s="200"/>
      <c r="K16" s="206"/>
      <c r="L16" s="293" t="s">
        <v>254</v>
      </c>
      <c r="M16" s="294"/>
      <c r="N16" s="2">
        <v>52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3204.45</v>
      </c>
      <c r="F17" s="228"/>
      <c r="G17" s="296"/>
      <c r="J17" s="200"/>
      <c r="K17" s="206"/>
      <c r="L17" s="266" t="s">
        <v>289</v>
      </c>
      <c r="M17" s="268"/>
      <c r="N17" s="173">
        <f>VLOOKUP(N16,Calculateur!$A$2:$H$153,3,0)/VLOOKUP('Scénario référence'!$G$15,Paramètres!A1:I89,3,0)/VLOOKUP('Scénario référence'!$G$15,Paramètres!A1:I89,5,0)</f>
        <v>52.000000000000057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6"/>
      <c r="J18" s="200"/>
      <c r="K18" s="206"/>
      <c r="L18" s="266" t="s">
        <v>255</v>
      </c>
      <c r="M18" s="268"/>
      <c r="N18" s="190">
        <v>15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6"/>
      <c r="H19" s="210" t="s">
        <v>178</v>
      </c>
      <c r="I19" s="210" t="s">
        <v>287</v>
      </c>
      <c r="J19" s="91"/>
      <c r="K19" s="171"/>
      <c r="L19" s="293" t="s">
        <v>288</v>
      </c>
      <c r="M19" s="294"/>
      <c r="N19" s="177">
        <f>N17*N18</f>
        <v>780.00000000000091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6"/>
      <c r="H20" s="188">
        <v>0</v>
      </c>
      <c r="I20" s="189">
        <v>3211.65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15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5" t="s">
        <v>260</v>
      </c>
      <c r="M23" s="295"/>
      <c r="N23" s="295"/>
      <c r="O23" s="23"/>
      <c r="P23" s="23"/>
      <c r="Q23" s="232"/>
      <c r="R23" s="23"/>
      <c r="S23" s="36" t="s">
        <v>264</v>
      </c>
      <c r="T23" s="30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-25534.895068702455</v>
      </c>
      <c r="U23" s="308"/>
      <c r="V23" s="30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20</v>
      </c>
      <c r="B24" s="179">
        <f>'Données projet'!D37</f>
        <v>26</v>
      </c>
      <c r="C24" s="191">
        <v>15</v>
      </c>
      <c r="D24" s="180">
        <f t="shared" ref="D24:D42" si="2">B24*C24</f>
        <v>390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9">
        <f ca="1">'Scénario référence'!$B$8*$M$30*'Données projet'!$C$5+('Scénario référence'!B9+'Scénario référence'!B10+'Scénario référence'!F8+'Scénario référence'!F9)*$N$19/(1+M4)^N16*'Données projet'!$C$5</f>
        <v>395.38255522176138</v>
      </c>
      <c r="U24" s="309"/>
      <c r="V24" s="30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25</v>
      </c>
      <c r="B25" s="179">
        <f>'Données projet'!D38</f>
        <v>70</v>
      </c>
      <c r="C25" s="191">
        <v>15</v>
      </c>
      <c r="D25" s="180">
        <f t="shared" si="2"/>
        <v>1050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0">
        <f ca="1">T23-T24</f>
        <v>-25930.277623924216</v>
      </c>
      <c r="U25" s="310"/>
      <c r="V25" s="31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70</v>
      </c>
      <c r="C26" s="191">
        <v>15</v>
      </c>
      <c r="D26" s="180">
        <f t="shared" si="2"/>
        <v>1050</v>
      </c>
      <c r="E26" s="191"/>
      <c r="F26" s="231"/>
      <c r="G26" s="227"/>
      <c r="H26" s="188"/>
      <c r="I26" s="189"/>
      <c r="K26" s="206"/>
      <c r="L26" s="297" t="s">
        <v>258</v>
      </c>
      <c r="M26" s="298"/>
      <c r="N26" s="298"/>
      <c r="O26" s="298"/>
      <c r="P26" s="299"/>
      <c r="Q26" s="232"/>
      <c r="R26" s="23"/>
      <c r="S26" s="184" t="s">
        <v>265</v>
      </c>
      <c r="T26" s="307" t="str">
        <f ca="1">IF(T25&lt;0,"Votre projet est additionnel","Votre projet n'est pas additionnel")</f>
        <v>Votre projet est additionnel</v>
      </c>
      <c r="U26" s="307"/>
      <c r="V26" s="30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35</v>
      </c>
      <c r="B27" s="179">
        <f>'Données projet'!D40</f>
        <v>70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0"/>
      <c r="M27" s="301"/>
      <c r="N27" s="301"/>
      <c r="O27" s="301"/>
      <c r="P27" s="302"/>
      <c r="Q27" s="232"/>
      <c r="R27" s="23"/>
      <c r="S27" s="306" t="s">
        <v>267</v>
      </c>
      <c r="T27" s="306"/>
      <c r="U27" s="306"/>
      <c r="V27" s="30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40</v>
      </c>
      <c r="B28" s="179">
        <f>'Données projet'!D41</f>
        <v>70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45</v>
      </c>
      <c r="B29" s="179">
        <f>'Données projet'!D42</f>
        <v>70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50</v>
      </c>
      <c r="B30" s="179">
        <f>'Données projet'!D43</f>
        <v>70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55</v>
      </c>
      <c r="B31" s="179">
        <f>'Données projet'!D44</f>
        <v>63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60</v>
      </c>
      <c r="B32" s="179">
        <f>'Données projet'!D45</f>
        <v>56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65</v>
      </c>
      <c r="B33" s="179">
        <f>'Données projet'!D46</f>
        <v>52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70</v>
      </c>
      <c r="B34" s="179">
        <f>'Données projet'!D47</f>
        <v>49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75</v>
      </c>
      <c r="B35" s="179">
        <f>'Données projet'!D48</f>
        <v>47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80</v>
      </c>
      <c r="B36" s="179">
        <f>'Données projet'!D49</f>
        <v>45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Douglas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864.05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19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25</v>
      </c>
      <c r="B55" s="179">
        <f>'Données projet'!D63</f>
        <v>54</v>
      </c>
      <c r="C55" s="189">
        <v>15</v>
      </c>
      <c r="D55" s="177">
        <f t="shared" ref="D55:D73" si="4">B55*C55</f>
        <v>810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30</v>
      </c>
      <c r="B56" s="179">
        <f>'Données projet'!D64</f>
        <v>54</v>
      </c>
      <c r="C56" s="189">
        <v>15</v>
      </c>
      <c r="D56" s="177">
        <f t="shared" si="4"/>
        <v>810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35</v>
      </c>
      <c r="B57" s="179">
        <f>'Données projet'!D65</f>
        <v>69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40</v>
      </c>
      <c r="B58" s="179">
        <f>'Données projet'!D66</f>
        <v>72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45</v>
      </c>
      <c r="B59" s="179">
        <f>'Données projet'!D67</f>
        <v>66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50</v>
      </c>
      <c r="B60" s="179">
        <f>'Données projet'!D68</f>
        <v>48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55</v>
      </c>
      <c r="B61" s="179">
        <f>'Données projet'!D69</f>
        <v>35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29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pubescent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2655.85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20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25</v>
      </c>
      <c r="B86" s="179">
        <f>'Données projet'!D89</f>
        <v>8</v>
      </c>
      <c r="C86" s="189">
        <v>15</v>
      </c>
      <c r="D86" s="177">
        <f t="shared" ref="D86:D104" si="6">B86*C86</f>
        <v>120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30</v>
      </c>
      <c r="B87" s="179">
        <f>'Données projet'!D90</f>
        <v>21</v>
      </c>
      <c r="C87" s="189">
        <v>15</v>
      </c>
      <c r="D87" s="177">
        <f t="shared" si="6"/>
        <v>315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35</v>
      </c>
      <c r="B88" s="179">
        <f>'Données projet'!D91</f>
        <v>21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40</v>
      </c>
      <c r="B89" s="179">
        <f>'Données projet'!D92</f>
        <v>21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45</v>
      </c>
      <c r="B90" s="179">
        <f>'Données projet'!D93</f>
        <v>21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50</v>
      </c>
      <c r="B91" s="179">
        <f>'Données projet'!D94</f>
        <v>21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55</v>
      </c>
      <c r="B92" s="179">
        <f>'Données projet'!D95</f>
        <v>21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60</v>
      </c>
      <c r="B93" s="179">
        <f>'Données projet'!D96</f>
        <v>21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65</v>
      </c>
      <c r="B94" s="179">
        <f>'Données projet'!D97</f>
        <v>21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str">
        <f>IF(O93+1&lt;=MIN('Données projet'!$E$9:$E$18),O93+1,"STOP")</f>
        <v>STOP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70</v>
      </c>
      <c r="B95" s="179">
        <f>'Données projet'!D98</f>
        <v>21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75</v>
      </c>
      <c r="B96" s="179">
        <f>'Données projet'!D99</f>
        <v>21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80</v>
      </c>
      <c r="B97" s="179">
        <f>'Données projet'!D100</f>
        <v>21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85</v>
      </c>
      <c r="B98" s="179">
        <f>'Données projet'!D101</f>
        <v>21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90</v>
      </c>
      <c r="B99" s="179">
        <f>'Données projet'!D102</f>
        <v>21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95</v>
      </c>
      <c r="B100" s="179">
        <f>'Données projet'!D103</f>
        <v>21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100</v>
      </c>
      <c r="B101" s="179">
        <f>'Données projet'!D104</f>
        <v>21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105</v>
      </c>
      <c r="B102" s="179">
        <f>'Données projet'!D105</f>
        <v>20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110</v>
      </c>
      <c r="B103" s="179">
        <f>'Données projet'!D106</f>
        <v>19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115</v>
      </c>
      <c r="B104" s="179">
        <f>'Données projet'!D107</f>
        <v>18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2024-01-26T11:06:48Z</dcterms:modified>
</cp:coreProperties>
</file>