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ND_Groissiat (01)\Dossier d_instruction\"/>
    </mc:Choice>
  </mc:AlternateContent>
  <xr:revisionPtr revIDLastSave="0" documentId="13_ncr:1_{66689B25-C41C-42E2-8950-13358A5E3BAD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<sst xmlns="http://schemas.openxmlformats.org/spreadsheetml/2006/main" count="1177" uniqueCount="326">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</sst>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1.6202091289464609</c:v>
                </c:pt>
                <c:pt idx="2">
                  <c:v>2.1426861659625378</c:v>
                </c:pt>
                <c:pt idx="3">
                  <c:v>2.8343538096715353</c:v>
                </c:pt>
                <c:pt idx="4">
                  <c:v>3.750215551424795</c:v>
                </c:pt>
                <c:pt idx="5">
                  <c:v>4.9632220203237694</c:v>
                </c:pt>
                <c:pt idx="6">
                  <c:v>6.5701468754391996</c:v>
                </c:pt>
                <c:pt idx="7">
                  <c:v>8.6993924802311628</c:v>
                </c:pt>
                <c:pt idx="8">
                  <c:v>11.521360957053394</c:v>
                </c:pt>
                <c:pt idx="9">
                  <c:v>15.262236105676472</c:v>
                </c:pt>
                <c:pt idx="10">
                  <c:v>20.222301026879929</c:v>
                </c:pt>
                <c:pt idx="11">
                  <c:v>26.800288163489981</c:v>
                </c:pt>
                <c:pt idx="12">
                  <c:v>35.525753557689733</c:v>
                </c:pt>
                <c:pt idx="13">
                  <c:v>47.102126332835446</c:v>
                </c:pt>
                <c:pt idx="14">
                  <c:v>62.463962254142665</c:v>
                </c:pt>
                <c:pt idx="15">
                  <c:v>82.85309935773347</c:v>
                </c:pt>
                <c:pt idx="16">
                  <c:v>107.5714367632949</c:v>
                </c:pt>
                <c:pt idx="17">
                  <c:v>132.14910489975804</c:v>
                </c:pt>
                <c:pt idx="18">
                  <c:v>156.61609434461207</c:v>
                </c:pt>
                <c:pt idx="19">
                  <c:v>180.99217685858619</c:v>
                </c:pt>
                <c:pt idx="20">
                  <c:v>205.29133473515969</c:v>
                </c:pt>
                <c:pt idx="21">
                  <c:v>185.85778785150788</c:v>
                </c:pt>
                <c:pt idx="22">
                  <c:v>216.00176068460652</c:v>
                </c:pt>
                <c:pt idx="23">
                  <c:v>246.04884729357317</c:v>
                </c:pt>
                <c:pt idx="24">
                  <c:v>276.01254545472335</c:v>
                </c:pt>
                <c:pt idx="25">
                  <c:v>305.90317747212345</c:v>
                </c:pt>
                <c:pt idx="26">
                  <c:v>260.53766392680978</c:v>
                </c:pt>
                <c:pt idx="27">
                  <c:v>292.47090180189429</c:v>
                </c:pt>
                <c:pt idx="28">
                  <c:v>324.32626909194676</c:v>
                </c:pt>
                <c:pt idx="29">
                  <c:v>356.11248323761021</c:v>
                </c:pt>
                <c:pt idx="30">
                  <c:v>387.83657804664432</c:v>
                </c:pt>
                <c:pt idx="31">
                  <c:v>342.32647548510039</c:v>
                </c:pt>
                <c:pt idx="32">
                  <c:v>373.6777537813179</c:v>
                </c:pt>
                <c:pt idx="33">
                  <c:v>404.97172072395028</c:v>
                </c:pt>
                <c:pt idx="34">
                  <c:v>436.21342207075668</c:v>
                </c:pt>
                <c:pt idx="35">
                  <c:v>467.40712233198587</c:v>
                </c:pt>
                <c:pt idx="36">
                  <c:v>420.69831700274091</c:v>
                </c:pt>
                <c:pt idx="37">
                  <c:v>450.52453926699656</c:v>
                </c:pt>
                <c:pt idx="38">
                  <c:v>480.30853891265809</c:v>
                </c:pt>
                <c:pt idx="39">
                  <c:v>510.05329873866987</c:v>
                </c:pt>
                <c:pt idx="40">
                  <c:v>539.76142564164661</c:v>
                </c:pt>
                <c:pt idx="41">
                  <c:v>491.21936176570608</c:v>
                </c:pt>
                <c:pt idx="42">
                  <c:v>518.96947327099531</c:v>
                </c:pt>
                <c:pt idx="43">
                  <c:v>546.68830251799864</c:v>
                </c:pt>
                <c:pt idx="44">
                  <c:v>574.37765656188196</c:v>
                </c:pt>
                <c:pt idx="45">
                  <c:v>602.0391542325317</c:v>
                </c:pt>
                <c:pt idx="46">
                  <c:v>552.03063378489981</c:v>
                </c:pt>
                <c:pt idx="47">
                  <c:v>578.13331675125153</c:v>
                </c:pt>
                <c:pt idx="48">
                  <c:v>604.21142107354433</c:v>
                </c:pt>
                <c:pt idx="49">
                  <c:v>630.26615542315449</c:v>
                </c:pt>
                <c:pt idx="50">
                  <c:v>656.29862051784369</c:v>
                </c:pt>
                <c:pt idx="51">
                  <c:v>605.39622547563874</c:v>
                </c:pt>
                <c:pt idx="52">
                  <c:v>629.47695051408391</c:v>
                </c:pt>
                <c:pt idx="53">
                  <c:v>653.53862634443976</c:v>
                </c:pt>
                <c:pt idx="54">
                  <c:v>677.58205212950963</c:v>
                </c:pt>
                <c:pt idx="55">
                  <c:v>701.6079657632057</c:v>
                </c:pt>
                <c:pt idx="56">
                  <c:v>658.86125812821149</c:v>
                </c:pt>
                <c:pt idx="57">
                  <c:v>681.1279433183812</c:v>
                </c:pt>
                <c:pt idx="58">
                  <c:v>703.37969466682216</c:v>
                </c:pt>
                <c:pt idx="59">
                  <c:v>725.61705054675224</c:v>
                </c:pt>
                <c:pt idx="60">
                  <c:v>747.84051368319672</c:v>
                </c:pt>
                <c:pt idx="61">
                  <c:v>709.67843760807307</c:v>
                </c:pt>
                <c:pt idx="62">
                  <c:v>730.53492575764778</c:v>
                </c:pt>
                <c:pt idx="63">
                  <c:v>751.3792832898913</c:v>
                </c:pt>
                <c:pt idx="64">
                  <c:v>772.21189370950435</c:v>
                </c:pt>
                <c:pt idx="65">
                  <c:v>793.03311816691746</c:v>
                </c:pt>
                <c:pt idx="66">
                  <c:v>757.07992270878549</c:v>
                </c:pt>
                <c:pt idx="67">
                  <c:v>776.14128750193925</c:v>
                </c:pt>
                <c:pt idx="68">
                  <c:v>795.19317303888658</c:v>
                </c:pt>
                <c:pt idx="69">
                  <c:v>814.23583815877089</c:v>
                </c:pt>
                <c:pt idx="70">
                  <c:v>833.2695286207304</c:v>
                </c:pt>
                <c:pt idx="71">
                  <c:v>798.92389786277101</c:v>
                </c:pt>
                <c:pt idx="72">
                  <c:v>816.5910031168105</c:v>
                </c:pt>
                <c:pt idx="73">
                  <c:v>834.25040783808493</c:v>
                </c:pt>
                <c:pt idx="74">
                  <c:v>851.90229781195683</c:v>
                </c:pt>
                <c:pt idx="75">
                  <c:v>869.5468505056682</c:v>
                </c:pt>
                <c:pt idx="76">
                  <c:v>836.80058534437376</c:v>
                </c:pt>
                <c:pt idx="77">
                  <c:v>853.07882767831904</c:v>
                </c:pt>
                <c:pt idx="78">
                  <c:v>869.35083960501481</c:v>
                </c:pt>
                <c:pt idx="79">
                  <c:v>885.61675404580762</c:v>
                </c:pt>
                <c:pt idx="80">
                  <c:v>901.87669864666202</c:v>
                </c:pt>
                <c:pt idx="81">
                  <c:v>854.8435614514475</c:v>
                </c:pt>
                <c:pt idx="82">
                  <c:v>854.8435614514475</c:v>
                </c:pt>
                <c:pt idx="83">
                  <c:v>854.8435614514475</c:v>
                </c:pt>
                <c:pt idx="84">
                  <c:v>854.8435614514475</c:v>
                </c:pt>
                <c:pt idx="85">
                  <c:v>854.8435614514475</c:v>
                </c:pt>
                <c:pt idx="86">
                  <c:v>854.8435614514475</c:v>
                </c:pt>
                <c:pt idx="87">
                  <c:v>854.8435614514475</c:v>
                </c:pt>
                <c:pt idx="88">
                  <c:v>854.8435614514475</c:v>
                </c:pt>
                <c:pt idx="89">
                  <c:v>854.8435614514475</c:v>
                </c:pt>
                <c:pt idx="90">
                  <c:v>854.8435614514475</c:v>
                </c:pt>
                <c:pt idx="91">
                  <c:v>854.8435614514475</c:v>
                </c:pt>
                <c:pt idx="92">
                  <c:v>854.8435614514475</c:v>
                </c:pt>
                <c:pt idx="93">
                  <c:v>854.8435614514475</c:v>
                </c:pt>
                <c:pt idx="94">
                  <c:v>854.8435614514475</c:v>
                </c:pt>
                <c:pt idx="95">
                  <c:v>854.8435614514475</c:v>
                </c:pt>
                <c:pt idx="96">
                  <c:v>854.8435614514475</c:v>
                </c:pt>
                <c:pt idx="97">
                  <c:v>854.8435614514475</c:v>
                </c:pt>
                <c:pt idx="98">
                  <c:v>854.8435614514475</c:v>
                </c:pt>
                <c:pt idx="99">
                  <c:v>854.8435614514475</c:v>
                </c:pt>
                <c:pt idx="100">
                  <c:v>854.8435614514475</c:v>
                </c:pt>
                <c:pt idx="101">
                  <c:v>854.8435614514475</c:v>
                </c:pt>
                <c:pt idx="102">
                  <c:v>854.8435614514475</c:v>
                </c:pt>
                <c:pt idx="103">
                  <c:v>854.8435614514475</c:v>
                </c:pt>
                <c:pt idx="104">
                  <c:v>854.8435614514475</c:v>
                </c:pt>
                <c:pt idx="105">
                  <c:v>854.8435614514475</c:v>
                </c:pt>
                <c:pt idx="106">
                  <c:v>854.8435614514475</c:v>
                </c:pt>
                <c:pt idx="107">
                  <c:v>854.8435614514475</c:v>
                </c:pt>
                <c:pt idx="108">
                  <c:v>854.8435614514475</c:v>
                </c:pt>
                <c:pt idx="109">
                  <c:v>854.8435614514475</c:v>
                </c:pt>
                <c:pt idx="110">
                  <c:v>854.8435614514475</c:v>
                </c:pt>
                <c:pt idx="111">
                  <c:v>854.8435614514475</c:v>
                </c:pt>
                <c:pt idx="112">
                  <c:v>854.8435614514475</c:v>
                </c:pt>
                <c:pt idx="113">
                  <c:v>854.8435614514475</c:v>
                </c:pt>
                <c:pt idx="114">
                  <c:v>854.8435614514475</c:v>
                </c:pt>
                <c:pt idx="115">
                  <c:v>854.8435614514475</c:v>
                </c:pt>
                <c:pt idx="116">
                  <c:v>854.8435614514475</c:v>
                </c:pt>
                <c:pt idx="117">
                  <c:v>854.8435614514475</c:v>
                </c:pt>
                <c:pt idx="118">
                  <c:v>854.8435614514475</c:v>
                </c:pt>
                <c:pt idx="119">
                  <c:v>854.8435614514475</c:v>
                </c:pt>
                <c:pt idx="120">
                  <c:v>854.8435614514475</c:v>
                </c:pt>
                <c:pt idx="121">
                  <c:v>854.8435614514475</c:v>
                </c:pt>
                <c:pt idx="122">
                  <c:v>854.8435614514475</c:v>
                </c:pt>
                <c:pt idx="123">
                  <c:v>854.8435614514475</c:v>
                </c:pt>
                <c:pt idx="124">
                  <c:v>854.8435614514475</c:v>
                </c:pt>
                <c:pt idx="125">
                  <c:v>854.8435614514475</c:v>
                </c:pt>
                <c:pt idx="126">
                  <c:v>854.8435614514475</c:v>
                </c:pt>
                <c:pt idx="127">
                  <c:v>854.8435614514475</c:v>
                </c:pt>
                <c:pt idx="128">
                  <c:v>854.8435614514475</c:v>
                </c:pt>
                <c:pt idx="129">
                  <c:v>854.8435614514475</c:v>
                </c:pt>
                <c:pt idx="130">
                  <c:v>854.8435614514475</c:v>
                </c:pt>
                <c:pt idx="131">
                  <c:v>854.8435614514475</c:v>
                </c:pt>
                <c:pt idx="132">
                  <c:v>854.8435614514475</c:v>
                </c:pt>
                <c:pt idx="133">
                  <c:v>854.8435614514475</c:v>
                </c:pt>
                <c:pt idx="134">
                  <c:v>854.8435614514475</c:v>
                </c:pt>
                <c:pt idx="135">
                  <c:v>854.8435614514475</c:v>
                </c:pt>
                <c:pt idx="136">
                  <c:v>854.8435614514475</c:v>
                </c:pt>
                <c:pt idx="137">
                  <c:v>854.8435614514475</c:v>
                </c:pt>
                <c:pt idx="138">
                  <c:v>854.8435614514475</c:v>
                </c:pt>
                <c:pt idx="139">
                  <c:v>854.8435614514475</c:v>
                </c:pt>
                <c:pt idx="140">
                  <c:v>854.8435614514475</c:v>
                </c:pt>
                <c:pt idx="141">
                  <c:v>854.8435614514475</c:v>
                </c:pt>
                <c:pt idx="142">
                  <c:v>854.8435614514475</c:v>
                </c:pt>
                <c:pt idx="143">
                  <c:v>854.8435614514475</c:v>
                </c:pt>
                <c:pt idx="144">
                  <c:v>854.8435614514475</c:v>
                </c:pt>
                <c:pt idx="145">
                  <c:v>854.8435614514475</c:v>
                </c:pt>
                <c:pt idx="146">
                  <c:v>854.8435614514475</c:v>
                </c:pt>
                <c:pt idx="147">
                  <c:v>854.8435614514475</c:v>
                </c:pt>
                <c:pt idx="148">
                  <c:v>854.8435614514475</c:v>
                </c:pt>
                <c:pt idx="149">
                  <c:v>854.8435614514475</c:v>
                </c:pt>
                <c:pt idx="150">
                  <c:v>854.8435614514475</c:v>
                </c:pt>
                <c:pt idx="151">
                  <c:v>854.8435614514475</c:v>
                </c:pt>
                <c:pt idx="152">
                  <c:v>854.8435614514475</c:v>
                </c:pt>
                <c:pt idx="153">
                  <c:v>854.8435614514475</c:v>
                </c:pt>
                <c:pt idx="154">
                  <c:v>854.8435614514475</c:v>
                </c:pt>
                <c:pt idx="155">
                  <c:v>854.8435614514475</c:v>
                </c:pt>
                <c:pt idx="156">
                  <c:v>854.8435614514475</c:v>
                </c:pt>
                <c:pt idx="157">
                  <c:v>854.8435614514475</c:v>
                </c:pt>
                <c:pt idx="158">
                  <c:v>854.8435614514475</c:v>
                </c:pt>
                <c:pt idx="159">
                  <c:v>854.8435614514475</c:v>
                </c:pt>
                <c:pt idx="160">
                  <c:v>854.8435614514475</c:v>
                </c:pt>
                <c:pt idx="161">
                  <c:v>854.8435614514475</c:v>
                </c:pt>
                <c:pt idx="162">
                  <c:v>854.8435614514475</c:v>
                </c:pt>
                <c:pt idx="163">
                  <c:v>854.8435614514475</c:v>
                </c:pt>
                <c:pt idx="164">
                  <c:v>854.8435614514475</c:v>
                </c:pt>
                <c:pt idx="165">
                  <c:v>854.8435614514475</c:v>
                </c:pt>
                <c:pt idx="166">
                  <c:v>854.8435614514475</c:v>
                </c:pt>
                <c:pt idx="167">
                  <c:v>854.8435614514475</c:v>
                </c:pt>
                <c:pt idx="168">
                  <c:v>854.8435614514475</c:v>
                </c:pt>
                <c:pt idx="169">
                  <c:v>854.8435614514475</c:v>
                </c:pt>
                <c:pt idx="170">
                  <c:v>854.8435614514475</c:v>
                </c:pt>
                <c:pt idx="171">
                  <c:v>854.8435614514475</c:v>
                </c:pt>
                <c:pt idx="172">
                  <c:v>854.8435614514475</c:v>
                </c:pt>
                <c:pt idx="173">
                  <c:v>854.8435614514475</c:v>
                </c:pt>
                <c:pt idx="174">
                  <c:v>854.8435614514475</c:v>
                </c:pt>
                <c:pt idx="175">
                  <c:v>854.8435614514475</c:v>
                </c:pt>
                <c:pt idx="176">
                  <c:v>854.8435614514475</c:v>
                </c:pt>
                <c:pt idx="177">
                  <c:v>854.8435614514475</c:v>
                </c:pt>
                <c:pt idx="178">
                  <c:v>854.8435614514475</c:v>
                </c:pt>
                <c:pt idx="179">
                  <c:v>854.8435614514475</c:v>
                </c:pt>
                <c:pt idx="180">
                  <c:v>854.8435614514475</c:v>
                </c:pt>
                <c:pt idx="181">
                  <c:v>854.8435614514475</c:v>
                </c:pt>
                <c:pt idx="182">
                  <c:v>854.8435614514475</c:v>
                </c:pt>
                <c:pt idx="183">
                  <c:v>854.8435614514475</c:v>
                </c:pt>
                <c:pt idx="184">
                  <c:v>854.8435614514475</c:v>
                </c:pt>
                <c:pt idx="185">
                  <c:v>854.8435614514475</c:v>
                </c:pt>
                <c:pt idx="186">
                  <c:v>854.8435614514475</c:v>
                </c:pt>
                <c:pt idx="187">
                  <c:v>854.8435614514475</c:v>
                </c:pt>
                <c:pt idx="188">
                  <c:v>854.8435614514475</c:v>
                </c:pt>
                <c:pt idx="189">
                  <c:v>854.8435614514475</c:v>
                </c:pt>
                <c:pt idx="190">
                  <c:v>854.8435614514475</c:v>
                </c:pt>
                <c:pt idx="191">
                  <c:v>854.8435614514475</c:v>
                </c:pt>
                <c:pt idx="192">
                  <c:v>854.8435614514475</c:v>
                </c:pt>
                <c:pt idx="193">
                  <c:v>854.8435614514475</c:v>
                </c:pt>
                <c:pt idx="194">
                  <c:v>854.8435614514475</c:v>
                </c:pt>
                <c:pt idx="195">
                  <c:v>854.8435614514475</c:v>
                </c:pt>
                <c:pt idx="196">
                  <c:v>854.8435614514475</c:v>
                </c:pt>
                <c:pt idx="197">
                  <c:v>854.8435614514475</c:v>
                </c:pt>
                <c:pt idx="198">
                  <c:v>854.8435614514475</c:v>
                </c:pt>
                <c:pt idx="199">
                  <c:v>854.8435614514475</c:v>
                </c:pt>
                <c:pt idx="200">
                  <c:v>854.8435614514475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3.1070732524005358</c:v>
                </c:pt>
                <c:pt idx="2">
                  <c:v>3.9188517152693092</c:v>
                </c:pt>
                <c:pt idx="3">
                  <c:v>4.9435434679155108</c:v>
                </c:pt>
                <c:pt idx="4">
                  <c:v>6.2371942955058799</c:v>
                </c:pt>
                <c:pt idx="5">
                  <c:v>7.8706529792516697</c:v>
                </c:pt>
                <c:pt idx="6">
                  <c:v>9.9334933415181794</c:v>
                </c:pt>
                <c:pt idx="7">
                  <c:v>12.538978421483094</c:v>
                </c:pt>
                <c:pt idx="8">
                  <c:v>15.830344414192332</c:v>
                </c:pt>
                <c:pt idx="9">
                  <c:v>19.988756146300936</c:v>
                </c:pt>
                <c:pt idx="10">
                  <c:v>25.243379843811024</c:v>
                </c:pt>
                <c:pt idx="11">
                  <c:v>31.884138091095355</c:v>
                </c:pt>
                <c:pt idx="12">
                  <c:v>40.277862935897133</c:v>
                </c:pt>
                <c:pt idx="13">
                  <c:v>50.888754624871218</c:v>
                </c:pt>
                <c:pt idx="14">
                  <c:v>64.30429632325378</c:v>
                </c:pt>
                <c:pt idx="15">
                  <c:v>81.26808316628383</c:v>
                </c:pt>
                <c:pt idx="16">
                  <c:v>73.994272320757076</c:v>
                </c:pt>
                <c:pt idx="17">
                  <c:v>98.745953295523961</c:v>
                </c:pt>
                <c:pt idx="18">
                  <c:v>123.34246499006633</c:v>
                </c:pt>
                <c:pt idx="19">
                  <c:v>147.81932853312981</c:v>
                </c:pt>
                <c:pt idx="20">
                  <c:v>172.19921472129715</c:v>
                </c:pt>
                <c:pt idx="21">
                  <c:v>139.81265219870173</c:v>
                </c:pt>
                <c:pt idx="22">
                  <c:v>166.32236690304859</c:v>
                </c:pt>
                <c:pt idx="23">
                  <c:v>192.73216648384053</c:v>
                </c:pt>
                <c:pt idx="24">
                  <c:v>219.05768580263302</c:v>
                </c:pt>
                <c:pt idx="25">
                  <c:v>245.31048218883168</c:v>
                </c:pt>
                <c:pt idx="26">
                  <c:v>211.5439756614193</c:v>
                </c:pt>
                <c:pt idx="27">
                  <c:v>236.15050195685842</c:v>
                </c:pt>
                <c:pt idx="28">
                  <c:v>260.69854644227718</c:v>
                </c:pt>
                <c:pt idx="29">
                  <c:v>285.19438858407307</c:v>
                </c:pt>
                <c:pt idx="30">
                  <c:v>309.64314037802706</c:v>
                </c:pt>
                <c:pt idx="31">
                  <c:v>273.99055606211823</c:v>
                </c:pt>
                <c:pt idx="32">
                  <c:v>296.38837122188016</c:v>
                </c:pt>
                <c:pt idx="33">
                  <c:v>318.74845191443995</c:v>
                </c:pt>
                <c:pt idx="34">
                  <c:v>341.07381596633996</c:v>
                </c:pt>
                <c:pt idx="35">
                  <c:v>363.3670539509107</c:v>
                </c:pt>
                <c:pt idx="36">
                  <c:v>325.36686982553408</c:v>
                </c:pt>
                <c:pt idx="37">
                  <c:v>345.20454595217711</c:v>
                </c:pt>
                <c:pt idx="38">
                  <c:v>365.01719063545926</c:v>
                </c:pt>
                <c:pt idx="39">
                  <c:v>384.80635300902645</c:v>
                </c:pt>
                <c:pt idx="40">
                  <c:v>404.57340992986127</c:v>
                </c:pt>
                <c:pt idx="41">
                  <c:v>363.77960344692701</c:v>
                </c:pt>
                <c:pt idx="42">
                  <c:v>380.68547719043937</c:v>
                </c:pt>
                <c:pt idx="43">
                  <c:v>397.57502530134622</c:v>
                </c:pt>
                <c:pt idx="44">
                  <c:v>414.44903871854268</c:v>
                </c:pt>
                <c:pt idx="45">
                  <c:v>431.30823874034053</c:v>
                </c:pt>
                <c:pt idx="46">
                  <c:v>400.86871209258271</c:v>
                </c:pt>
                <c:pt idx="47">
                  <c:v>415.68313267172829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437.4726694559651</c:v>
                </c:pt>
                <c:pt idx="52">
                  <c:v>449.79597029004339</c:v>
                </c:pt>
                <c:pt idx="53">
                  <c:v>462.11204968448214</c:v>
                </c:pt>
                <c:pt idx="54">
                  <c:v>474.42112721892153</c:v>
                </c:pt>
                <c:pt idx="55">
                  <c:v>486.72341015001894</c:v>
                </c:pt>
                <c:pt idx="56">
                  <c:v>470.72912659462128</c:v>
                </c:pt>
                <c:pt idx="57">
                  <c:v>481.39324229456093</c:v>
                </c:pt>
                <c:pt idx="58">
                  <c:v>492.05233905304038</c:v>
                </c:pt>
                <c:pt idx="59">
                  <c:v>502.70654092641371</c:v>
                </c:pt>
                <c:pt idx="60">
                  <c:v>513.35596628348583</c:v>
                </c:pt>
                <c:pt idx="61">
                  <c:v>497.78981755435296</c:v>
                </c:pt>
                <c:pt idx="62">
                  <c:v>506.8030327356762</c:v>
                </c:pt>
                <c:pt idx="63">
                  <c:v>515.81285970133592</c:v>
                </c:pt>
                <c:pt idx="64">
                  <c:v>524.81936598968662</c:v>
                </c:pt>
                <c:pt idx="65">
                  <c:v>533.8226166315709</c:v>
                </c:pt>
                <c:pt idx="66">
                  <c:v>519.08833363505858</c:v>
                </c:pt>
                <c:pt idx="67">
                  <c:v>526.86584290776045</c:v>
                </c:pt>
                <c:pt idx="68">
                  <c:v>534.64093470914429</c:v>
                </c:pt>
                <c:pt idx="69">
                  <c:v>542.4136491628301</c:v>
                </c:pt>
                <c:pt idx="70">
                  <c:v>550.18402514843217</c:v>
                </c:pt>
                <c:pt idx="71">
                  <c:v>536.68661476319755</c:v>
                </c:pt>
                <c:pt idx="72">
                  <c:v>543.64070511934517</c:v>
                </c:pt>
                <c:pt idx="73">
                  <c:v>550.59292824762156</c:v>
                </c:pt>
                <c:pt idx="74">
                  <c:v>557.54331105767415</c:v>
                </c:pt>
                <c:pt idx="75">
                  <c:v>564.49187973331652</c:v>
                </c:pt>
                <c:pt idx="76">
                  <c:v>551.81959936072406</c:v>
                </c:pt>
                <c:pt idx="77">
                  <c:v>557.54331105767415</c:v>
                </c:pt>
                <c:pt idx="78">
                  <c:v>563.26579242009177</c:v>
                </c:pt>
                <c:pt idx="79">
                  <c:v>568.9870577157609</c:v>
                </c:pt>
                <c:pt idx="80">
                  <c:v>574.70712090201823</c:v>
                </c:pt>
                <c:pt idx="81">
                  <c:v>558.3608833855659</c:v>
                </c:pt>
                <c:pt idx="82">
                  <c:v>558.3608833855659</c:v>
                </c:pt>
                <c:pt idx="83">
                  <c:v>558.3608833855659</c:v>
                </c:pt>
                <c:pt idx="84">
                  <c:v>558.3608833855659</c:v>
                </c:pt>
                <c:pt idx="85">
                  <c:v>558.3608833855659</c:v>
                </c:pt>
                <c:pt idx="86">
                  <c:v>558.3608833855659</c:v>
                </c:pt>
                <c:pt idx="87">
                  <c:v>558.3608833855659</c:v>
                </c:pt>
                <c:pt idx="88">
                  <c:v>558.3608833855659</c:v>
                </c:pt>
                <c:pt idx="89">
                  <c:v>558.3608833855659</c:v>
                </c:pt>
                <c:pt idx="90">
                  <c:v>558.3608833855659</c:v>
                </c:pt>
                <c:pt idx="91">
                  <c:v>558.3608833855659</c:v>
                </c:pt>
                <c:pt idx="92">
                  <c:v>558.3608833855659</c:v>
                </c:pt>
                <c:pt idx="93">
                  <c:v>558.3608833855659</c:v>
                </c:pt>
                <c:pt idx="94">
                  <c:v>558.3608833855659</c:v>
                </c:pt>
                <c:pt idx="95">
                  <c:v>558.3608833855659</c:v>
                </c:pt>
                <c:pt idx="96">
                  <c:v>558.3608833855659</c:v>
                </c:pt>
                <c:pt idx="97">
                  <c:v>558.3608833855659</c:v>
                </c:pt>
                <c:pt idx="98">
                  <c:v>558.3608833855659</c:v>
                </c:pt>
                <c:pt idx="99">
                  <c:v>558.3608833855659</c:v>
                </c:pt>
                <c:pt idx="100">
                  <c:v>558.3608833855659</c:v>
                </c:pt>
                <c:pt idx="101">
                  <c:v>558.3608833855659</c:v>
                </c:pt>
                <c:pt idx="102">
                  <c:v>558.3608833855659</c:v>
                </c:pt>
                <c:pt idx="103">
                  <c:v>558.3608833855659</c:v>
                </c:pt>
                <c:pt idx="104">
                  <c:v>558.3608833855659</c:v>
                </c:pt>
                <c:pt idx="105">
                  <c:v>558.3608833855659</c:v>
                </c:pt>
                <c:pt idx="106">
                  <c:v>558.3608833855659</c:v>
                </c:pt>
                <c:pt idx="107">
                  <c:v>558.3608833855659</c:v>
                </c:pt>
                <c:pt idx="108">
                  <c:v>558.3608833855659</c:v>
                </c:pt>
                <c:pt idx="109">
                  <c:v>558.3608833855659</c:v>
                </c:pt>
                <c:pt idx="110">
                  <c:v>558.3608833855659</c:v>
                </c:pt>
                <c:pt idx="111">
                  <c:v>558.3608833855659</c:v>
                </c:pt>
                <c:pt idx="112">
                  <c:v>558.3608833855659</c:v>
                </c:pt>
                <c:pt idx="113">
                  <c:v>558.3608833855659</c:v>
                </c:pt>
                <c:pt idx="114">
                  <c:v>558.3608833855659</c:v>
                </c:pt>
                <c:pt idx="115">
                  <c:v>558.3608833855659</c:v>
                </c:pt>
                <c:pt idx="116">
                  <c:v>558.3608833855659</c:v>
                </c:pt>
                <c:pt idx="117">
                  <c:v>558.3608833855659</c:v>
                </c:pt>
                <c:pt idx="118">
                  <c:v>558.3608833855659</c:v>
                </c:pt>
                <c:pt idx="119">
                  <c:v>558.3608833855659</c:v>
                </c:pt>
                <c:pt idx="120">
                  <c:v>558.3608833855659</c:v>
                </c:pt>
                <c:pt idx="121">
                  <c:v>558.3608833855659</c:v>
                </c:pt>
                <c:pt idx="122">
                  <c:v>558.3608833855659</c:v>
                </c:pt>
                <c:pt idx="123">
                  <c:v>558.3608833855659</c:v>
                </c:pt>
                <c:pt idx="124">
                  <c:v>558.3608833855659</c:v>
                </c:pt>
                <c:pt idx="125">
                  <c:v>558.3608833855659</c:v>
                </c:pt>
                <c:pt idx="126">
                  <c:v>558.3608833855659</c:v>
                </c:pt>
                <c:pt idx="127">
                  <c:v>558.3608833855659</c:v>
                </c:pt>
                <c:pt idx="128">
                  <c:v>558.3608833855659</c:v>
                </c:pt>
                <c:pt idx="129">
                  <c:v>558.3608833855659</c:v>
                </c:pt>
                <c:pt idx="130">
                  <c:v>558.3608833855659</c:v>
                </c:pt>
                <c:pt idx="131">
                  <c:v>558.3608833855659</c:v>
                </c:pt>
                <c:pt idx="132">
                  <c:v>558.3608833855659</c:v>
                </c:pt>
                <c:pt idx="133">
                  <c:v>558.3608833855659</c:v>
                </c:pt>
                <c:pt idx="134">
                  <c:v>558.3608833855659</c:v>
                </c:pt>
                <c:pt idx="135">
                  <c:v>558.3608833855659</c:v>
                </c:pt>
                <c:pt idx="136">
                  <c:v>558.3608833855659</c:v>
                </c:pt>
                <c:pt idx="137">
                  <c:v>558.3608833855659</c:v>
                </c:pt>
                <c:pt idx="138">
                  <c:v>558.3608833855659</c:v>
                </c:pt>
                <c:pt idx="139">
                  <c:v>558.3608833855659</c:v>
                </c:pt>
                <c:pt idx="140">
                  <c:v>558.3608833855659</c:v>
                </c:pt>
                <c:pt idx="141">
                  <c:v>558.3608833855659</c:v>
                </c:pt>
                <c:pt idx="142">
                  <c:v>558.3608833855659</c:v>
                </c:pt>
                <c:pt idx="143">
                  <c:v>558.3608833855659</c:v>
                </c:pt>
                <c:pt idx="144">
                  <c:v>558.3608833855659</c:v>
                </c:pt>
                <c:pt idx="145">
                  <c:v>558.3608833855659</c:v>
                </c:pt>
                <c:pt idx="146">
                  <c:v>558.3608833855659</c:v>
                </c:pt>
                <c:pt idx="147">
                  <c:v>558.3608833855659</c:v>
                </c:pt>
                <c:pt idx="148">
                  <c:v>558.3608833855659</c:v>
                </c:pt>
                <c:pt idx="149">
                  <c:v>558.3608833855659</c:v>
                </c:pt>
                <c:pt idx="150">
                  <c:v>558.3608833855659</c:v>
                </c:pt>
                <c:pt idx="151">
                  <c:v>558.3608833855659</c:v>
                </c:pt>
                <c:pt idx="152">
                  <c:v>558.3608833855659</c:v>
                </c:pt>
                <c:pt idx="153">
                  <c:v>558.3608833855659</c:v>
                </c:pt>
                <c:pt idx="154">
                  <c:v>558.3608833855659</c:v>
                </c:pt>
                <c:pt idx="155">
                  <c:v>558.3608833855659</c:v>
                </c:pt>
                <c:pt idx="156">
                  <c:v>558.3608833855659</c:v>
                </c:pt>
                <c:pt idx="157">
                  <c:v>558.3608833855659</c:v>
                </c:pt>
                <c:pt idx="158">
                  <c:v>558.3608833855659</c:v>
                </c:pt>
                <c:pt idx="159">
                  <c:v>558.3608833855659</c:v>
                </c:pt>
                <c:pt idx="160">
                  <c:v>558.3608833855659</c:v>
                </c:pt>
                <c:pt idx="161">
                  <c:v>558.3608833855659</c:v>
                </c:pt>
                <c:pt idx="162">
                  <c:v>558.3608833855659</c:v>
                </c:pt>
                <c:pt idx="163">
                  <c:v>558.3608833855659</c:v>
                </c:pt>
                <c:pt idx="164">
                  <c:v>558.3608833855659</c:v>
                </c:pt>
                <c:pt idx="165">
                  <c:v>558.3608833855659</c:v>
                </c:pt>
                <c:pt idx="166">
                  <c:v>558.3608833855659</c:v>
                </c:pt>
                <c:pt idx="167">
                  <c:v>558.3608833855659</c:v>
                </c:pt>
                <c:pt idx="168">
                  <c:v>558.3608833855659</c:v>
                </c:pt>
                <c:pt idx="169">
                  <c:v>558.3608833855659</c:v>
                </c:pt>
                <c:pt idx="170">
                  <c:v>558.3608833855659</c:v>
                </c:pt>
                <c:pt idx="171">
                  <c:v>558.3608833855659</c:v>
                </c:pt>
                <c:pt idx="172">
                  <c:v>558.3608833855659</c:v>
                </c:pt>
                <c:pt idx="173">
                  <c:v>558.3608833855659</c:v>
                </c:pt>
                <c:pt idx="174">
                  <c:v>558.3608833855659</c:v>
                </c:pt>
                <c:pt idx="175">
                  <c:v>558.3608833855659</c:v>
                </c:pt>
                <c:pt idx="176">
                  <c:v>558.3608833855659</c:v>
                </c:pt>
                <c:pt idx="177">
                  <c:v>558.3608833855659</c:v>
                </c:pt>
                <c:pt idx="178">
                  <c:v>558.3608833855659</c:v>
                </c:pt>
                <c:pt idx="179">
                  <c:v>558.3608833855659</c:v>
                </c:pt>
                <c:pt idx="180">
                  <c:v>558.3608833855659</c:v>
                </c:pt>
                <c:pt idx="181">
                  <c:v>558.3608833855659</c:v>
                </c:pt>
                <c:pt idx="182">
                  <c:v>558.3608833855659</c:v>
                </c:pt>
                <c:pt idx="183">
                  <c:v>558.3608833855659</c:v>
                </c:pt>
                <c:pt idx="184">
                  <c:v>558.3608833855659</c:v>
                </c:pt>
                <c:pt idx="185">
                  <c:v>558.3608833855659</c:v>
                </c:pt>
                <c:pt idx="186">
                  <c:v>558.3608833855659</c:v>
                </c:pt>
                <c:pt idx="187">
                  <c:v>558.3608833855659</c:v>
                </c:pt>
                <c:pt idx="188">
                  <c:v>558.3608833855659</c:v>
                </c:pt>
                <c:pt idx="189">
                  <c:v>558.3608833855659</c:v>
                </c:pt>
                <c:pt idx="190">
                  <c:v>558.3608833855659</c:v>
                </c:pt>
                <c:pt idx="191">
                  <c:v>558.3608833855659</c:v>
                </c:pt>
                <c:pt idx="192">
                  <c:v>558.3608833855659</c:v>
                </c:pt>
                <c:pt idx="193">
                  <c:v>558.3608833855659</c:v>
                </c:pt>
                <c:pt idx="194">
                  <c:v>558.3608833855659</c:v>
                </c:pt>
                <c:pt idx="195">
                  <c:v>558.3608833855659</c:v>
                </c:pt>
                <c:pt idx="196">
                  <c:v>558.3608833855659</c:v>
                </c:pt>
                <c:pt idx="197">
                  <c:v>558.3608833855659</c:v>
                </c:pt>
                <c:pt idx="198">
                  <c:v>558.3608833855659</c:v>
                </c:pt>
                <c:pt idx="199">
                  <c:v>558.3608833855659</c:v>
                </c:pt>
                <c:pt idx="200">
                  <c:v>558.3608833855659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B29" sqref="B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164</v>
      </c>
      <c r="C9" s="264">
        <v>0.4</v>
      </c>
      <c r="D9" s="33">
        <f t="shared" ref="D9:D18" si="0">C9*$C$5</f>
        <v>0.4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12</v>
      </c>
      <c r="C10" s="264">
        <v>0.33329999999999999</v>
      </c>
      <c r="D10" s="33">
        <f t="shared" si="0"/>
        <v>0.33329999999999999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23</v>
      </c>
      <c r="C11" s="264">
        <v>0.16669999999999999</v>
      </c>
      <c r="D11" s="33">
        <f t="shared" si="0"/>
        <v>0.16669999999999999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</v>
      </c>
      <c r="C12" s="264">
        <v>0.1</v>
      </c>
      <c r="D12" s="33">
        <f t="shared" si="0"/>
        <v>0.1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78</v>
      </c>
      <c r="C36" s="259"/>
      <c r="D36" s="259"/>
      <c r="E36" s="260"/>
      <c r="F36" s="260"/>
      <c r="G36" s="260"/>
      <c r="H36" s="260"/>
      <c r="I36" s="49">
        <f>IFERROR(B36/A36,"")</f>
        <v>5.2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198</v>
      </c>
      <c r="C37" s="259">
        <v>1</v>
      </c>
      <c r="D37" s="259">
        <v>49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298</v>
      </c>
      <c r="C38" s="259">
        <v>2</v>
      </c>
      <c r="D38" s="259">
        <v>77</v>
      </c>
      <c r="E38" s="260"/>
      <c r="F38" s="260">
        <v>1</v>
      </c>
      <c r="G38" s="260"/>
      <c r="H38" s="260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380</v>
      </c>
      <c r="C39" s="259">
        <v>3</v>
      </c>
      <c r="D39" s="259">
        <v>77</v>
      </c>
      <c r="E39" s="260"/>
      <c r="F39" s="260">
        <v>1</v>
      </c>
      <c r="G39" s="260"/>
      <c r="H39" s="260"/>
      <c r="I39" s="49">
        <f t="shared" si="1"/>
        <v>31.8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460</v>
      </c>
      <c r="C40" s="259">
        <v>4</v>
      </c>
      <c r="D40" s="259">
        <v>77</v>
      </c>
      <c r="E40" s="260">
        <v>1</v>
      </c>
      <c r="F40" s="260"/>
      <c r="G40" s="260"/>
      <c r="H40" s="260"/>
      <c r="I40" s="49">
        <f t="shared" si="1"/>
        <v>31.4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533</v>
      </c>
      <c r="C41" s="259">
        <v>5</v>
      </c>
      <c r="D41" s="259">
        <v>77</v>
      </c>
      <c r="E41" s="260">
        <v>1</v>
      </c>
      <c r="F41" s="260"/>
      <c r="G41" s="260"/>
      <c r="H41" s="260"/>
      <c r="I41" s="53">
        <f t="shared" si="1"/>
        <v>30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596</v>
      </c>
      <c r="C42" s="259">
        <v>6</v>
      </c>
      <c r="D42" s="259">
        <v>77</v>
      </c>
      <c r="E42" s="260">
        <v>1</v>
      </c>
      <c r="F42" s="260"/>
      <c r="G42" s="260"/>
      <c r="H42" s="260"/>
      <c r="I42" s="53">
        <f t="shared" si="1"/>
        <v>28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651</v>
      </c>
      <c r="C43" s="259">
        <v>7</v>
      </c>
      <c r="D43" s="259">
        <v>76</v>
      </c>
      <c r="E43" s="260">
        <v>1</v>
      </c>
      <c r="F43" s="260"/>
      <c r="G43" s="260"/>
      <c r="H43" s="260"/>
      <c r="I43" s="49">
        <f t="shared" si="1"/>
        <v>26.4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697</v>
      </c>
      <c r="C44" s="259">
        <v>8</v>
      </c>
      <c r="D44" s="259">
        <v>66</v>
      </c>
      <c r="E44" s="260">
        <v>1</v>
      </c>
      <c r="F44" s="260"/>
      <c r="G44" s="260"/>
      <c r="H44" s="260"/>
      <c r="I44" s="49">
        <f t="shared" si="1"/>
        <v>24.4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744</v>
      </c>
      <c r="C45" s="259">
        <v>9</v>
      </c>
      <c r="D45" s="261">
        <v>60</v>
      </c>
      <c r="E45" s="260">
        <v>1</v>
      </c>
      <c r="F45" s="260"/>
      <c r="G45" s="260"/>
      <c r="H45" s="260"/>
      <c r="I45" s="49">
        <f t="shared" si="1"/>
        <v>22.6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790</v>
      </c>
      <c r="C46" s="259">
        <v>10</v>
      </c>
      <c r="D46" s="262">
        <v>56</v>
      </c>
      <c r="E46" s="260">
        <v>1</v>
      </c>
      <c r="F46" s="260"/>
      <c r="G46" s="260"/>
      <c r="H46" s="260"/>
      <c r="I46" s="49">
        <f t="shared" si="1"/>
        <v>21.2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831</v>
      </c>
      <c r="C47" s="259">
        <v>11</v>
      </c>
      <c r="D47" s="261">
        <v>53</v>
      </c>
      <c r="E47" s="260">
        <v>1</v>
      </c>
      <c r="F47" s="260"/>
      <c r="G47" s="260"/>
      <c r="H47" s="260"/>
      <c r="I47" s="49">
        <f t="shared" si="1"/>
        <v>19.399999999999999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868</v>
      </c>
      <c r="C48" s="259">
        <v>12</v>
      </c>
      <c r="D48" s="261">
        <v>50</v>
      </c>
      <c r="E48" s="260">
        <v>1</v>
      </c>
      <c r="F48" s="260"/>
      <c r="G48" s="260"/>
      <c r="H48" s="260"/>
      <c r="I48" s="49">
        <f t="shared" si="1"/>
        <v>18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901</v>
      </c>
      <c r="C49" s="259">
        <v>13</v>
      </c>
      <c r="D49" s="261">
        <v>48</v>
      </c>
      <c r="E49" s="260">
        <v>1</v>
      </c>
      <c r="F49" s="260"/>
      <c r="G49" s="260"/>
      <c r="H49" s="260"/>
      <c r="I49" s="49">
        <f t="shared" si="1"/>
        <v>16.600000000000001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73</v>
      </c>
      <c r="C62" s="261">
        <v>1</v>
      </c>
      <c r="D62" s="261">
        <v>6</v>
      </c>
      <c r="E62" s="260"/>
      <c r="F62" s="260"/>
      <c r="G62" s="260"/>
      <c r="H62" s="260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103</v>
      </c>
      <c r="C63" s="261">
        <v>2</v>
      </c>
      <c r="D63" s="261">
        <v>28</v>
      </c>
      <c r="E63" s="260"/>
      <c r="F63" s="260"/>
      <c r="G63" s="260"/>
      <c r="H63" s="260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121</v>
      </c>
      <c r="C64" s="261">
        <v>3</v>
      </c>
      <c r="D64" s="261">
        <v>28</v>
      </c>
      <c r="E64" s="260"/>
      <c r="F64" s="260"/>
      <c r="G64" s="260"/>
      <c r="H64" s="260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147</v>
      </c>
      <c r="C65" s="261">
        <v>4</v>
      </c>
      <c r="D65" s="261">
        <v>28</v>
      </c>
      <c r="E65" s="260">
        <v>1</v>
      </c>
      <c r="F65" s="260"/>
      <c r="G65" s="260"/>
      <c r="H65" s="260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175</v>
      </c>
      <c r="C66" s="261">
        <v>5</v>
      </c>
      <c r="D66" s="261">
        <v>28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204</v>
      </c>
      <c r="C67" s="261">
        <v>6</v>
      </c>
      <c r="D67" s="261">
        <v>28</v>
      </c>
      <c r="E67" s="260">
        <v>1</v>
      </c>
      <c r="F67" s="260"/>
      <c r="G67" s="260"/>
      <c r="H67" s="260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231</v>
      </c>
      <c r="C68" s="261">
        <v>7</v>
      </c>
      <c r="D68" s="261">
        <v>28</v>
      </c>
      <c r="E68" s="260">
        <v>1</v>
      </c>
      <c r="F68" s="260"/>
      <c r="G68" s="260"/>
      <c r="H68" s="260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254</v>
      </c>
      <c r="C69" s="261">
        <v>8</v>
      </c>
      <c r="D69" s="261">
        <v>28</v>
      </c>
      <c r="E69" s="260">
        <v>1</v>
      </c>
      <c r="F69" s="260"/>
      <c r="G69" s="260"/>
      <c r="H69" s="260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273</v>
      </c>
      <c r="C70" s="261">
        <v>9</v>
      </c>
      <c r="D70" s="261">
        <v>28</v>
      </c>
      <c r="E70" s="260">
        <v>1</v>
      </c>
      <c r="F70" s="260"/>
      <c r="G70" s="260"/>
      <c r="H70" s="260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289</v>
      </c>
      <c r="C71" s="261">
        <v>10</v>
      </c>
      <c r="D71" s="261">
        <v>28</v>
      </c>
      <c r="E71" s="260">
        <v>1</v>
      </c>
      <c r="F71" s="260"/>
      <c r="G71" s="260"/>
      <c r="H71" s="260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302</v>
      </c>
      <c r="C72" s="261">
        <v>11</v>
      </c>
      <c r="D72" s="261">
        <v>28</v>
      </c>
      <c r="E72" s="260">
        <v>1</v>
      </c>
      <c r="F72" s="260"/>
      <c r="G72" s="260"/>
      <c r="H72" s="260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312</v>
      </c>
      <c r="C73" s="261">
        <v>12</v>
      </c>
      <c r="D73" s="261">
        <v>28</v>
      </c>
      <c r="E73" s="260">
        <v>1</v>
      </c>
      <c r="F73" s="260"/>
      <c r="G73" s="260"/>
      <c r="H73" s="260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320</v>
      </c>
      <c r="C74" s="261">
        <v>13</v>
      </c>
      <c r="D74" s="261">
        <v>28</v>
      </c>
      <c r="E74" s="260">
        <v>1</v>
      </c>
      <c r="F74" s="260"/>
      <c r="G74" s="260"/>
      <c r="H74" s="260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326</v>
      </c>
      <c r="C75" s="261">
        <v>14</v>
      </c>
      <c r="D75" s="261">
        <v>28</v>
      </c>
      <c r="E75" s="260">
        <v>1</v>
      </c>
      <c r="F75" s="260"/>
      <c r="G75" s="260"/>
      <c r="H75" s="260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330</v>
      </c>
      <c r="C76" s="261">
        <v>15</v>
      </c>
      <c r="D76" s="261">
        <v>28</v>
      </c>
      <c r="E76" s="260">
        <v>1</v>
      </c>
      <c r="F76" s="260"/>
      <c r="G76" s="260"/>
      <c r="H76" s="260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333</v>
      </c>
      <c r="C77" s="256">
        <v>16</v>
      </c>
      <c r="D77" s="256">
        <v>28</v>
      </c>
      <c r="E77" s="255">
        <v>1</v>
      </c>
      <c r="F77" s="255"/>
      <c r="G77" s="255"/>
      <c r="H77" s="255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333</v>
      </c>
      <c r="C78" s="256">
        <v>17</v>
      </c>
      <c r="D78" s="256">
        <v>27</v>
      </c>
      <c r="E78" s="255">
        <v>1</v>
      </c>
      <c r="F78" s="255"/>
      <c r="G78" s="255"/>
      <c r="H78" s="255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333</v>
      </c>
      <c r="C79" s="256">
        <v>18</v>
      </c>
      <c r="D79" s="256">
        <v>26</v>
      </c>
      <c r="E79" s="255">
        <v>1</v>
      </c>
      <c r="F79" s="255"/>
      <c r="G79" s="255"/>
      <c r="H79" s="255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332</v>
      </c>
      <c r="C80" s="256">
        <v>19</v>
      </c>
      <c r="D80" s="256">
        <v>25</v>
      </c>
      <c r="E80" s="255">
        <v>1</v>
      </c>
      <c r="F80" s="255"/>
      <c r="G80" s="255"/>
      <c r="H80" s="255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331</v>
      </c>
      <c r="C81" s="256">
        <v>20</v>
      </c>
      <c r="D81" s="258">
        <v>24</v>
      </c>
      <c r="E81" s="255">
        <v>1</v>
      </c>
      <c r="F81" s="255"/>
      <c r="G81" s="255"/>
      <c r="H81" s="255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37</v>
      </c>
      <c r="C88" s="261">
        <v>1</v>
      </c>
      <c r="D88" s="261">
        <v>15</v>
      </c>
      <c r="E88" s="260"/>
      <c r="F88" s="260"/>
      <c r="G88" s="260"/>
      <c r="H88" s="260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80</v>
      </c>
      <c r="C89" s="261">
        <v>2</v>
      </c>
      <c r="D89" s="261">
        <v>28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115</v>
      </c>
      <c r="C90" s="261">
        <v>3</v>
      </c>
      <c r="D90" s="261">
        <v>28</v>
      </c>
      <c r="E90" s="260"/>
      <c r="F90" s="260"/>
      <c r="G90" s="260"/>
      <c r="H90" s="260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146</v>
      </c>
      <c r="C91" s="261">
        <v>4</v>
      </c>
      <c r="D91" s="261">
        <v>28</v>
      </c>
      <c r="E91" s="260"/>
      <c r="F91" s="260"/>
      <c r="G91" s="260"/>
      <c r="H91" s="260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172</v>
      </c>
      <c r="C92" s="261">
        <v>5</v>
      </c>
      <c r="D92" s="261">
        <v>28</v>
      </c>
      <c r="E92" s="260">
        <v>1</v>
      </c>
      <c r="F92" s="260"/>
      <c r="G92" s="260"/>
      <c r="H92" s="260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192</v>
      </c>
      <c r="C93" s="261">
        <v>6</v>
      </c>
      <c r="D93" s="261">
        <v>28</v>
      </c>
      <c r="E93" s="260">
        <v>1</v>
      </c>
      <c r="F93" s="260"/>
      <c r="G93" s="260"/>
      <c r="H93" s="260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205</v>
      </c>
      <c r="C94" s="261">
        <v>7</v>
      </c>
      <c r="D94" s="261">
        <v>22</v>
      </c>
      <c r="E94" s="260">
        <v>1</v>
      </c>
      <c r="F94" s="260"/>
      <c r="G94" s="260"/>
      <c r="H94" s="260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219</v>
      </c>
      <c r="C95" s="261">
        <v>8</v>
      </c>
      <c r="D95" s="261">
        <v>17</v>
      </c>
      <c r="E95" s="260">
        <v>1</v>
      </c>
      <c r="F95" s="260"/>
      <c r="G95" s="260"/>
      <c r="H95" s="260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232</v>
      </c>
      <c r="C96" s="261">
        <v>9</v>
      </c>
      <c r="D96" s="261">
        <v>13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245</v>
      </c>
      <c r="C97" s="261">
        <v>10</v>
      </c>
      <c r="D97" s="261">
        <v>12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255</v>
      </c>
      <c r="C98" s="261">
        <v>11</v>
      </c>
      <c r="D98" s="261">
        <v>11</v>
      </c>
      <c r="E98" s="260">
        <v>1</v>
      </c>
      <c r="F98" s="260"/>
      <c r="G98" s="260"/>
      <c r="H98" s="260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263</v>
      </c>
      <c r="C99" s="261">
        <v>12</v>
      </c>
      <c r="D99" s="261">
        <v>10</v>
      </c>
      <c r="E99" s="260">
        <v>1</v>
      </c>
      <c r="F99" s="260"/>
      <c r="G99" s="260"/>
      <c r="H99" s="260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270</v>
      </c>
      <c r="C100" s="261">
        <v>13</v>
      </c>
      <c r="D100" s="261">
        <v>9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275</v>
      </c>
      <c r="C101" s="261">
        <v>14</v>
      </c>
      <c r="D101" s="261">
        <v>8</v>
      </c>
      <c r="E101" s="260">
        <v>1</v>
      </c>
      <c r="F101" s="260"/>
      <c r="G101" s="260"/>
      <c r="H101" s="260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37</v>
      </c>
      <c r="C114" s="261">
        <v>1</v>
      </c>
      <c r="D114" s="261">
        <v>15</v>
      </c>
      <c r="E114" s="260"/>
      <c r="F114" s="260"/>
      <c r="G114" s="260"/>
      <c r="H114" s="260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v>80</v>
      </c>
      <c r="C115" s="261">
        <v>2</v>
      </c>
      <c r="D115" s="261">
        <v>28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v>115</v>
      </c>
      <c r="C116" s="261">
        <v>3</v>
      </c>
      <c r="D116" s="261">
        <v>28</v>
      </c>
      <c r="E116" s="260"/>
      <c r="F116" s="260"/>
      <c r="G116" s="260"/>
      <c r="H116" s="260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v>146</v>
      </c>
      <c r="C117" s="261">
        <v>4</v>
      </c>
      <c r="D117" s="261">
        <v>28</v>
      </c>
      <c r="E117" s="260"/>
      <c r="F117" s="260"/>
      <c r="G117" s="260"/>
      <c r="H117" s="260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v>172</v>
      </c>
      <c r="C118" s="261">
        <v>5</v>
      </c>
      <c r="D118" s="261">
        <v>28</v>
      </c>
      <c r="E118" s="260">
        <v>1</v>
      </c>
      <c r="F118" s="260"/>
      <c r="G118" s="260"/>
      <c r="H118" s="260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v>192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v>205</v>
      </c>
      <c r="C120" s="261">
        <v>7</v>
      </c>
      <c r="D120" s="261">
        <v>22</v>
      </c>
      <c r="E120" s="260">
        <v>1</v>
      </c>
      <c r="F120" s="260"/>
      <c r="G120" s="260"/>
      <c r="H120" s="260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v>219</v>
      </c>
      <c r="C121" s="261">
        <v>8</v>
      </c>
      <c r="D121" s="261">
        <v>17</v>
      </c>
      <c r="E121" s="260">
        <v>1</v>
      </c>
      <c r="F121" s="260"/>
      <c r="G121" s="260"/>
      <c r="H121" s="260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v>232</v>
      </c>
      <c r="C122" s="261">
        <v>9</v>
      </c>
      <c r="D122" s="261">
        <v>13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245</v>
      </c>
      <c r="C123" s="261">
        <v>10</v>
      </c>
      <c r="D123" s="261">
        <v>12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255</v>
      </c>
      <c r="C124" s="261">
        <v>11</v>
      </c>
      <c r="D124" s="261">
        <v>11</v>
      </c>
      <c r="E124" s="260">
        <v>1</v>
      </c>
      <c r="F124" s="260"/>
      <c r="G124" s="260"/>
      <c r="H124" s="260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263</v>
      </c>
      <c r="C125" s="261">
        <v>12</v>
      </c>
      <c r="D125" s="261">
        <v>10</v>
      </c>
      <c r="E125" s="260">
        <v>1</v>
      </c>
      <c r="F125" s="260"/>
      <c r="G125" s="260"/>
      <c r="H125" s="260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270</v>
      </c>
      <c r="C126" s="261">
        <v>13</v>
      </c>
      <c r="D126" s="261">
        <v>9</v>
      </c>
      <c r="E126" s="260">
        <v>1</v>
      </c>
      <c r="F126" s="260"/>
      <c r="G126" s="260"/>
      <c r="H126" s="260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275</v>
      </c>
      <c r="C127" s="261">
        <v>14</v>
      </c>
      <c r="D127" s="261">
        <v>8</v>
      </c>
      <c r="E127" s="260">
        <v>1</v>
      </c>
      <c r="F127" s="260"/>
      <c r="G127" s="260"/>
      <c r="H127" s="260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Cèdre de l'Atlas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pubescent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Erable sycomore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Alisier torminal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414.8063171894658</v>
      </c>
      <c r="T3" s="59">
        <f>IF('Données projet'!E9&gt;30,$R$33-$H$33,LOOKUP('Données projet'!$E$9,$A$3:$A$203,R3:R203)-LOOKUP('Données projet'!$E$9,$A$3:$A$203,$H$3:$H$203))</f>
        <v>354.21555670988619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392.48436003609055</v>
      </c>
      <c r="AO3" s="59">
        <f>IF('Données projet'!E10&gt;30,$AM$33-$H$33,LOOKUP('Données projet'!$E$10,$A$3:$A$203,AM3:AM203)-LOOKUP('Données projet'!$E$10,$A$3:$A$203,$H$3:$H$203))</f>
        <v>236.3312446580419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225.2323446080772</v>
      </c>
      <c r="BJ3" s="59">
        <f>IF('Données projet'!E11&gt;30,$BH$33-$H$33,LOOKUP('Données projet'!$E$11,$A$3:$A$203,BH3:BH203)-LOOKUP('Données projet'!$E$11,$A$3:$A$203,$H$3:$H$203))</f>
        <v>222.29030402759292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281.84871057356037</v>
      </c>
      <c r="CE3" s="59">
        <f>IF('Données projet'!E12&gt;30,$CC$33-$H$33,LOOKUP('Données projet'!$E$12,$A$3:$A$203,CC3:CC203)-LOOKUP('Données projet'!$E$12,$A$3:$A$203,$H$3:$H$203))</f>
        <v>276.02211904126887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</v>
      </c>
      <c r="N4" s="13">
        <f>IF('Données projet'!$A$36&gt;35,N3+M4-V3,IF(A4&lt;'Données projet'!$A$36,$K$205^A4,IF(A4='Données projet'!$A$36,'Données projet'!$B$36,N3+M4-V3)))</f>
        <v>1.3370253457396568</v>
      </c>
      <c r="O4" s="13">
        <f>N4*VLOOKUP('Données projet'!$B$9,Paramètres!$A$1:$I$89,3,0)*VLOOKUP('Données projet'!$B$9,Paramètres!$A$1:$I$89,5,0)</f>
        <v>0.62572786180615947</v>
      </c>
      <c r="P4" s="13">
        <f>EXP(-1.0587+0.8836*LN(O4)+0.284)</f>
        <v>0.30453575289994267</v>
      </c>
      <c r="Q4" s="20">
        <f t="shared" ref="Q4:Q34" si="2">(O4+P4)*0.475*44/12</f>
        <v>1.6202091289464609</v>
      </c>
      <c r="R4" s="59">
        <f t="shared" si="0"/>
        <v>294.95354246227976</v>
      </c>
      <c r="S4" s="59">
        <f ca="1">AVERAGE(OFFSET($R$3,0,0,'Données projet'!$E$9+1,1))-AVERAGE(OFFSET($H$3,0,0,'Données projet'!$E$9+1,1))</f>
        <v>414.8063171894658</v>
      </c>
      <c r="T4" s="59">
        <f>$T$3</f>
        <v>354.21555670988619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296.5040881679875</v>
      </c>
      <c r="AN4" s="59">
        <f ca="1">AVERAGE(OFFSET($AM$3,0,0,'Données projet'!$E$10+1,1))-AVERAGE(OFFSET($H$3,0,0,'Données projet'!$E$10+1,1))</f>
        <v>392.48436003609055</v>
      </c>
      <c r="AO4" s="59">
        <f>$AO$3</f>
        <v>236.3312446580419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1.0121422546683387</v>
      </c>
      <c r="BF4" s="13">
        <f>EXP(-1.0587+0.8836*LN(BE4)+0.284)</f>
        <v>0.46578286063395047</v>
      </c>
      <c r="BG4" s="20">
        <f t="shared" ref="BG4:BG67" si="7">(BE4+BF4)*0.475*44/12</f>
        <v>2.574052909151487</v>
      </c>
      <c r="BH4" s="59">
        <f t="shared" ref="BH4:BH67" si="8">BG4+(AY4+AZ4)*44/12</f>
        <v>295.90738624248479</v>
      </c>
      <c r="BI4" s="59">
        <f ca="1">AVERAGE(OFFSET($BH$3,0,0,'Données projet'!$E$11+1,1))-AVERAGE(OFFSET($H$3,0,0,'Données projet'!$E$11+1,1))</f>
        <v>225.2323446080772</v>
      </c>
      <c r="BJ4" s="59">
        <f>$BJ$3</f>
        <v>222.29030402759292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1.2304474468517059</v>
      </c>
      <c r="CA4" s="13">
        <f>EXP(-1.0587+0.8836*LN(BZ4)+0.284)</f>
        <v>0.55351805691893663</v>
      </c>
      <c r="CB4" s="20">
        <f t="shared" ref="CB4:CB67" si="10">(BZ4+CA4)*0.475*44/12</f>
        <v>3.1070732524005358</v>
      </c>
      <c r="CC4" s="59">
        <f t="shared" ref="CC4:CC67" si="11">CB4+(BT4+BU4)*44/12</f>
        <v>296.44040658573385</v>
      </c>
      <c r="CD4" s="59">
        <f ca="1">AVERAGE(OFFSET($CC$3,0,0,'Données projet'!$E$12+1,1))-AVERAGE(OFFSET($H$3,0,0,'Données projet'!$E$12+1,1))</f>
        <v>281.84871057356037</v>
      </c>
      <c r="CE4" s="59">
        <f>$CE$3</f>
        <v>276.02211904126887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</v>
      </c>
      <c r="N5" s="13">
        <f>IF('Données projet'!$A$36&gt;35,N4+M5-V4,IF(A5&lt;'Données projet'!$A$36,$K$205^A5,IF(A5='Données projet'!$A$36,'Données projet'!$B$36,N4+M5-V4)))</f>
        <v>1.7876367751502489</v>
      </c>
      <c r="O5" s="13">
        <f>N5*VLOOKUP('Données projet'!$B$9,Paramètres!$A$1:$I$89,3,0)*VLOOKUP('Données projet'!$B$9,Paramètres!$A$1:$I$89,5,0)</f>
        <v>0.8366140107703165</v>
      </c>
      <c r="P5" s="13">
        <f t="shared" ref="P5:P68" si="33">EXP(-1.0587+0.8836*LN(O5)+0.284)</f>
        <v>0.39363641944740851</v>
      </c>
      <c r="Q5" s="20">
        <f t="shared" si="2"/>
        <v>2.1426861659625378</v>
      </c>
      <c r="R5" s="59">
        <f t="shared" si="0"/>
        <v>295.47601949929583</v>
      </c>
      <c r="S5" s="59">
        <f ca="1">AVERAGE(OFFSET($R$3,0,0,'Données projet'!$E$9+1,1))-AVERAGE(OFFSET($H$3,0,0,'Données projet'!$E$9+1,1))</f>
        <v>414.8063171894658</v>
      </c>
      <c r="T5" s="59">
        <f t="shared" ref="T5:T68" si="34">$T$3</f>
        <v>354.21555670988619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297.2327403402669</v>
      </c>
      <c r="AN5" s="59">
        <f ca="1">AVERAGE(OFFSET($AM$3,0,0,'Données projet'!$E$10+1,1))-AVERAGE(OFFSET($H$3,0,0,'Données projet'!$E$10+1,1))</f>
        <v>392.48436003609055</v>
      </c>
      <c r="AO5" s="59">
        <f t="shared" ref="AO5:AO68" si="36">$AO$3</f>
        <v>236.3312446580419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1.2876218497801761</v>
      </c>
      <c r="BF5" s="13">
        <f t="shared" ref="BF5:BF68" si="37">EXP(-1.0587+0.8836*LN(BE5)+0.284)</f>
        <v>0.57618379541883336</v>
      </c>
      <c r="BG5" s="20">
        <f t="shared" si="7"/>
        <v>3.2461281653882743</v>
      </c>
      <c r="BH5" s="59">
        <f t="shared" si="8"/>
        <v>296.57946149872157</v>
      </c>
      <c r="BI5" s="59">
        <f ca="1">AVERAGE(OFFSET($BH$3,0,0,'Données projet'!$E$11+1,1))-AVERAGE(OFFSET($H$3,0,0,'Données projet'!$E$11+1,1))</f>
        <v>225.2323446080772</v>
      </c>
      <c r="BJ5" s="59">
        <f t="shared" ref="BJ5:BJ68" si="38">$BJ$3</f>
        <v>222.29030402759292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1.565344209536685</v>
      </c>
      <c r="CA5" s="13">
        <f t="shared" ref="CA5:CA68" si="39">EXP(-1.0587+0.8836*LN(BZ5)+0.284)</f>
        <v>0.68471419157488067</v>
      </c>
      <c r="CB5" s="20">
        <f t="shared" si="10"/>
        <v>3.9188517152693092</v>
      </c>
      <c r="CC5" s="59">
        <f t="shared" si="11"/>
        <v>297.2521850486026</v>
      </c>
      <c r="CD5" s="59">
        <f ca="1">AVERAGE(OFFSET($CC$3,0,0,'Données projet'!$E$12+1,1))-AVERAGE(OFFSET($H$3,0,0,'Données projet'!$E$12+1,1))</f>
        <v>281.84871057356037</v>
      </c>
      <c r="CE5" s="59">
        <f t="shared" ref="CE5:CE68" si="40">$CE$3</f>
        <v>276.02211904126887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</v>
      </c>
      <c r="N6" s="13">
        <f>IF('Données projet'!$A$36&gt;35,N5+M6-V5,IF(A6&lt;'Données projet'!$A$36,$K$205^A6,IF(A6='Données projet'!$A$36,'Données projet'!$B$36,N5+M6-V5)))</f>
        <v>2.3901156773521866</v>
      </c>
      <c r="O6" s="13">
        <f>N6*VLOOKUP('Données projet'!$B$9,Paramètres!$A$1:$I$89,3,0)*VLOOKUP('Données projet'!$B$9,Paramètres!$A$1:$I$89,5,0)</f>
        <v>1.1185741370008233</v>
      </c>
      <c r="P6" s="13">
        <f t="shared" si="33"/>
        <v>0.50880604080101532</v>
      </c>
      <c r="Q6" s="20">
        <f t="shared" si="2"/>
        <v>2.8343538096715353</v>
      </c>
      <c r="R6" s="59">
        <f t="shared" si="0"/>
        <v>296.16768714300485</v>
      </c>
      <c r="S6" s="59">
        <f ca="1">AVERAGE(OFFSET($R$3,0,0,'Données projet'!$E$9+1,1))-AVERAGE(OFFSET($H$3,0,0,'Données projet'!$E$9+1,1))</f>
        <v>414.8063171894658</v>
      </c>
      <c r="T6" s="59">
        <f t="shared" si="34"/>
        <v>354.21555670988619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298.12947290764731</v>
      </c>
      <c r="AN6" s="59">
        <f ca="1">AVERAGE(OFFSET($AM$3,0,0,'Données projet'!$E$10+1,1))-AVERAGE(OFFSET($H$3,0,0,'Données projet'!$E$10+1,1))</f>
        <v>392.48436003609055</v>
      </c>
      <c r="AO6" s="59">
        <f t="shared" si="36"/>
        <v>236.3312446580419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1.6380800429823084</v>
      </c>
      <c r="BF6" s="13">
        <f t="shared" si="37"/>
        <v>0.71275221602487127</v>
      </c>
      <c r="BG6" s="20">
        <f t="shared" si="7"/>
        <v>4.0943661844375043</v>
      </c>
      <c r="BH6" s="59">
        <f t="shared" si="8"/>
        <v>297.4276995177708</v>
      </c>
      <c r="BI6" s="59">
        <f ca="1">AVERAGE(OFFSET($BH$3,0,0,'Données projet'!$E$11+1,1))-AVERAGE(OFFSET($H$3,0,0,'Données projet'!$E$11+1,1))</f>
        <v>225.2323446080772</v>
      </c>
      <c r="BJ6" s="59">
        <f t="shared" si="38"/>
        <v>222.29030402759292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1.9913914248020217</v>
      </c>
      <c r="CA6" s="13">
        <f t="shared" si="39"/>
        <v>0.84700673859444398</v>
      </c>
      <c r="CB6" s="20">
        <f t="shared" si="10"/>
        <v>4.9435434679155108</v>
      </c>
      <c r="CC6" s="59">
        <f t="shared" si="11"/>
        <v>298.27687680124882</v>
      </c>
      <c r="CD6" s="59">
        <f ca="1">AVERAGE(OFFSET($CC$3,0,0,'Données projet'!$E$12+1,1))-AVERAGE(OFFSET($H$3,0,0,'Données projet'!$E$12+1,1))</f>
        <v>281.84871057356037</v>
      </c>
      <c r="CE6" s="59">
        <f t="shared" si="40"/>
        <v>276.02211904126887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</v>
      </c>
      <c r="N7" s="13">
        <f>IF('Données projet'!$A$36&gt;35,N6+M7-V6,IF(A7&lt;'Données projet'!$A$36,$K$205^A7,IF(A7='Données projet'!$A$36,'Données projet'!$B$36,N6+M7-V6)))</f>
        <v>3.1956452398695814</v>
      </c>
      <c r="O7" s="13">
        <f>N7*VLOOKUP('Données projet'!$B$9,Paramètres!$A$1:$I$89,3,0)*VLOOKUP('Données projet'!$B$9,Paramètres!$A$1:$I$89,5,0)</f>
        <v>1.4955619722589639</v>
      </c>
      <c r="P7" s="13">
        <f t="shared" si="33"/>
        <v>0.65767183717154076</v>
      </c>
      <c r="Q7" s="20">
        <f t="shared" si="2"/>
        <v>3.750215551424795</v>
      </c>
      <c r="R7" s="59">
        <f t="shared" si="0"/>
        <v>297.0835488847581</v>
      </c>
      <c r="S7" s="59">
        <f ca="1">AVERAGE(OFFSET($R$3,0,0,'Données projet'!$E$9+1,1))-AVERAGE(OFFSET($H$3,0,0,'Données projet'!$E$9+1,1))</f>
        <v>414.8063171894658</v>
      </c>
      <c r="T7" s="59">
        <f t="shared" si="34"/>
        <v>354.21555670988619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299.23319508130498</v>
      </c>
      <c r="AN7" s="59">
        <f ca="1">AVERAGE(OFFSET($AM$3,0,0,'Données projet'!$E$10+1,1))-AVERAGE(OFFSET($H$3,0,0,'Données projet'!$E$10+1,1))</f>
        <v>392.48436003609055</v>
      </c>
      <c r="AO7" s="59">
        <f t="shared" si="36"/>
        <v>236.3312446580419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2.0839241176864287</v>
      </c>
      <c r="BF7" s="13">
        <f t="shared" si="37"/>
        <v>0.88169040068036508</v>
      </c>
      <c r="BG7" s="20">
        <f t="shared" si="7"/>
        <v>5.1651119528221656</v>
      </c>
      <c r="BH7" s="59">
        <f t="shared" si="8"/>
        <v>298.49844528615546</v>
      </c>
      <c r="BI7" s="59">
        <f ca="1">AVERAGE(OFFSET($BH$3,0,0,'Données projet'!$E$11+1,1))-AVERAGE(OFFSET($H$3,0,0,'Données projet'!$E$11+1,1))</f>
        <v>225.2323446080772</v>
      </c>
      <c r="BJ7" s="59">
        <f t="shared" si="38"/>
        <v>222.29030402759292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2.5333979469913448</v>
      </c>
      <c r="CA7" s="13">
        <f t="shared" si="39"/>
        <v>1.0477662418158591</v>
      </c>
      <c r="CB7" s="20">
        <f t="shared" si="10"/>
        <v>6.2371942955058799</v>
      </c>
      <c r="CC7" s="59">
        <f t="shared" si="11"/>
        <v>299.57052762883922</v>
      </c>
      <c r="CD7" s="59">
        <f ca="1">AVERAGE(OFFSET($CC$3,0,0,'Données projet'!$E$12+1,1))-AVERAGE(OFFSET($H$3,0,0,'Données projet'!$E$12+1,1))</f>
        <v>281.84871057356037</v>
      </c>
      <c r="CE7" s="59">
        <f t="shared" si="40"/>
        <v>276.02211904126887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</v>
      </c>
      <c r="N8" s="13">
        <f>IF('Données projet'!$A$36&gt;35,N7+M8-V7,IF(A8&lt;'Données projet'!$A$36,$K$205^A8,IF(A8='Données projet'!$A$36,'Données projet'!$B$36,N7+M8-V7)))</f>
        <v>4.2726586816979157</v>
      </c>
      <c r="O8" s="13">
        <f>N8*VLOOKUP('Données projet'!$B$9,Paramètres!$A$1:$I$89,3,0)*VLOOKUP('Données projet'!$B$9,Paramètres!$A$1:$I$89,5,0)</f>
        <v>1.9996042630346245</v>
      </c>
      <c r="P8" s="13">
        <f t="shared" si="33"/>
        <v>0.85009259073978882</v>
      </c>
      <c r="Q8" s="20">
        <f t="shared" si="2"/>
        <v>4.9632220203237694</v>
      </c>
      <c r="R8" s="59">
        <f t="shared" si="0"/>
        <v>298.29655535365708</v>
      </c>
      <c r="S8" s="59">
        <f ca="1">AVERAGE(OFFSET($R$3,0,0,'Données projet'!$E$9+1,1))-AVERAGE(OFFSET($H$3,0,0,'Données projet'!$E$9+1,1))</f>
        <v>414.8063171894658</v>
      </c>
      <c r="T8" s="59">
        <f t="shared" si="34"/>
        <v>354.21555670988619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300.59185301917586</v>
      </c>
      <c r="AN8" s="59">
        <f ca="1">AVERAGE(OFFSET($AM$3,0,0,'Données projet'!$E$10+1,1))-AVERAGE(OFFSET($H$3,0,0,'Données projet'!$E$10+1,1))</f>
        <v>392.48436003609055</v>
      </c>
      <c r="AO8" s="59">
        <f t="shared" si="36"/>
        <v>236.3312446580419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2.6511157051695204</v>
      </c>
      <c r="BF8" s="13">
        <f t="shared" si="37"/>
        <v>1.0906707059957799</v>
      </c>
      <c r="BG8" s="20">
        <f t="shared" si="7"/>
        <v>6.5169446661128978</v>
      </c>
      <c r="BH8" s="59">
        <f t="shared" si="8"/>
        <v>299.85027799944623</v>
      </c>
      <c r="BI8" s="59">
        <f ca="1">AVERAGE(OFFSET($BH$3,0,0,'Données projet'!$E$11+1,1))-AVERAGE(OFFSET($H$3,0,0,'Données projet'!$E$11+1,1))</f>
        <v>225.2323446080772</v>
      </c>
      <c r="BJ8" s="59">
        <f t="shared" si="38"/>
        <v>222.29030402759292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3.2229249749119662</v>
      </c>
      <c r="CA8" s="13">
        <f t="shared" si="39"/>
        <v>1.2961102284861215</v>
      </c>
      <c r="CB8" s="20">
        <f t="shared" si="10"/>
        <v>7.8706529792516697</v>
      </c>
      <c r="CC8" s="59">
        <f t="shared" si="11"/>
        <v>301.20398631258496</v>
      </c>
      <c r="CD8" s="59">
        <f ca="1">AVERAGE(OFFSET($CC$3,0,0,'Données projet'!$E$12+1,1))-AVERAGE(OFFSET($H$3,0,0,'Données projet'!$E$12+1,1))</f>
        <v>281.84871057356037</v>
      </c>
      <c r="CE8" s="59">
        <f t="shared" si="40"/>
        <v>276.02211904126887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</v>
      </c>
      <c r="N9" s="13">
        <f>IF('Données projet'!$A$36&gt;35,N8+M9-V8,IF(A9&lt;'Données projet'!$A$36,$K$205^A9,IF(A9='Données projet'!$A$36,'Données projet'!$B$36,N8+M9-V8)))</f>
        <v>5.7126529511247019</v>
      </c>
      <c r="O9" s="13">
        <f>N9*VLOOKUP('Données projet'!$B$9,Paramètres!$A$1:$I$89,3,0)*VLOOKUP('Données projet'!$B$9,Paramètres!$A$1:$I$89,5,0)</f>
        <v>2.6735215811263608</v>
      </c>
      <c r="P9" s="13">
        <f t="shared" si="33"/>
        <v>1.0988115530971037</v>
      </c>
      <c r="Q9" s="20">
        <f t="shared" si="2"/>
        <v>6.5701468754391996</v>
      </c>
      <c r="R9" s="59">
        <f t="shared" si="0"/>
        <v>299.90348020877252</v>
      </c>
      <c r="S9" s="59">
        <f ca="1">AVERAGE(OFFSET($R$3,0,0,'Données projet'!$E$9+1,1))-AVERAGE(OFFSET($H$3,0,0,'Données projet'!$E$9+1,1))</f>
        <v>414.8063171894658</v>
      </c>
      <c r="T9" s="59">
        <f t="shared" si="34"/>
        <v>354.21555670988619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302.26453514848305</v>
      </c>
      <c r="AN9" s="59">
        <f ca="1">AVERAGE(OFFSET($AM$3,0,0,'Données projet'!$E$10+1,1))-AVERAGE(OFFSET($H$3,0,0,'Données projet'!$E$10+1,1))</f>
        <v>392.48436003609055</v>
      </c>
      <c r="AO9" s="59">
        <f t="shared" si="36"/>
        <v>236.3312446580419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3.3726825379800407</v>
      </c>
      <c r="BF9" s="13">
        <f t="shared" si="37"/>
        <v>1.3491840083541735</v>
      </c>
      <c r="BG9" s="20">
        <f t="shared" si="7"/>
        <v>8.2239175681987557</v>
      </c>
      <c r="BH9" s="59">
        <f t="shared" si="8"/>
        <v>301.55725090153209</v>
      </c>
      <c r="BI9" s="59">
        <f ca="1">AVERAGE(OFFSET($BH$3,0,0,'Données projet'!$E$11+1,1))-AVERAGE(OFFSET($H$3,0,0,'Données projet'!$E$11+1,1))</f>
        <v>225.2323446080772</v>
      </c>
      <c r="BJ9" s="59">
        <f t="shared" si="38"/>
        <v>222.29030402759292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4.1001238697012257</v>
      </c>
      <c r="CA9" s="13">
        <f t="shared" si="39"/>
        <v>1.6033172833235658</v>
      </c>
      <c r="CB9" s="20">
        <f t="shared" si="10"/>
        <v>9.9334933415181794</v>
      </c>
      <c r="CC9" s="59">
        <f t="shared" si="11"/>
        <v>303.26682667485147</v>
      </c>
      <c r="CD9" s="59">
        <f ca="1">AVERAGE(OFFSET($CC$3,0,0,'Données projet'!$E$12+1,1))-AVERAGE(OFFSET($H$3,0,0,'Données projet'!$E$12+1,1))</f>
        <v>281.84871057356037</v>
      </c>
      <c r="CE9" s="59">
        <f t="shared" si="40"/>
        <v>276.02211904126887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</v>
      </c>
      <c r="N10" s="13">
        <f>IF('Données projet'!$A$36&gt;35,N9+M10-V9,IF(A10&lt;'Données projet'!$A$36,$K$205^A10,IF(A10='Données projet'!$A$36,'Données projet'!$B$36,N9+M10-V9)))</f>
        <v>7.6379617870681749</v>
      </c>
      <c r="O10" s="13">
        <f>N10*VLOOKUP('Données projet'!$B$9,Paramètres!$A$1:$I$89,3,0)*VLOOKUP('Données projet'!$B$9,Paramètres!$A$1:$I$89,5,0)</f>
        <v>3.5745661163479054</v>
      </c>
      <c r="P10" s="13">
        <f t="shared" si="33"/>
        <v>1.4203003794786002</v>
      </c>
      <c r="Q10" s="20">
        <f t="shared" si="2"/>
        <v>8.6993924802311628</v>
      </c>
      <c r="R10" s="59">
        <f t="shared" si="0"/>
        <v>302.03272581356447</v>
      </c>
      <c r="S10" s="59">
        <f ca="1">AVERAGE(OFFSET($R$3,0,0,'Données projet'!$E$9+1,1))-AVERAGE(OFFSET($H$3,0,0,'Données projet'!$E$9+1,1))</f>
        <v>414.8063171894658</v>
      </c>
      <c r="T10" s="59">
        <f t="shared" si="34"/>
        <v>354.21555670988619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304.32406934343595</v>
      </c>
      <c r="AN10" s="59">
        <f ca="1">AVERAGE(OFFSET($AM$3,0,0,'Données projet'!$E$10+1,1))-AVERAGE(OFFSET($H$3,0,0,'Données projet'!$E$10+1,1))</f>
        <v>392.48436003609055</v>
      </c>
      <c r="AO10" s="59">
        <f t="shared" si="36"/>
        <v>236.3312446580419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4.2906416644942853</v>
      </c>
      <c r="BF10" s="13">
        <f t="shared" si="37"/>
        <v>1.6689707336887791</v>
      </c>
      <c r="BG10" s="20">
        <f t="shared" si="7"/>
        <v>10.379658260168837</v>
      </c>
      <c r="BH10" s="59">
        <f t="shared" si="8"/>
        <v>303.71299159350212</v>
      </c>
      <c r="BI10" s="59">
        <f ca="1">AVERAGE(OFFSET($BH$3,0,0,'Données projet'!$E$11+1,1))-AVERAGE(OFFSET($H$3,0,0,'Données projet'!$E$11+1,1))</f>
        <v>225.2323446080772</v>
      </c>
      <c r="BJ10" s="59">
        <f t="shared" si="38"/>
        <v>222.29030402759292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5.2160741803656014</v>
      </c>
      <c r="CA10" s="13">
        <f t="shared" si="39"/>
        <v>1.9833392673758889</v>
      </c>
      <c r="CB10" s="20">
        <f t="shared" si="10"/>
        <v>12.538978421483094</v>
      </c>
      <c r="CC10" s="59">
        <f t="shared" si="11"/>
        <v>305.87231175481639</v>
      </c>
      <c r="CD10" s="59">
        <f ca="1">AVERAGE(OFFSET($CC$3,0,0,'Données projet'!$E$12+1,1))-AVERAGE(OFFSET($H$3,0,0,'Données projet'!$E$12+1,1))</f>
        <v>281.84871057356037</v>
      </c>
      <c r="CE10" s="59">
        <f t="shared" si="40"/>
        <v>276.02211904126887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</v>
      </c>
      <c r="N11" s="13">
        <f>IF('Données projet'!$A$36&gt;35,N10+M11-V10,IF(A11&lt;'Données projet'!$A$36,$K$205^A11,IF(A11='Données projet'!$A$36,'Données projet'!$B$36,N10+M11-V10)))</f>
        <v>10.212148499101115</v>
      </c>
      <c r="O11" s="13">
        <f>N11*VLOOKUP('Données projet'!$B$9,Paramètres!$A$1:$I$89,3,0)*VLOOKUP('Données projet'!$B$9,Paramètres!$A$1:$I$89,5,0)</f>
        <v>4.7792854975793215</v>
      </c>
      <c r="P11" s="13">
        <f t="shared" si="33"/>
        <v>1.8358499801546853</v>
      </c>
      <c r="Q11" s="20">
        <f t="shared" si="2"/>
        <v>11.521360957053394</v>
      </c>
      <c r="R11" s="59">
        <f t="shared" si="0"/>
        <v>304.8546942903867</v>
      </c>
      <c r="S11" s="59">
        <f ca="1">AVERAGE(OFFSET($R$3,0,0,'Données projet'!$E$9+1,1))-AVERAGE(OFFSET($H$3,0,0,'Données projet'!$E$9+1,1))</f>
        <v>414.8063171894658</v>
      </c>
      <c r="T11" s="59">
        <f t="shared" si="34"/>
        <v>354.21555670988619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306.86022716374464</v>
      </c>
      <c r="AN11" s="59">
        <f ca="1">AVERAGE(OFFSET($AM$3,0,0,'Données projet'!$E$10+1,1))-AVERAGE(OFFSET($H$3,0,0,'Données projet'!$E$10+1,1))</f>
        <v>392.48436003609055</v>
      </c>
      <c r="AO11" s="59">
        <f t="shared" si="36"/>
        <v>236.3312446580419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5.4584461139707896</v>
      </c>
      <c r="BF11" s="13">
        <f t="shared" si="37"/>
        <v>2.0645540509389519</v>
      </c>
      <c r="BG11" s="20">
        <f t="shared" si="7"/>
        <v>13.102558620551131</v>
      </c>
      <c r="BH11" s="59">
        <f t="shared" si="8"/>
        <v>306.43589195388444</v>
      </c>
      <c r="BI11" s="59">
        <f ca="1">AVERAGE(OFFSET($BH$3,0,0,'Données projet'!$E$11+1,1))-AVERAGE(OFFSET($H$3,0,0,'Données projet'!$E$11+1,1))</f>
        <v>225.2323446080772</v>
      </c>
      <c r="BJ11" s="59">
        <f t="shared" si="38"/>
        <v>222.29030402759292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6.6357580209056657</v>
      </c>
      <c r="CA11" s="13">
        <f t="shared" si="39"/>
        <v>2.4534349441808394</v>
      </c>
      <c r="CB11" s="20">
        <f t="shared" si="10"/>
        <v>15.830344414192332</v>
      </c>
      <c r="CC11" s="59">
        <f t="shared" si="11"/>
        <v>309.16367774752564</v>
      </c>
      <c r="CD11" s="59">
        <f ca="1">AVERAGE(OFFSET($CC$3,0,0,'Données projet'!$E$12+1,1))-AVERAGE(OFFSET($H$3,0,0,'Données projet'!$E$12+1,1))</f>
        <v>281.84871057356037</v>
      </c>
      <c r="CE11" s="59">
        <f t="shared" si="40"/>
        <v>276.02211904126887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</v>
      </c>
      <c r="N12" s="13">
        <f>IF('Données projet'!$A$36&gt;35,N11+M12-V11,IF(A12&lt;'Données projet'!$A$36,$K$205^A12,IF(A12='Données projet'!$A$36,'Données projet'!$B$36,N11+M12-V11)))</f>
        <v>13.653901377755385</v>
      </c>
      <c r="O12" s="13">
        <f>N12*VLOOKUP('Données projet'!$B$9,Paramètres!$A$1:$I$89,3,0)*VLOOKUP('Données projet'!$B$9,Paramètres!$A$1:$I$89,5,0)</f>
        <v>6.3900258447895206</v>
      </c>
      <c r="P12" s="13">
        <f t="shared" si="33"/>
        <v>2.3729805316754398</v>
      </c>
      <c r="Q12" s="20">
        <f t="shared" si="2"/>
        <v>15.262236105676472</v>
      </c>
      <c r="R12" s="59">
        <f t="shared" si="0"/>
        <v>308.59556943900981</v>
      </c>
      <c r="S12" s="59">
        <f ca="1">AVERAGE(OFFSET($R$3,0,0,'Données projet'!$E$9+1,1))-AVERAGE(OFFSET($H$3,0,0,'Données projet'!$E$9+1,1))</f>
        <v>414.8063171894658</v>
      </c>
      <c r="T12" s="59">
        <f t="shared" si="34"/>
        <v>354.21555670988619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309.9836774071448</v>
      </c>
      <c r="AN12" s="59">
        <f ca="1">AVERAGE(OFFSET($AM$3,0,0,'Données projet'!$E$10+1,1))-AVERAGE(OFFSET($H$3,0,0,'Données projet'!$E$10+1,1))</f>
        <v>392.48436003609055</v>
      </c>
      <c r="AO12" s="59">
        <f t="shared" si="36"/>
        <v>236.3312446580419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6.9440974821267289</v>
      </c>
      <c r="BF12" s="13">
        <f t="shared" si="37"/>
        <v>2.5538994442566798</v>
      </c>
      <c r="BG12" s="20">
        <f t="shared" si="7"/>
        <v>16.542344646784436</v>
      </c>
      <c r="BH12" s="59">
        <f t="shared" si="8"/>
        <v>309.87567798011776</v>
      </c>
      <c r="BI12" s="59">
        <f ca="1">AVERAGE(OFFSET($BH$3,0,0,'Données projet'!$E$11+1,1))-AVERAGE(OFFSET($H$3,0,0,'Données projet'!$E$11+1,1))</f>
        <v>225.2323446080772</v>
      </c>
      <c r="BJ12" s="59">
        <f t="shared" si="38"/>
        <v>222.29030402759292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8.4418439978795536</v>
      </c>
      <c r="CA12" s="13">
        <f t="shared" si="39"/>
        <v>3.0349537894702676</v>
      </c>
      <c r="CB12" s="20">
        <f t="shared" si="10"/>
        <v>19.988756146300936</v>
      </c>
      <c r="CC12" s="59">
        <f t="shared" si="11"/>
        <v>313.32208947963426</v>
      </c>
      <c r="CD12" s="59">
        <f ca="1">AVERAGE(OFFSET($CC$3,0,0,'Données projet'!$E$12+1,1))-AVERAGE(OFFSET($H$3,0,0,'Données projet'!$E$12+1,1))</f>
        <v>281.84871057356037</v>
      </c>
      <c r="CE12" s="59">
        <f t="shared" si="40"/>
        <v>276.02211904126887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</v>
      </c>
      <c r="N13" s="13">
        <f>IF('Données projet'!$A$36&gt;35,N12+M13-V12,IF(A13&lt;'Données projet'!$A$36,$K$205^A13,IF(A13='Données projet'!$A$36,'Données projet'!$B$36,N12+M13-V12)))</f>
        <v>18.255612210288572</v>
      </c>
      <c r="O13" s="13">
        <f>N13*VLOOKUP('Données projet'!$B$9,Paramètres!$A$1:$I$89,3,0)*VLOOKUP('Données projet'!$B$9,Paramètres!$A$1:$I$89,5,0)</f>
        <v>8.5436265144150525</v>
      </c>
      <c r="P13" s="13">
        <f t="shared" si="33"/>
        <v>3.0672640273341907</v>
      </c>
      <c r="Q13" s="20">
        <f t="shared" si="2"/>
        <v>20.222301026879929</v>
      </c>
      <c r="R13" s="59">
        <f t="shared" si="0"/>
        <v>313.55563436021322</v>
      </c>
      <c r="S13" s="59">
        <f ca="1">AVERAGE(OFFSET($R$3,0,0,'Données projet'!$E$9+1,1))-AVERAGE(OFFSET($H$3,0,0,'Données projet'!$E$9+1,1))</f>
        <v>414.8063171894658</v>
      </c>
      <c r="T13" s="59">
        <f t="shared" si="34"/>
        <v>354.21555670988619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313.83086464029793</v>
      </c>
      <c r="AN13" s="59">
        <f ca="1">AVERAGE(OFFSET($AM$3,0,0,'Données projet'!$E$10+1,1))-AVERAGE(OFFSET($H$3,0,0,'Données projet'!$E$10+1,1))</f>
        <v>392.48436003609055</v>
      </c>
      <c r="AO13" s="59">
        <f t="shared" si="36"/>
        <v>236.3312446580419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8.8341056840076444</v>
      </c>
      <c r="BF13" s="13">
        <f t="shared" si="37"/>
        <v>3.1592306185484516</v>
      </c>
      <c r="BG13" s="20">
        <f t="shared" si="7"/>
        <v>20.888394060285197</v>
      </c>
      <c r="BH13" s="59">
        <f t="shared" si="8"/>
        <v>314.22172739361849</v>
      </c>
      <c r="BI13" s="59">
        <f ca="1">AVERAGE(OFFSET($BH$3,0,0,'Données projet'!$E$11+1,1))-AVERAGE(OFFSET($H$3,0,0,'Données projet'!$E$11+1,1))</f>
        <v>225.2323446080772</v>
      </c>
      <c r="BJ13" s="59">
        <f t="shared" si="38"/>
        <v>222.29030402759292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10.739501027617136</v>
      </c>
      <c r="CA13" s="13">
        <f t="shared" si="39"/>
        <v>3.7543055812695765</v>
      </c>
      <c r="CB13" s="20">
        <f t="shared" si="10"/>
        <v>25.243379843811024</v>
      </c>
      <c r="CC13" s="59">
        <f t="shared" si="11"/>
        <v>318.57671317714431</v>
      </c>
      <c r="CD13" s="59">
        <f ca="1">AVERAGE(OFFSET($CC$3,0,0,'Données projet'!$E$12+1,1))-AVERAGE(OFFSET($H$3,0,0,'Données projet'!$E$12+1,1))</f>
        <v>281.84871057356037</v>
      </c>
      <c r="CE13" s="59">
        <f t="shared" si="40"/>
        <v>276.02211904126887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</v>
      </c>
      <c r="N14" s="13">
        <f>IF('Données projet'!$A$36&gt;35,N13+M14-V13,IF(A14&lt;'Données projet'!$A$36,$K$205^A14,IF(A14='Données projet'!$A$36,'Données projet'!$B$36,N13+M14-V13)))</f>
        <v>24.408216227150177</v>
      </c>
      <c r="O14" s="13">
        <f>N14*VLOOKUP('Données projet'!$B$9,Paramètres!$A$1:$I$89,3,0)*VLOOKUP('Données projet'!$B$9,Paramètres!$A$1:$I$89,5,0)</f>
        <v>11.423045194306283</v>
      </c>
      <c r="P14" s="13">
        <f t="shared" si="33"/>
        <v>3.9646800670276767</v>
      </c>
      <c r="Q14" s="20">
        <f t="shared" si="2"/>
        <v>26.800288163489981</v>
      </c>
      <c r="R14" s="59">
        <f t="shared" si="0"/>
        <v>320.13362149682331</v>
      </c>
      <c r="S14" s="59">
        <f ca="1">AVERAGE(OFFSET($R$3,0,0,'Données projet'!$E$9+1,1))-AVERAGE(OFFSET($H$3,0,0,'Données projet'!$E$9+1,1))</f>
        <v>414.8063171894658</v>
      </c>
      <c r="T14" s="59">
        <f t="shared" si="34"/>
        <v>354.21555670988619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318.57002964729838</v>
      </c>
      <c r="AN14" s="59">
        <f ca="1">AVERAGE(OFFSET($AM$3,0,0,'Données projet'!$E$10+1,1))-AVERAGE(OFFSET($H$3,0,0,'Données projet'!$E$10+1,1))</f>
        <v>392.48436003609055</v>
      </c>
      <c r="AO14" s="59">
        <f t="shared" si="36"/>
        <v>236.3312446580419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11.238526451721825</v>
      </c>
      <c r="BF14" s="13">
        <f t="shared" si="37"/>
        <v>3.9080387928425129</v>
      </c>
      <c r="BG14" s="20">
        <f t="shared" si="7"/>
        <v>26.380267800949554</v>
      </c>
      <c r="BH14" s="59">
        <f t="shared" si="8"/>
        <v>319.71360113428284</v>
      </c>
      <c r="BI14" s="59">
        <f ca="1">AVERAGE(OFFSET($BH$3,0,0,'Données projet'!$E$11+1,1))-AVERAGE(OFFSET($H$3,0,0,'Données projet'!$E$11+1,1))</f>
        <v>225.2323446080772</v>
      </c>
      <c r="BJ14" s="59">
        <f t="shared" si="38"/>
        <v>222.29030402759292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13.662522353073591</v>
      </c>
      <c r="CA14" s="13">
        <f t="shared" si="39"/>
        <v>4.6441598044931194</v>
      </c>
      <c r="CB14" s="20">
        <f t="shared" si="10"/>
        <v>31.884138091095355</v>
      </c>
      <c r="CC14" s="59">
        <f t="shared" si="11"/>
        <v>325.21747142442865</v>
      </c>
      <c r="CD14" s="59">
        <f ca="1">AVERAGE(OFFSET($CC$3,0,0,'Données projet'!$E$12+1,1))-AVERAGE(OFFSET($H$3,0,0,'Données projet'!$E$12+1,1))</f>
        <v>281.84871057356037</v>
      </c>
      <c r="CE14" s="59">
        <f t="shared" si="40"/>
        <v>276.02211904126887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</v>
      </c>
      <c r="N15" s="13">
        <f>IF('Données projet'!$A$36&gt;35,N14+M15-V14,IF(A15&lt;'Données projet'!$A$36,$K$205^A15,IF(A15='Données projet'!$A$36,'Données projet'!$B$36,N14+M15-V14)))</f>
        <v>32.634403739993772</v>
      </c>
      <c r="O15" s="13">
        <f>N15*VLOOKUP('Données projet'!$B$9,Paramètres!$A$1:$I$89,3,0)*VLOOKUP('Données projet'!$B$9,Paramètres!$A$1:$I$89,5,0)</f>
        <v>15.272900950317085</v>
      </c>
      <c r="P15" s="13">
        <f t="shared" si="33"/>
        <v>5.1246609009880242</v>
      </c>
      <c r="Q15" s="20">
        <f t="shared" si="2"/>
        <v>35.525753557689733</v>
      </c>
      <c r="R15" s="59">
        <f t="shared" si="0"/>
        <v>328.85908689102303</v>
      </c>
      <c r="S15" s="59">
        <f ca="1">AVERAGE(OFFSET($R$3,0,0,'Données projet'!$E$9+1,1))-AVERAGE(OFFSET($H$3,0,0,'Données projet'!$E$9+1,1))</f>
        <v>414.8063171894658</v>
      </c>
      <c r="T15" s="59">
        <f t="shared" si="34"/>
        <v>354.21555670988619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324.40863972786531</v>
      </c>
      <c r="AN15" s="59">
        <f ca="1">AVERAGE(OFFSET($AM$3,0,0,'Données projet'!$E$10+1,1))-AVERAGE(OFFSET($H$3,0,0,'Données projet'!$E$10+1,1))</f>
        <v>392.48436003609055</v>
      </c>
      <c r="AO15" s="59">
        <f t="shared" si="36"/>
        <v>236.3312446580419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14.297369912010421</v>
      </c>
      <c r="BF15" s="13">
        <f t="shared" si="37"/>
        <v>4.8343312187127445</v>
      </c>
      <c r="BG15" s="20">
        <f t="shared" si="7"/>
        <v>33.321046136009507</v>
      </c>
      <c r="BH15" s="59">
        <f t="shared" si="8"/>
        <v>326.65437946934281</v>
      </c>
      <c r="BI15" s="59">
        <f ca="1">AVERAGE(OFFSET($BH$3,0,0,'Données projet'!$E$11+1,1))-AVERAGE(OFFSET($H$3,0,0,'Données projet'!$E$11+1,1))</f>
        <v>225.2323446080772</v>
      </c>
      <c r="BJ15" s="59">
        <f t="shared" si="38"/>
        <v>222.29030402759292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17.38111636362051</v>
      </c>
      <c r="CA15" s="13">
        <f t="shared" si="39"/>
        <v>5.7449293412008142</v>
      </c>
      <c r="CB15" s="20">
        <f t="shared" si="10"/>
        <v>40.277862935897133</v>
      </c>
      <c r="CC15" s="59">
        <f t="shared" si="11"/>
        <v>333.61119626923045</v>
      </c>
      <c r="CD15" s="59">
        <f ca="1">AVERAGE(OFFSET($CC$3,0,0,'Données projet'!$E$12+1,1))-AVERAGE(OFFSET($H$3,0,0,'Données projet'!$E$12+1,1))</f>
        <v>281.84871057356037</v>
      </c>
      <c r="CE15" s="59">
        <f t="shared" si="40"/>
        <v>276.02211904126887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</v>
      </c>
      <c r="N16" s="13">
        <f>IF('Données projet'!$A$36&gt;35,N15+M16-V15,IF(A16&lt;'Données projet'!$A$36,$K$205^A16,IF(A16='Données projet'!$A$36,'Données projet'!$B$36,N15+M16-V15)))</f>
        <v>43.633024943472719</v>
      </c>
      <c r="O16" s="13">
        <f>N16*VLOOKUP('Données projet'!$B$9,Paramètres!$A$1:$I$89,3,0)*VLOOKUP('Données projet'!$B$9,Paramètres!$A$1:$I$89,5,0)</f>
        <v>20.420255673545231</v>
      </c>
      <c r="P16" s="13">
        <f t="shared" si="33"/>
        <v>6.6240273883698597</v>
      </c>
      <c r="Q16" s="20">
        <f t="shared" si="2"/>
        <v>47.102126332835446</v>
      </c>
      <c r="R16" s="59">
        <f t="shared" si="0"/>
        <v>340.43545966616875</v>
      </c>
      <c r="S16" s="59">
        <f ca="1">AVERAGE(OFFSET($R$3,0,0,'Données projet'!$E$9+1,1))-AVERAGE(OFFSET($H$3,0,0,'Données projet'!$E$9+1,1))</f>
        <v>414.8063171894658</v>
      </c>
      <c r="T16" s="59">
        <f t="shared" si="34"/>
        <v>354.21555670988619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331.60255978040777</v>
      </c>
      <c r="AN16" s="59">
        <f ca="1">AVERAGE(OFFSET($AM$3,0,0,'Données projet'!$E$10+1,1))-AVERAGE(OFFSET($H$3,0,0,'Données projet'!$E$10+1,1))</f>
        <v>392.48436003609055</v>
      </c>
      <c r="AO16" s="59">
        <f t="shared" si="36"/>
        <v>236.3312446580419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18.188753417005401</v>
      </c>
      <c r="BF16" s="13">
        <f t="shared" si="37"/>
        <v>5.9801756254374139</v>
      </c>
      <c r="BG16" s="20">
        <f t="shared" si="7"/>
        <v>42.094218082254564</v>
      </c>
      <c r="BH16" s="59">
        <f t="shared" si="8"/>
        <v>335.42755141558786</v>
      </c>
      <c r="BI16" s="59">
        <f ca="1">AVERAGE(OFFSET($BH$3,0,0,'Données projet'!$E$11+1,1))-AVERAGE(OFFSET($H$3,0,0,'Données projet'!$E$11+1,1))</f>
        <v>225.2323446080772</v>
      </c>
      <c r="BJ16" s="59">
        <f t="shared" si="38"/>
        <v>222.29030402759292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22.111817879496762</v>
      </c>
      <c r="CA16" s="13">
        <f t="shared" si="39"/>
        <v>7.1066058285632661</v>
      </c>
      <c r="CB16" s="20">
        <f t="shared" si="10"/>
        <v>50.888754624871218</v>
      </c>
      <c r="CC16" s="59">
        <f t="shared" si="11"/>
        <v>344.22208795820455</v>
      </c>
      <c r="CD16" s="59">
        <f ca="1">AVERAGE(OFFSET($CC$3,0,0,'Données projet'!$E$12+1,1))-AVERAGE(OFFSET($H$3,0,0,'Données projet'!$E$12+1,1))</f>
        <v>281.84871057356037</v>
      </c>
      <c r="CE16" s="59">
        <f t="shared" si="40"/>
        <v>276.02211904126887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</v>
      </c>
      <c r="N17" s="13">
        <f>IF('Données projet'!$A$36&gt;35,N16+M17-V16,IF(A17&lt;'Données projet'!$A$36,$K$205^A17,IF(A17='Données projet'!$A$36,'Données projet'!$B$36,N16+M17-V16)))</f>
        <v>58.338460260713681</v>
      </c>
      <c r="O17" s="13">
        <f>N17*VLOOKUP('Données projet'!$B$9,Paramètres!$A$1:$I$89,3,0)*VLOOKUP('Données projet'!$B$9,Paramètres!$A$1:$I$89,5,0)</f>
        <v>27.302399402014004</v>
      </c>
      <c r="P17" s="13">
        <f t="shared" si="33"/>
        <v>8.5620765333789173</v>
      </c>
      <c r="Q17" s="20">
        <f t="shared" si="2"/>
        <v>62.463962254142665</v>
      </c>
      <c r="R17" s="59">
        <f t="shared" si="0"/>
        <v>355.79729558747596</v>
      </c>
      <c r="S17" s="59">
        <f ca="1">AVERAGE(OFFSET($R$3,0,0,'Données projet'!$E$9+1,1))-AVERAGE(OFFSET($H$3,0,0,'Données projet'!$E$9+1,1))</f>
        <v>414.8063171894658</v>
      </c>
      <c r="T17" s="59">
        <f t="shared" si="34"/>
        <v>354.21555670988619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340.46737295239302</v>
      </c>
      <c r="AN17" s="59">
        <f ca="1">AVERAGE(OFFSET($AM$3,0,0,'Données projet'!$E$10+1,1))-AVERAGE(OFFSET($H$3,0,0,'Données projet'!$E$10+1,1))</f>
        <v>392.48436003609055</v>
      </c>
      <c r="AO17" s="59">
        <f t="shared" si="36"/>
        <v>236.3312446580419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23.13927336990233</v>
      </c>
      <c r="BF17" s="13">
        <f t="shared" si="37"/>
        <v>7.3976107331343286</v>
      </c>
      <c r="BG17" s="20">
        <f t="shared" si="7"/>
        <v>53.185073146122171</v>
      </c>
      <c r="BH17" s="59">
        <f t="shared" si="8"/>
        <v>346.51840647945551</v>
      </c>
      <c r="BI17" s="59">
        <f ca="1">AVERAGE(OFFSET($BH$3,0,0,'Données projet'!$E$11+1,1))-AVERAGE(OFFSET($H$3,0,0,'Données projet'!$E$11+1,1))</f>
        <v>225.2323446080772</v>
      </c>
      <c r="BJ17" s="59">
        <f t="shared" si="38"/>
        <v>222.29030402759292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28.130097037920478</v>
      </c>
      <c r="CA17" s="13">
        <f t="shared" si="39"/>
        <v>8.7910300376319253</v>
      </c>
      <c r="CB17" s="20">
        <f t="shared" si="10"/>
        <v>64.30429632325378</v>
      </c>
      <c r="CC17" s="59">
        <f t="shared" si="11"/>
        <v>357.63762965658708</v>
      </c>
      <c r="CD17" s="59">
        <f ca="1">AVERAGE(OFFSET($CC$3,0,0,'Données projet'!$E$12+1,1))-AVERAGE(OFFSET($H$3,0,0,'Données projet'!$E$12+1,1))</f>
        <v>281.84871057356037</v>
      </c>
      <c r="CE17" s="59">
        <f t="shared" si="40"/>
        <v>276.02211904126887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78</v>
      </c>
      <c r="L18" s="12">
        <f>VLOOKUP(A18,'Données projet'!$A$35:$I$55,9,0)</f>
        <v>5.2</v>
      </c>
      <c r="M18" s="12">
        <f t="array" ref="M18">INDEX(L:L,MIN(IF(ISNUMBER(L18:L214),ROW(L18:L214),"")))</f>
        <v>5.2</v>
      </c>
      <c r="N18" s="13">
        <f>IF('Données projet'!$A$36&gt;35,N17+M18-V17,IF(A18&lt;'Données projet'!$A$36,$K$205^A18,IF(A18='Données projet'!$A$36,'Données projet'!$B$36,N17+M18-V17)))</f>
        <v>78</v>
      </c>
      <c r="O18" s="13">
        <f>N18*VLOOKUP('Données projet'!$B$9,Paramètres!$A$1:$I$89,3,0)*VLOOKUP('Données projet'!$B$9,Paramètres!$A$1:$I$89,5,0)</f>
        <v>36.503999999999998</v>
      </c>
      <c r="P18" s="13">
        <f t="shared" si="33"/>
        <v>11.067157525971377</v>
      </c>
      <c r="Q18" s="20">
        <f t="shared" si="2"/>
        <v>82.85309935773347</v>
      </c>
      <c r="R18" s="59">
        <f t="shared" si="0"/>
        <v>376.18643269106678</v>
      </c>
      <c r="S18" s="59">
        <f ca="1">AVERAGE(OFFSET($R$3,0,0,'Données projet'!$E$9+1,1))-AVERAGE(OFFSET($H$3,0,0,'Données projet'!$E$9+1,1))</f>
        <v>414.8063171894658</v>
      </c>
      <c r="T18" s="59">
        <f t="shared" si="34"/>
        <v>354.21555670988619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351.39235583545371</v>
      </c>
      <c r="AN18" s="59">
        <f ca="1">AVERAGE(OFFSET($AM$3,0,0,'Données projet'!$E$10+1,1))-AVERAGE(OFFSET($H$3,0,0,'Données projet'!$E$10+1,1))</f>
        <v>392.48436003609055</v>
      </c>
      <c r="AO18" s="59">
        <f t="shared" si="36"/>
        <v>236.3312446580419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29.437200000000004</v>
      </c>
      <c r="BF18" s="13">
        <f t="shared" si="37"/>
        <v>9.1510096001539196</v>
      </c>
      <c r="BG18" s="20">
        <f t="shared" si="7"/>
        <v>67.207798386934755</v>
      </c>
      <c r="BH18" s="59">
        <f t="shared" si="8"/>
        <v>360.54113172026808</v>
      </c>
      <c r="BI18" s="59">
        <f ca="1">AVERAGE(OFFSET($BH$3,0,0,'Données projet'!$E$11+1,1))-AVERAGE(OFFSET($H$3,0,0,'Données projet'!$E$11+1,1))</f>
        <v>225.2323446080772</v>
      </c>
      <c r="BJ18" s="59">
        <f t="shared" si="38"/>
        <v>222.29030402759292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35.7864</v>
      </c>
      <c r="CA18" s="13">
        <f t="shared" si="39"/>
        <v>10.874700382555321</v>
      </c>
      <c r="CB18" s="20">
        <f t="shared" si="10"/>
        <v>81.26808316628383</v>
      </c>
      <c r="CC18" s="59">
        <f t="shared" si="11"/>
        <v>374.60141649961713</v>
      </c>
      <c r="CD18" s="59">
        <f ca="1">AVERAGE(OFFSET($CC$3,0,0,'Données projet'!$E$12+1,1))-AVERAGE(OFFSET($H$3,0,0,'Données projet'!$E$12+1,1))</f>
        <v>281.84871057356037</v>
      </c>
      <c r="CE18" s="59">
        <f t="shared" si="40"/>
        <v>276.02211904126887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24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47.735999999999997</v>
      </c>
      <c r="P19" s="13">
        <f t="shared" si="33"/>
        <v>14.027504361700418</v>
      </c>
      <c r="Q19" s="20">
        <f t="shared" si="2"/>
        <v>107.5714367632949</v>
      </c>
      <c r="R19" s="59">
        <f t="shared" si="0"/>
        <v>400.90477009662823</v>
      </c>
      <c r="S19" s="59">
        <f ca="1">AVERAGE(OFFSET($R$3,0,0,'Données projet'!$E$9+1,1))-AVERAGE(OFFSET($H$3,0,0,'Données projet'!$E$9+1,1))</f>
        <v>414.8063171894658</v>
      </c>
      <c r="T19" s="59">
        <f t="shared" si="34"/>
        <v>354.21555670988619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364.8577320573234</v>
      </c>
      <c r="AN19" s="59">
        <f ca="1">AVERAGE(OFFSET($AM$3,0,0,'Données projet'!$E$10+1,1))-AVERAGE(OFFSET($H$3,0,0,'Données projet'!$E$10+1,1))</f>
        <v>392.48436003609055</v>
      </c>
      <c r="AO19" s="59">
        <f t="shared" si="36"/>
        <v>236.3312446580419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26.732160000000004</v>
      </c>
      <c r="BF19" s="13">
        <f t="shared" si="37"/>
        <v>8.4038705306032053</v>
      </c>
      <c r="BG19" s="20">
        <f t="shared" si="7"/>
        <v>61.195253174133917</v>
      </c>
      <c r="BH19" s="59">
        <f t="shared" si="8"/>
        <v>354.52858650746725</v>
      </c>
      <c r="BI19" s="59">
        <f ca="1">AVERAGE(OFFSET($BH$3,0,0,'Données projet'!$E$11+1,1))-AVERAGE(OFFSET($H$3,0,0,'Données projet'!$E$11+1,1))</f>
        <v>225.2323446080772</v>
      </c>
      <c r="BJ19" s="59">
        <f t="shared" si="38"/>
        <v>222.29030402759292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32.497920000000001</v>
      </c>
      <c r="CA19" s="13">
        <f t="shared" si="39"/>
        <v>9.9868296578509597</v>
      </c>
      <c r="CB19" s="20">
        <f t="shared" si="10"/>
        <v>73.994272320757076</v>
      </c>
      <c r="CC19" s="59">
        <f t="shared" si="11"/>
        <v>367.32760565409041</v>
      </c>
      <c r="CD19" s="59">
        <f ca="1">AVERAGE(OFFSET($CC$3,0,0,'Données projet'!$E$12+1,1))-AVERAGE(OFFSET($H$3,0,0,'Données projet'!$E$12+1,1))</f>
        <v>281.84871057356037</v>
      </c>
      <c r="CE19" s="59">
        <f t="shared" si="40"/>
        <v>276.02211904126887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24</v>
      </c>
      <c r="N20" s="13">
        <f>IF('Données projet'!$A$36&gt;35,N19+M20-V19,IF(A20&lt;'Données projet'!$A$36,$K$205^A20,IF(A20='Données projet'!$A$36,'Données projet'!$B$36,N19+M20-V19)))</f>
        <v>126</v>
      </c>
      <c r="O20" s="13">
        <f>N20*VLOOKUP('Données projet'!$B$9,Paramètres!$A$1:$I$89,3,0)*VLOOKUP('Données projet'!$B$9,Paramètres!$A$1:$I$89,5,0)</f>
        <v>58.968000000000004</v>
      </c>
      <c r="P20" s="13">
        <f t="shared" si="33"/>
        <v>16.90708415297112</v>
      </c>
      <c r="Q20" s="20">
        <f t="shared" si="2"/>
        <v>132.14910489975804</v>
      </c>
      <c r="R20" s="59">
        <f t="shared" si="0"/>
        <v>425.48243823309133</v>
      </c>
      <c r="S20" s="59">
        <f ca="1">AVERAGE(OFFSET($R$3,0,0,'Données projet'!$E$9+1,1))-AVERAGE(OFFSET($H$3,0,0,'Données projet'!$E$9+1,1))</f>
        <v>414.8063171894658</v>
      </c>
      <c r="T20" s="59">
        <f t="shared" si="34"/>
        <v>354.21555670988619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381.45597503324353</v>
      </c>
      <c r="AN20" s="59">
        <f ca="1">AVERAGE(OFFSET($AM$3,0,0,'Données projet'!$E$10+1,1))-AVERAGE(OFFSET($H$3,0,0,'Données projet'!$E$10+1,1))</f>
        <v>392.48436003609055</v>
      </c>
      <c r="AO20" s="59">
        <f t="shared" si="36"/>
        <v>236.3312446580419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35.961120000000008</v>
      </c>
      <c r="BF20" s="13">
        <f t="shared" si="37"/>
        <v>10.921600552662685</v>
      </c>
      <c r="BG20" s="20">
        <f t="shared" si="7"/>
        <v>81.654071629220851</v>
      </c>
      <c r="BH20" s="59">
        <f t="shared" si="8"/>
        <v>374.98740496255414</v>
      </c>
      <c r="BI20" s="59">
        <f ca="1">AVERAGE(OFFSET($BH$3,0,0,'Données projet'!$E$11+1,1))-AVERAGE(OFFSET($H$3,0,0,'Données projet'!$E$11+1,1))</f>
        <v>225.2323446080772</v>
      </c>
      <c r="BJ20" s="59">
        <f t="shared" si="38"/>
        <v>222.29030402759292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43.717440000000003</v>
      </c>
      <c r="CA20" s="13">
        <f t="shared" si="39"/>
        <v>12.978801126616625</v>
      </c>
      <c r="CB20" s="20">
        <f t="shared" si="10"/>
        <v>98.745953295523961</v>
      </c>
      <c r="CC20" s="59">
        <f t="shared" si="11"/>
        <v>392.07928662885729</v>
      </c>
      <c r="CD20" s="59">
        <f ca="1">AVERAGE(OFFSET($CC$3,0,0,'Données projet'!$E$12+1,1))-AVERAGE(OFFSET($H$3,0,0,'Données projet'!$E$12+1,1))</f>
        <v>281.84871057356037</v>
      </c>
      <c r="CE20" s="59">
        <f t="shared" si="40"/>
        <v>276.02211904126887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24</v>
      </c>
      <c r="N21" s="13">
        <f>IF('Données projet'!$A$36&gt;35,N20+M21-V20,IF(A21&lt;'Données projet'!$A$36,$K$205^A21,IF(A21='Données projet'!$A$36,'Données projet'!$B$36,N20+M21-V20)))</f>
        <v>150</v>
      </c>
      <c r="O21" s="13">
        <f>N21*VLOOKUP('Données projet'!$B$9,Paramètres!$A$1:$I$89,3,0)*VLOOKUP('Données projet'!$B$9,Paramètres!$A$1:$I$89,5,0)</f>
        <v>70.2</v>
      </c>
      <c r="P21" s="13">
        <f t="shared" si="33"/>
        <v>19.723116370112194</v>
      </c>
      <c r="Q21" s="20">
        <f t="shared" si="2"/>
        <v>156.61609434461207</v>
      </c>
      <c r="R21" s="59">
        <f t="shared" si="0"/>
        <v>449.94942767794538</v>
      </c>
      <c r="S21" s="59">
        <f ca="1">AVERAGE(OFFSET($R$3,0,0,'Données projet'!$E$9+1,1))-AVERAGE(OFFSET($H$3,0,0,'Données projet'!$E$9+1,1))</f>
        <v>414.8063171894658</v>
      </c>
      <c r="T21" s="59">
        <f t="shared" si="34"/>
        <v>354.21555670988619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401.91811220908329</v>
      </c>
      <c r="AN21" s="59">
        <f ca="1">AVERAGE(OFFSET($AM$3,0,0,'Données projet'!$E$10+1,1))-AVERAGE(OFFSET($H$3,0,0,'Données projet'!$E$10+1,1))</f>
        <v>392.48436003609055</v>
      </c>
      <c r="AO21" s="59">
        <f t="shared" si="36"/>
        <v>236.3312446580419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45.190080000000009</v>
      </c>
      <c r="BF21" s="13">
        <f t="shared" si="37"/>
        <v>13.364359727915414</v>
      </c>
      <c r="BG21" s="20">
        <f t="shared" si="7"/>
        <v>101.98231585945268</v>
      </c>
      <c r="BH21" s="59">
        <f t="shared" si="8"/>
        <v>395.315649192786</v>
      </c>
      <c r="BI21" s="59">
        <f ca="1">AVERAGE(OFFSET($BH$3,0,0,'Données projet'!$E$11+1,1))-AVERAGE(OFFSET($H$3,0,0,'Données projet'!$E$11+1,1))</f>
        <v>225.2323446080772</v>
      </c>
      <c r="BJ21" s="59">
        <f t="shared" si="38"/>
        <v>222.29030402759292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54.936960000000006</v>
      </c>
      <c r="CA21" s="13">
        <f t="shared" si="39"/>
        <v>15.88168018568401</v>
      </c>
      <c r="CB21" s="20">
        <f t="shared" si="10"/>
        <v>123.34246499006633</v>
      </c>
      <c r="CC21" s="59">
        <f t="shared" si="11"/>
        <v>416.67579832339965</v>
      </c>
      <c r="CD21" s="59">
        <f ca="1">AVERAGE(OFFSET($CC$3,0,0,'Données projet'!$E$12+1,1))-AVERAGE(OFFSET($H$3,0,0,'Données projet'!$E$12+1,1))</f>
        <v>281.84871057356037</v>
      </c>
      <c r="CE21" s="59">
        <f t="shared" si="40"/>
        <v>276.02211904126887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</v>
      </c>
      <c r="N22" s="13">
        <f>IF('Données projet'!$A$36&gt;35,N21+M22-V21,IF(A22&lt;'Données projet'!$A$36,$K$205^A22,IF(A22='Données projet'!$A$36,'Données projet'!$B$36,N21+M22-V21)))</f>
        <v>174</v>
      </c>
      <c r="O22" s="13">
        <f>N22*VLOOKUP('Données projet'!$B$9,Paramètres!$A$1:$I$89,3,0)*VLOOKUP('Données projet'!$B$9,Paramètres!$A$1:$I$89,5,0)</f>
        <v>81.432000000000002</v>
      </c>
      <c r="P22" s="13">
        <f t="shared" si="33"/>
        <v>22.486953220240881</v>
      </c>
      <c r="Q22" s="20">
        <f t="shared" si="2"/>
        <v>180.99217685858619</v>
      </c>
      <c r="R22" s="59">
        <f t="shared" si="0"/>
        <v>474.32551019191953</v>
      </c>
      <c r="S22" s="59">
        <f ca="1">AVERAGE(OFFSET($R$3,0,0,'Données projet'!$E$9+1,1))-AVERAGE(OFFSET($H$3,0,0,'Données projet'!$E$9+1,1))</f>
        <v>414.8063171894658</v>
      </c>
      <c r="T22" s="59">
        <f t="shared" si="34"/>
        <v>354.21555670988619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427.14620754720647</v>
      </c>
      <c r="AN22" s="59">
        <f ca="1">AVERAGE(OFFSET($AM$3,0,0,'Données projet'!$E$10+1,1))-AVERAGE(OFFSET($H$3,0,0,'Données projet'!$E$10+1,1))</f>
        <v>392.48436003609055</v>
      </c>
      <c r="AO22" s="59">
        <f t="shared" si="36"/>
        <v>236.3312446580419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54.419040000000003</v>
      </c>
      <c r="BF22" s="13">
        <f t="shared" si="37"/>
        <v>15.749310274925152</v>
      </c>
      <c r="BG22" s="20">
        <f t="shared" si="7"/>
        <v>122.20987672882796</v>
      </c>
      <c r="BH22" s="59">
        <f t="shared" si="8"/>
        <v>415.54321006216128</v>
      </c>
      <c r="BI22" s="59">
        <f ca="1">AVERAGE(OFFSET($BH$3,0,0,'Données projet'!$E$11+1,1))-AVERAGE(OFFSET($H$3,0,0,'Données projet'!$E$11+1,1))</f>
        <v>225.2323446080772</v>
      </c>
      <c r="BJ22" s="59">
        <f t="shared" si="38"/>
        <v>222.29030402759292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66.156480000000002</v>
      </c>
      <c r="CA22" s="13">
        <f t="shared" si="39"/>
        <v>18.71586174150994</v>
      </c>
      <c r="CB22" s="20">
        <f t="shared" si="10"/>
        <v>147.81932853312981</v>
      </c>
      <c r="CC22" s="59">
        <f t="shared" si="11"/>
        <v>441.15266186646312</v>
      </c>
      <c r="CD22" s="59">
        <f ca="1">AVERAGE(OFFSET($CC$3,0,0,'Données projet'!$E$12+1,1))-AVERAGE(OFFSET($H$3,0,0,'Données projet'!$E$12+1,1))</f>
        <v>281.84871057356037</v>
      </c>
      <c r="CE22" s="59">
        <f t="shared" si="40"/>
        <v>276.02211904126887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198</v>
      </c>
      <c r="L23" s="12">
        <f>VLOOKUP(A23,'Données projet'!$A$35:$I$55,9,0)</f>
        <v>24</v>
      </c>
      <c r="M23" s="12">
        <f t="array" ref="M23">INDEX(L:L,MIN(IF(ISNUMBER(L23:L219),ROW(L23:L219),"")))</f>
        <v>24</v>
      </c>
      <c r="N23" s="13">
        <f>IF('Données projet'!$A$36&gt;35,N22+M23-V22,IF(A23&lt;'Données projet'!$A$36,$K$205^A23,IF(A23='Données projet'!$A$36,'Données projet'!$B$36,N22+M23-V22)))</f>
        <v>198</v>
      </c>
      <c r="O23" s="13">
        <f>N23*VLOOKUP('Données projet'!$B$9,Paramètres!$A$1:$I$89,3,0)*VLOOKUP('Données projet'!$B$9,Paramètres!$A$1:$I$89,5,0)</f>
        <v>92.664000000000001</v>
      </c>
      <c r="P23" s="13">
        <f t="shared" si="33"/>
        <v>25.206622814445748</v>
      </c>
      <c r="Q23" s="20">
        <f t="shared" si="2"/>
        <v>205.29133473515969</v>
      </c>
      <c r="R23" s="59">
        <f t="shared" si="0"/>
        <v>498.62466806849301</v>
      </c>
      <c r="S23" s="59">
        <f ca="1">AVERAGE(OFFSET($R$3,0,0,'Données projet'!$E$9+1,1))-AVERAGE(OFFSET($H$3,0,0,'Données projet'!$E$9+1,1))</f>
        <v>414.8063171894658</v>
      </c>
      <c r="T23" s="59">
        <f t="shared" si="34"/>
        <v>354.21555670988619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25.964351046876914</v>
      </c>
      <c r="AC23" s="22">
        <f t="shared" si="3"/>
        <v>25.964351046876914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458.2534764024507</v>
      </c>
      <c r="AN23" s="59">
        <f ca="1">AVERAGE(OFFSET($AM$3,0,0,'Données projet'!$E$10+1,1))-AVERAGE(OFFSET($H$3,0,0,'Données projet'!$E$10+1,1))</f>
        <v>392.48436003609055</v>
      </c>
      <c r="AO23" s="59">
        <f t="shared" si="36"/>
        <v>236.3312446580419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63.647999999999996</v>
      </c>
      <c r="BF23" s="13">
        <f t="shared" si="37"/>
        <v>18.087405707268363</v>
      </c>
      <c r="BG23" s="20">
        <f t="shared" si="7"/>
        <v>142.35583160682572</v>
      </c>
      <c r="BH23" s="59">
        <f t="shared" si="8"/>
        <v>435.689164940159</v>
      </c>
      <c r="BI23" s="59">
        <f ca="1">AVERAGE(OFFSET($BH$3,0,0,'Données projet'!$E$11+1,1))-AVERAGE(OFFSET($H$3,0,0,'Données projet'!$E$11+1,1))</f>
        <v>225.2323446080772</v>
      </c>
      <c r="BJ23" s="59">
        <f t="shared" si="38"/>
        <v>222.29030402759292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77.376000000000005</v>
      </c>
      <c r="CA23" s="13">
        <f t="shared" si="39"/>
        <v>21.494362519405076</v>
      </c>
      <c r="CB23" s="20">
        <f t="shared" si="10"/>
        <v>172.19921472129715</v>
      </c>
      <c r="CC23" s="59">
        <f t="shared" si="11"/>
        <v>465.53254805463047</v>
      </c>
      <c r="CD23" s="59">
        <f ca="1">AVERAGE(OFFSET($CC$3,0,0,'Données projet'!$E$12+1,1))-AVERAGE(OFFSET($H$3,0,0,'Données projet'!$E$12+1,1))</f>
        <v>281.84871057356037</v>
      </c>
      <c r="CE23" s="59">
        <f t="shared" si="40"/>
        <v>276.02211904126887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178.8</v>
      </c>
      <c r="O24" s="13">
        <f>N24*VLOOKUP('Données projet'!$B$9,Paramètres!$A$1:$I$89,3,0)*VLOOKUP('Données projet'!$B$9,Paramètres!$A$1:$I$89,5,0)</f>
        <v>83.678399999999996</v>
      </c>
      <c r="P24" s="13">
        <f t="shared" si="33"/>
        <v>23.034205464980609</v>
      </c>
      <c r="Q24" s="20">
        <f t="shared" si="2"/>
        <v>185.85778785150788</v>
      </c>
      <c r="R24" s="59">
        <f t="shared" si="0"/>
        <v>479.19112118484122</v>
      </c>
      <c r="S24" s="59">
        <f ca="1">AVERAGE(OFFSET($R$3,0,0,'Données projet'!$E$9+1,1))-AVERAGE(OFFSET($H$3,0,0,'Données projet'!$E$9+1,1))</f>
        <v>414.8063171894658</v>
      </c>
      <c r="T24" s="59">
        <f t="shared" si="34"/>
        <v>354.21555670988619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18.359568694354699</v>
      </c>
      <c r="AC24" s="22">
        <f t="shared" si="3"/>
        <v>18.359568694354699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460.89511484081447</v>
      </c>
      <c r="AN24" s="59">
        <f ca="1">AVERAGE(OFFSET($AM$3,0,0,'Données projet'!$E$10+1,1))-AVERAGE(OFFSET($H$3,0,0,'Données projet'!$E$10+1,1))</f>
        <v>392.48436003609055</v>
      </c>
      <c r="AO24" s="59">
        <f t="shared" si="36"/>
        <v>236.3312446580419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51.395759999999996</v>
      </c>
      <c r="BF24" s="13">
        <f t="shared" si="37"/>
        <v>14.973641136922506</v>
      </c>
      <c r="BG24" s="20">
        <f t="shared" si="7"/>
        <v>115.59337364680668</v>
      </c>
      <c r="BH24" s="59">
        <f t="shared" si="8"/>
        <v>408.92670698014001</v>
      </c>
      <c r="BI24" s="59">
        <f ca="1">AVERAGE(OFFSET($BH$3,0,0,'Données projet'!$E$11+1,1))-AVERAGE(OFFSET($H$3,0,0,'Données projet'!$E$11+1,1))</f>
        <v>225.2323446080772</v>
      </c>
      <c r="BJ24" s="59">
        <f t="shared" si="38"/>
        <v>222.29030402759292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62.481120000000004</v>
      </c>
      <c r="CA24" s="13">
        <f t="shared" si="39"/>
        <v>17.794087004039255</v>
      </c>
      <c r="CB24" s="20">
        <f t="shared" si="10"/>
        <v>139.81265219870173</v>
      </c>
      <c r="CC24" s="59">
        <f t="shared" si="11"/>
        <v>433.14598553203507</v>
      </c>
      <c r="CD24" s="59">
        <f ca="1">AVERAGE(OFFSET($CC$3,0,0,'Données projet'!$E$12+1,1))-AVERAGE(OFFSET($H$3,0,0,'Données projet'!$E$12+1,1))</f>
        <v>281.84871057356037</v>
      </c>
      <c r="CE24" s="59">
        <f t="shared" si="40"/>
        <v>276.02211904126887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208.60000000000002</v>
      </c>
      <c r="O25" s="13">
        <f>N25*VLOOKUP('Données projet'!$B$9,Paramètres!$A$1:$I$89,3,0)*VLOOKUP('Données projet'!$B$9,Paramètres!$A$1:$I$89,5,0)</f>
        <v>97.624800000000008</v>
      </c>
      <c r="P25" s="13">
        <f t="shared" si="33"/>
        <v>26.395349675372152</v>
      </c>
      <c r="Q25" s="20">
        <f t="shared" si="2"/>
        <v>216.00176068460652</v>
      </c>
      <c r="R25" s="59">
        <f t="shared" si="0"/>
        <v>509.33509401793981</v>
      </c>
      <c r="S25" s="59">
        <f ca="1">AVERAGE(OFFSET($R$3,0,0,'Données projet'!$E$9+1,1))-AVERAGE(OFFSET($H$3,0,0,'Données projet'!$E$9+1,1))</f>
        <v>414.8063171894658</v>
      </c>
      <c r="T25" s="59">
        <f t="shared" si="34"/>
        <v>354.21555670988619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12.982175523438457</v>
      </c>
      <c r="AC25" s="22">
        <f t="shared" si="3"/>
        <v>12.982175523438457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476.7249040511993</v>
      </c>
      <c r="AN25" s="59">
        <f ca="1">AVERAGE(OFFSET($AM$3,0,0,'Données projet'!$E$10+1,1))-AVERAGE(OFFSET($H$3,0,0,'Données projet'!$E$10+1,1))</f>
        <v>392.48436003609055</v>
      </c>
      <c r="AO25" s="59">
        <f t="shared" si="36"/>
        <v>236.3312446580419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61.42031999999999</v>
      </c>
      <c r="BF25" s="13">
        <f t="shared" si="37"/>
        <v>17.526880037631354</v>
      </c>
      <c r="BG25" s="20">
        <f t="shared" si="7"/>
        <v>137.4997067322079</v>
      </c>
      <c r="BH25" s="59">
        <f t="shared" si="8"/>
        <v>430.83304006554124</v>
      </c>
      <c r="BI25" s="59">
        <f ca="1">AVERAGE(OFFSET($BH$3,0,0,'Données projet'!$E$11+1,1))-AVERAGE(OFFSET($H$3,0,0,'Données projet'!$E$11+1,1))</f>
        <v>225.2323446080772</v>
      </c>
      <c r="BJ25" s="59">
        <f t="shared" si="38"/>
        <v>222.29030402759292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74.667839999999984</v>
      </c>
      <c r="CA25" s="13">
        <f t="shared" si="39"/>
        <v>20.8282558295016</v>
      </c>
      <c r="CB25" s="20">
        <f t="shared" si="10"/>
        <v>166.32236690304859</v>
      </c>
      <c r="CC25" s="59">
        <f t="shared" si="11"/>
        <v>459.6557002363819</v>
      </c>
      <c r="CD25" s="59">
        <f ca="1">AVERAGE(OFFSET($CC$3,0,0,'Données projet'!$E$12+1,1))-AVERAGE(OFFSET($H$3,0,0,'Données projet'!$E$12+1,1))</f>
        <v>281.84871057356037</v>
      </c>
      <c r="CE25" s="59">
        <f t="shared" si="40"/>
        <v>276.02211904126887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238.40000000000003</v>
      </c>
      <c r="O26" s="13">
        <f>N26*VLOOKUP('Données projet'!$B$9,Paramètres!$A$1:$I$89,3,0)*VLOOKUP('Données projet'!$B$9,Paramètres!$A$1:$I$89,5,0)</f>
        <v>111.57120000000002</v>
      </c>
      <c r="P26" s="13">
        <f t="shared" si="33"/>
        <v>29.700865431716629</v>
      </c>
      <c r="Q26" s="20">
        <f t="shared" si="2"/>
        <v>246.04884729357317</v>
      </c>
      <c r="R26" s="59">
        <f t="shared" si="0"/>
        <v>539.38218062690646</v>
      </c>
      <c r="S26" s="59">
        <f ca="1">AVERAGE(OFFSET($R$3,0,0,'Données projet'!$E$9+1,1))-AVERAGE(OFFSET($H$3,0,0,'Données projet'!$E$9+1,1))</f>
        <v>414.8063171894658</v>
      </c>
      <c r="T26" s="59">
        <f t="shared" si="34"/>
        <v>354.21555670988619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9.1797843471773497</v>
      </c>
      <c r="AC26" s="22">
        <f t="shared" si="3"/>
        <v>9.1797843471773497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492.52275027029503</v>
      </c>
      <c r="AN26" s="59">
        <f ca="1">AVERAGE(OFFSET($AM$3,0,0,'Données projet'!$E$10+1,1))-AVERAGE(OFFSET($H$3,0,0,'Données projet'!$E$10+1,1))</f>
        <v>392.48436003609055</v>
      </c>
      <c r="AO26" s="59">
        <f t="shared" si="36"/>
        <v>236.3312446580419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71.444879999999998</v>
      </c>
      <c r="BF26" s="13">
        <f t="shared" si="37"/>
        <v>20.03184442542841</v>
      </c>
      <c r="BG26" s="20">
        <f t="shared" si="7"/>
        <v>159.32196170762117</v>
      </c>
      <c r="BH26" s="59">
        <f t="shared" si="8"/>
        <v>452.65529504095446</v>
      </c>
      <c r="BI26" s="59">
        <f ca="1">AVERAGE(OFFSET($BH$3,0,0,'Données projet'!$E$11+1,1))-AVERAGE(OFFSET($H$3,0,0,'Données projet'!$E$11+1,1))</f>
        <v>225.2323446080772</v>
      </c>
      <c r="BJ26" s="59">
        <f t="shared" si="38"/>
        <v>222.29030402759292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86.854559999999978</v>
      </c>
      <c r="CA26" s="13">
        <f t="shared" si="39"/>
        <v>23.805057119908486</v>
      </c>
      <c r="CB26" s="20">
        <f t="shared" si="10"/>
        <v>192.73216648384053</v>
      </c>
      <c r="CC26" s="59">
        <f t="shared" si="11"/>
        <v>486.06549981717387</v>
      </c>
      <c r="CD26" s="59">
        <f ca="1">AVERAGE(OFFSET($CC$3,0,0,'Données projet'!$E$12+1,1))-AVERAGE(OFFSET($H$3,0,0,'Données projet'!$E$12+1,1))</f>
        <v>281.84871057356037</v>
      </c>
      <c r="CE26" s="59">
        <f t="shared" si="40"/>
        <v>276.02211904126887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268.20000000000005</v>
      </c>
      <c r="O27" s="13">
        <f>N27*VLOOKUP('Données projet'!$B$9,Paramètres!$A$1:$I$89,3,0)*VLOOKUP('Données projet'!$B$9,Paramètres!$A$1:$I$89,5,0)</f>
        <v>125.51760000000002</v>
      </c>
      <c r="P27" s="13">
        <f t="shared" si="33"/>
        <v>32.95850265342969</v>
      </c>
      <c r="Q27" s="20">
        <f t="shared" si="2"/>
        <v>276.01254545472335</v>
      </c>
      <c r="R27" s="59">
        <f t="shared" si="0"/>
        <v>569.34587878805667</v>
      </c>
      <c r="S27" s="59">
        <f ca="1">AVERAGE(OFFSET($R$3,0,0,'Données projet'!$E$9+1,1))-AVERAGE(OFFSET($H$3,0,0,'Données projet'!$E$9+1,1))</f>
        <v>414.8063171894658</v>
      </c>
      <c r="T27" s="59">
        <f t="shared" si="34"/>
        <v>354.21555670988619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6.4910877617192284</v>
      </c>
      <c r="AC27" s="22">
        <f t="shared" si="3"/>
        <v>6.4910877617192284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508.29154443507662</v>
      </c>
      <c r="AN27" s="59">
        <f ca="1">AVERAGE(OFFSET($AM$3,0,0,'Données projet'!$E$10+1,1))-AVERAGE(OFFSET($H$3,0,0,'Données projet'!$E$10+1,1))</f>
        <v>392.48436003609055</v>
      </c>
      <c r="AO27" s="59">
        <f t="shared" si="36"/>
        <v>236.3312446580419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81.469439999999992</v>
      </c>
      <c r="BF27" s="13">
        <f t="shared" si="37"/>
        <v>22.496088365195678</v>
      </c>
      <c r="BG27" s="20">
        <f t="shared" si="7"/>
        <v>181.07329523604912</v>
      </c>
      <c r="BH27" s="59">
        <f t="shared" si="8"/>
        <v>474.40662856938241</v>
      </c>
      <c r="BI27" s="59">
        <f ca="1">AVERAGE(OFFSET($BH$3,0,0,'Données projet'!$E$11+1,1))-AVERAGE(OFFSET($H$3,0,0,'Données projet'!$E$11+1,1))</f>
        <v>225.2323446080772</v>
      </c>
      <c r="BJ27" s="59">
        <f t="shared" si="38"/>
        <v>222.29030402759292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99.041279999999986</v>
      </c>
      <c r="CA27" s="13">
        <f t="shared" si="39"/>
        <v>26.733467829262995</v>
      </c>
      <c r="CB27" s="20">
        <f t="shared" si="10"/>
        <v>219.05768580263302</v>
      </c>
      <c r="CC27" s="59">
        <f t="shared" si="11"/>
        <v>512.3910191359663</v>
      </c>
      <c r="CD27" s="59">
        <f ca="1">AVERAGE(OFFSET($CC$3,0,0,'Données projet'!$E$12+1,1))-AVERAGE(OFFSET($H$3,0,0,'Données projet'!$E$12+1,1))</f>
        <v>281.84871057356037</v>
      </c>
      <c r="CE27" s="59">
        <f t="shared" si="40"/>
        <v>276.02211904126887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298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298.00000000000006</v>
      </c>
      <c r="O28" s="13">
        <f>N28*VLOOKUP('Données projet'!$B$9,Paramètres!$A$1:$I$89,3,0)*VLOOKUP('Données projet'!$B$9,Paramètres!$A$1:$I$89,5,0)</f>
        <v>139.46400000000003</v>
      </c>
      <c r="P28" s="13">
        <f t="shared" si="33"/>
        <v>36.174188022271792</v>
      </c>
      <c r="Q28" s="20">
        <f t="shared" si="2"/>
        <v>305.90317747212345</v>
      </c>
      <c r="R28" s="59">
        <f t="shared" si="0"/>
        <v>599.23651080545676</v>
      </c>
      <c r="S28" s="59">
        <f ca="1">AVERAGE(OFFSET($R$3,0,0,'Données projet'!$E$9+1,1))-AVERAGE(OFFSET($H$3,0,0,'Données projet'!$E$9+1,1))</f>
        <v>414.8063171894658</v>
      </c>
      <c r="T28" s="59">
        <f t="shared" si="34"/>
        <v>354.21555670988619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26.188719618273449</v>
      </c>
      <c r="AB28" s="21">
        <f>EXP(-LN(2)/2)*AB27+(1-EXP(-LN(2)/2))/(LN(2)/2)*V28*Y28*VLOOKUP('Données projet'!$B$9,Paramètres!$A$1:$I$89,3,0)*0.475*44/12</f>
        <v>4.5898921735886749</v>
      </c>
      <c r="AC28" s="22">
        <f t="shared" si="3"/>
        <v>30.778611791862126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524.0337182734097</v>
      </c>
      <c r="AN28" s="59">
        <f ca="1">AVERAGE(OFFSET($AM$3,0,0,'Données projet'!$E$10+1,1))-AVERAGE(OFFSET($H$3,0,0,'Données projet'!$E$10+1,1))</f>
        <v>392.48436003609055</v>
      </c>
      <c r="AO28" s="59">
        <f t="shared" si="36"/>
        <v>236.3312446580419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91.493999999999986</v>
      </c>
      <c r="BF28" s="13">
        <f t="shared" si="37"/>
        <v>24.925195840896517</v>
      </c>
      <c r="BG28" s="20">
        <f t="shared" si="7"/>
        <v>202.76343275622807</v>
      </c>
      <c r="BH28" s="59">
        <f t="shared" si="8"/>
        <v>496.09676608956136</v>
      </c>
      <c r="BI28" s="59">
        <f ca="1">AVERAGE(OFFSET($BH$3,0,0,'Données projet'!$E$11+1,1))-AVERAGE(OFFSET($H$3,0,0,'Données projet'!$E$11+1,1))</f>
        <v>225.2323446080772</v>
      </c>
      <c r="BJ28" s="59">
        <f t="shared" si="38"/>
        <v>222.29030402759292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111.22799999999998</v>
      </c>
      <c r="CA28" s="13">
        <f t="shared" si="39"/>
        <v>29.620123744783804</v>
      </c>
      <c r="CB28" s="20">
        <f t="shared" si="10"/>
        <v>245.31048218883168</v>
      </c>
      <c r="CC28" s="59">
        <f t="shared" si="11"/>
        <v>538.64381552216503</v>
      </c>
      <c r="CD28" s="59">
        <f ca="1">AVERAGE(OFFSET($CC$3,0,0,'Données projet'!$E$12+1,1))-AVERAGE(OFFSET($H$3,0,0,'Données projet'!$E$12+1,1))</f>
        <v>281.84871057356037</v>
      </c>
      <c r="CE28" s="59">
        <f t="shared" si="40"/>
        <v>276.02211904126887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31.8</v>
      </c>
      <c r="N29" s="13">
        <f>IF('Données projet'!$A$36&gt;35,N28+M29-V28,IF(A29&lt;'Données projet'!$A$36,$K$205^A29,IF(A29='Données projet'!$A$36,'Données projet'!$B$36,N28+M29-V28)))</f>
        <v>252.80000000000007</v>
      </c>
      <c r="O29" s="13">
        <f>N29*VLOOKUP('Données projet'!$B$9,Paramètres!$A$1:$I$89,3,0)*VLOOKUP('Données projet'!$B$9,Paramètres!$A$1:$I$89,5,0)</f>
        <v>118.31040000000003</v>
      </c>
      <c r="P29" s="13">
        <f t="shared" si="33"/>
        <v>31.280603211565367</v>
      </c>
      <c r="Q29" s="20">
        <f t="shared" si="2"/>
        <v>260.53766392680978</v>
      </c>
      <c r="R29" s="59">
        <f t="shared" si="0"/>
        <v>553.8709972601431</v>
      </c>
      <c r="S29" s="59">
        <f ca="1">AVERAGE(OFFSET($R$3,0,0,'Données projet'!$E$9+1,1))-AVERAGE(OFFSET($H$3,0,0,'Données projet'!$E$9+1,1))</f>
        <v>414.8063171894658</v>
      </c>
      <c r="T29" s="59">
        <f t="shared" si="34"/>
        <v>354.21555670988619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25.472587703106853</v>
      </c>
      <c r="AB29" s="21">
        <f>EXP(-LN(2)/2)*AB28+(1-EXP(-LN(2)/2))/(LN(2)/2)*V29*Y29*VLOOKUP('Données projet'!$B$9,Paramètres!$A$1:$I$89,3,0)*0.475*44/12</f>
        <v>3.2455438808596142</v>
      </c>
      <c r="AC29" s="22">
        <f t="shared" si="3"/>
        <v>28.718131583966468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482.87213599936979</v>
      </c>
      <c r="AN29" s="59">
        <f ca="1">AVERAGE(OFFSET($AM$3,0,0,'Données projet'!$E$10+1,1))-AVERAGE(OFFSET($H$3,0,0,'Données projet'!$E$10+1,1))</f>
        <v>392.48436003609055</v>
      </c>
      <c r="AO29" s="59">
        <f t="shared" si="36"/>
        <v>236.3312446580419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78.605279999999979</v>
      </c>
      <c r="BF29" s="13">
        <f t="shared" si="37"/>
        <v>21.795819556945734</v>
      </c>
      <c r="BG29" s="20">
        <f t="shared" si="7"/>
        <v>174.86524839501377</v>
      </c>
      <c r="BH29" s="59">
        <f t="shared" si="8"/>
        <v>468.19858172834711</v>
      </c>
      <c r="BI29" s="59">
        <f ca="1">AVERAGE(OFFSET($BH$3,0,0,'Données projet'!$E$11+1,1))-AVERAGE(OFFSET($H$3,0,0,'Données projet'!$E$11+1,1))</f>
        <v>225.2323446080772</v>
      </c>
      <c r="BJ29" s="59">
        <f t="shared" si="38"/>
        <v>222.29030402759292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95.55935999999997</v>
      </c>
      <c r="CA29" s="13">
        <f t="shared" si="39"/>
        <v>25.901295882154653</v>
      </c>
      <c r="CB29" s="20">
        <f t="shared" si="10"/>
        <v>211.5439756614193</v>
      </c>
      <c r="CC29" s="59">
        <f t="shared" si="11"/>
        <v>504.87730899475264</v>
      </c>
      <c r="CD29" s="59">
        <f ca="1">AVERAGE(OFFSET($CC$3,0,0,'Données projet'!$E$12+1,1))-AVERAGE(OFFSET($H$3,0,0,'Données projet'!$E$12+1,1))</f>
        <v>281.84871057356037</v>
      </c>
      <c r="CE29" s="59">
        <f t="shared" si="40"/>
        <v>276.02211904126887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31.8</v>
      </c>
      <c r="N30" s="13">
        <f>IF('Données projet'!$A$36&gt;35,N29+M30-V29,IF(A30&lt;'Données projet'!$A$36,$K$205^A30,IF(A30='Données projet'!$A$36,'Données projet'!$B$36,N29+M30-V29)))</f>
        <v>284.60000000000008</v>
      </c>
      <c r="O30" s="13">
        <f>N30*VLOOKUP('Données projet'!$B$9,Paramètres!$A$1:$I$89,3,0)*VLOOKUP('Données projet'!$B$9,Paramètres!$A$1:$I$89,5,0)</f>
        <v>133.19280000000003</v>
      </c>
      <c r="P30" s="13">
        <f t="shared" si="33"/>
        <v>34.733076632666538</v>
      </c>
      <c r="Q30" s="20">
        <f t="shared" si="2"/>
        <v>292.47090180189429</v>
      </c>
      <c r="R30" s="59">
        <f t="shared" si="0"/>
        <v>585.8042351352276</v>
      </c>
      <c r="S30" s="59">
        <f ca="1">AVERAGE(OFFSET($R$3,0,0,'Données projet'!$E$9+1,1))-AVERAGE(OFFSET($H$3,0,0,'Données projet'!$E$9+1,1))</f>
        <v>414.8063171894658</v>
      </c>
      <c r="T30" s="59">
        <f t="shared" si="34"/>
        <v>354.21555670988619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24.776038452820227</v>
      </c>
      <c r="AB30" s="21">
        <f>EXP(-LN(2)/2)*AB29+(1-EXP(-LN(2)/2))/(LN(2)/2)*V30*Y30*VLOOKUP('Données projet'!$B$9,Paramètres!$A$1:$I$89,3,0)*0.475*44/12</f>
        <v>2.2949460867943374</v>
      </c>
      <c r="AC30" s="22">
        <f t="shared" si="3"/>
        <v>27.070984539614564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503.03834939764522</v>
      </c>
      <c r="AN30" s="59">
        <f ca="1">AVERAGE(OFFSET($AM$3,0,0,'Données projet'!$E$10+1,1))-AVERAGE(OFFSET($H$3,0,0,'Données projet'!$E$10+1,1))</f>
        <v>392.48436003609055</v>
      </c>
      <c r="AO30" s="59">
        <f t="shared" si="36"/>
        <v>236.3312446580419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87.993359999999981</v>
      </c>
      <c r="BF30" s="13">
        <f t="shared" si="37"/>
        <v>24.080638481970816</v>
      </c>
      <c r="BG30" s="20">
        <f t="shared" si="7"/>
        <v>195.19554735609913</v>
      </c>
      <c r="BH30" s="59">
        <f t="shared" si="8"/>
        <v>488.52888068943241</v>
      </c>
      <c r="BI30" s="59">
        <f ca="1">AVERAGE(OFFSET($BH$3,0,0,'Données projet'!$E$11+1,1))-AVERAGE(OFFSET($H$3,0,0,'Données projet'!$E$11+1,1))</f>
        <v>225.2323446080772</v>
      </c>
      <c r="BJ30" s="59">
        <f t="shared" si="38"/>
        <v>222.29030402759292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106.97231999999997</v>
      </c>
      <c r="CA30" s="13">
        <f t="shared" si="39"/>
        <v>28.61648495130633</v>
      </c>
      <c r="CB30" s="20">
        <f t="shared" si="10"/>
        <v>236.15050195685842</v>
      </c>
      <c r="CC30" s="59">
        <f t="shared" si="11"/>
        <v>529.48383529019179</v>
      </c>
      <c r="CD30" s="59">
        <f ca="1">AVERAGE(OFFSET($CC$3,0,0,'Données projet'!$E$12+1,1))-AVERAGE(OFFSET($H$3,0,0,'Données projet'!$E$12+1,1))</f>
        <v>281.84871057356037</v>
      </c>
      <c r="CE30" s="59">
        <f t="shared" si="40"/>
        <v>276.02211904126887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31.8</v>
      </c>
      <c r="N31" s="13">
        <f>IF('Données projet'!$A$36&gt;35,N30+M31-V30,IF(A31&lt;'Données projet'!$A$36,$K$205^A31,IF(A31='Données projet'!$A$36,'Données projet'!$B$36,N30+M31-V30)))</f>
        <v>316.40000000000009</v>
      </c>
      <c r="O31" s="13">
        <f>N31*VLOOKUP('Données projet'!$B$9,Paramètres!$A$1:$I$89,3,0)*VLOOKUP('Données projet'!$B$9,Paramètres!$A$1:$I$89,5,0)</f>
        <v>148.07520000000002</v>
      </c>
      <c r="P31" s="13">
        <f t="shared" si="33"/>
        <v>38.140839670017264</v>
      </c>
      <c r="Q31" s="20">
        <f t="shared" si="2"/>
        <v>324.32626909194676</v>
      </c>
      <c r="R31" s="59">
        <f t="shared" si="0"/>
        <v>617.65960242528013</v>
      </c>
      <c r="S31" s="59">
        <f ca="1">AVERAGE(OFFSET($R$3,0,0,'Données projet'!$E$9+1,1))-AVERAGE(OFFSET($H$3,0,0,'Données projet'!$E$9+1,1))</f>
        <v>414.8063171894658</v>
      </c>
      <c r="T31" s="59">
        <f t="shared" si="34"/>
        <v>354.21555670988619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24.098536378412621</v>
      </c>
      <c r="AB31" s="21">
        <f>EXP(-LN(2)/2)*AB30+(1-EXP(-LN(2)/2))/(LN(2)/2)*V31*Y31*VLOOKUP('Données projet'!$B$9,Paramètres!$A$1:$I$89,3,0)*0.475*44/12</f>
        <v>1.6227719404298071</v>
      </c>
      <c r="AC31" s="22">
        <f t="shared" si="3"/>
        <v>25.721308318842429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523.15981479287154</v>
      </c>
      <c r="AN31" s="59">
        <f ca="1">AVERAGE(OFFSET($AM$3,0,0,'Données projet'!$E$10+1,1))-AVERAGE(OFFSET($H$3,0,0,'Données projet'!$E$10+1,1))</f>
        <v>392.48436003609055</v>
      </c>
      <c r="AO31" s="59">
        <f t="shared" si="36"/>
        <v>236.3312446580419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97.381439999999984</v>
      </c>
      <c r="BF31" s="13">
        <f t="shared" si="37"/>
        <v>26.337201615555198</v>
      </c>
      <c r="BG31" s="20">
        <f t="shared" si="7"/>
        <v>215.47663414709197</v>
      </c>
      <c r="BH31" s="59">
        <f t="shared" si="8"/>
        <v>508.80996748042526</v>
      </c>
      <c r="BI31" s="59">
        <f ca="1">AVERAGE(OFFSET($BH$3,0,0,'Données projet'!$E$11+1,1))-AVERAGE(OFFSET($H$3,0,0,'Données projet'!$E$11+1,1))</f>
        <v>225.2323446080772</v>
      </c>
      <c r="BJ31" s="59">
        <f t="shared" si="38"/>
        <v>222.29030402759292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118.38527999999997</v>
      </c>
      <c r="CA31" s="13">
        <f t="shared" si="39"/>
        <v>31.298095947718991</v>
      </c>
      <c r="CB31" s="20">
        <f t="shared" si="10"/>
        <v>260.69854644227718</v>
      </c>
      <c r="CC31" s="59">
        <f t="shared" si="11"/>
        <v>554.03187977561049</v>
      </c>
      <c r="CD31" s="59">
        <f ca="1">AVERAGE(OFFSET($CC$3,0,0,'Données projet'!$E$12+1,1))-AVERAGE(OFFSET($H$3,0,0,'Données projet'!$E$12+1,1))</f>
        <v>281.84871057356037</v>
      </c>
      <c r="CE31" s="59">
        <f t="shared" si="40"/>
        <v>276.02211904126887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31.8</v>
      </c>
      <c r="N32" s="13">
        <f>IF('Données projet'!$A$36&gt;35,N31+M32-V31,IF(A32&lt;'Données projet'!$A$36,$K$205^A32,IF(A32='Données projet'!$A$36,'Données projet'!$B$36,N31+M32-V31)))</f>
        <v>348.2000000000001</v>
      </c>
      <c r="O32" s="13">
        <f>N32*VLOOKUP('Données projet'!$B$9,Paramètres!$A$1:$I$89,3,0)*VLOOKUP('Données projet'!$B$9,Paramètres!$A$1:$I$89,5,0)</f>
        <v>162.95760000000004</v>
      </c>
      <c r="P32" s="13">
        <f t="shared" si="33"/>
        <v>41.508897552694833</v>
      </c>
      <c r="Q32" s="20">
        <f t="shared" si="2"/>
        <v>356.11248323761021</v>
      </c>
      <c r="R32" s="59">
        <f t="shared" si="0"/>
        <v>649.44581657094352</v>
      </c>
      <c r="S32" s="59">
        <f ca="1">AVERAGE(OFFSET($R$3,0,0,'Données projet'!$E$9+1,1))-AVERAGE(OFFSET($H$3,0,0,'Données projet'!$E$9+1,1))</f>
        <v>414.8063171894658</v>
      </c>
      <c r="T32" s="59">
        <f t="shared" si="34"/>
        <v>354.21555670988619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23.43956063385798</v>
      </c>
      <c r="AB32" s="21">
        <f>EXP(-LN(2)/2)*AB31+(1-EXP(-LN(2)/2))/(LN(2)/2)*V32*Y32*VLOOKUP('Données projet'!$B$9,Paramètres!$A$1:$I$89,3,0)*0.475*44/12</f>
        <v>1.1474730433971687</v>
      </c>
      <c r="AC32" s="22">
        <f t="shared" si="3"/>
        <v>24.58703367725515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543.24100096888094</v>
      </c>
      <c r="AN32" s="59">
        <f ca="1">AVERAGE(OFFSET($AM$3,0,0,'Données projet'!$E$10+1,1))-AVERAGE(OFFSET($H$3,0,0,'Données projet'!$E$10+1,1))</f>
        <v>392.48436003609055</v>
      </c>
      <c r="AO32" s="59">
        <f t="shared" si="36"/>
        <v>236.3312446580419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106.76951999999997</v>
      </c>
      <c r="BF32" s="13">
        <f t="shared" si="37"/>
        <v>28.568542914630683</v>
      </c>
      <c r="BG32" s="20">
        <f t="shared" si="7"/>
        <v>235.71379290964839</v>
      </c>
      <c r="BH32" s="59">
        <f t="shared" si="8"/>
        <v>529.04712624298168</v>
      </c>
      <c r="BI32" s="59">
        <f ca="1">AVERAGE(OFFSET($BH$3,0,0,'Données projet'!$E$11+1,1))-AVERAGE(OFFSET($H$3,0,0,'Données projet'!$E$11+1,1))</f>
        <v>225.2323446080772</v>
      </c>
      <c r="BJ32" s="59">
        <f t="shared" si="38"/>
        <v>222.29030402759292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129.79823999999996</v>
      </c>
      <c r="CA32" s="13">
        <f t="shared" si="39"/>
        <v>33.949734306644871</v>
      </c>
      <c r="CB32" s="20">
        <f t="shared" si="10"/>
        <v>285.19438858407307</v>
      </c>
      <c r="CC32" s="59">
        <f t="shared" si="11"/>
        <v>578.52772191740632</v>
      </c>
      <c r="CD32" s="59">
        <f ca="1">AVERAGE(OFFSET($CC$3,0,0,'Données projet'!$E$12+1,1))-AVERAGE(OFFSET($H$3,0,0,'Données projet'!$E$12+1,1))</f>
        <v>281.84871057356037</v>
      </c>
      <c r="CE32" s="59">
        <f t="shared" si="40"/>
        <v>276.02211904126887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380</v>
      </c>
      <c r="L33" s="12">
        <f>VLOOKUP(A33,'Données projet'!$A$35:$I$55,9,0)</f>
        <v>31.8</v>
      </c>
      <c r="M33" s="12">
        <f t="array" ref="M33">INDEX(L:L,MIN(IF(ISNUMBER(L33:L229),ROW(L33:L229),"")))</f>
        <v>31.8</v>
      </c>
      <c r="N33" s="13">
        <f>IF('Données projet'!$A$36&gt;35,N32+M33-V32,IF(A33&lt;'Données projet'!$A$36,$K$205^A33,IF(A33='Données projet'!$A$36,'Données projet'!$B$36,N32+M33-V32)))</f>
        <v>380.00000000000011</v>
      </c>
      <c r="O33" s="13">
        <f>N33*VLOOKUP('Données projet'!$B$9,Paramètres!$A$1:$I$89,3,0)*VLOOKUP('Données projet'!$B$9,Paramètres!$A$1:$I$89,5,0)</f>
        <v>177.84000000000006</v>
      </c>
      <c r="P33" s="13">
        <f t="shared" si="33"/>
        <v>44.841288830609138</v>
      </c>
      <c r="Q33" s="20">
        <f t="shared" si="2"/>
        <v>387.83657804664432</v>
      </c>
      <c r="R33" s="59">
        <f t="shared" si="0"/>
        <v>681.16991137997763</v>
      </c>
      <c r="S33" s="59">
        <f ca="1">AVERAGE(OFFSET($R$3,0,0,'Données projet'!$E$9+1,1))-AVERAGE(OFFSET($H$3,0,0,'Données projet'!$E$9+1,1))</f>
        <v>414.8063171894658</v>
      </c>
      <c r="T33" s="59">
        <f t="shared" si="34"/>
        <v>354.21555670988619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48.987324233965666</v>
      </c>
      <c r="AB33" s="21">
        <f>EXP(-LN(2)/2)*AB32+(1-EXP(-LN(2)/2))/(LN(2)/2)*V33*Y33*VLOOKUP('Données projet'!$B$9,Paramètres!$A$1:$I$89,3,0)*0.475*44/12</f>
        <v>0.81138597021490355</v>
      </c>
      <c r="AC33" s="22">
        <f t="shared" si="3"/>
        <v>49.798710204180566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392.48436003609055</v>
      </c>
      <c r="AO33" s="59">
        <f t="shared" si="36"/>
        <v>236.3312446580419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116.15759999999999</v>
      </c>
      <c r="BF33" s="13">
        <f t="shared" si="37"/>
        <v>30.777132266613055</v>
      </c>
      <c r="BG33" s="20">
        <f t="shared" si="7"/>
        <v>255.91132536435109</v>
      </c>
      <c r="BH33" s="59">
        <f t="shared" si="8"/>
        <v>549.24465869768437</v>
      </c>
      <c r="BI33" s="59">
        <f ca="1">AVERAGE(OFFSET($BH$3,0,0,'Données projet'!$E$11+1,1))-AVERAGE(OFFSET($H$3,0,0,'Données projet'!$E$11+1,1))</f>
        <v>225.2323446080772</v>
      </c>
      <c r="BJ33" s="59">
        <f t="shared" si="38"/>
        <v>222.29030402759292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141.21119999999996</v>
      </c>
      <c r="CA33" s="13">
        <f t="shared" si="39"/>
        <v>36.574335145278738</v>
      </c>
      <c r="CB33" s="20">
        <f t="shared" si="10"/>
        <v>309.64314037802706</v>
      </c>
      <c r="CC33" s="59">
        <f t="shared" si="11"/>
        <v>602.97647371136031</v>
      </c>
      <c r="CD33" s="59">
        <f ca="1">AVERAGE(OFFSET($CC$3,0,0,'Données projet'!$E$12+1,1))-AVERAGE(OFFSET($H$3,0,0,'Données projet'!$E$12+1,1))</f>
        <v>281.84871057356037</v>
      </c>
      <c r="CE33" s="59">
        <f t="shared" si="40"/>
        <v>276.02211904126887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31.4</v>
      </c>
      <c r="N34" s="13">
        <f>IF('Données projet'!$A$36&gt;35,N33+M34-V33,IF(A34&lt;'Données projet'!$A$36,$K$205^A34,IF(A34='Données projet'!$A$36,'Données projet'!$B$36,N33+M34-V33)))</f>
        <v>334.40000000000009</v>
      </c>
      <c r="O34" s="13">
        <f>N34*VLOOKUP('Données projet'!$B$9,Paramètres!$A$1:$I$89,3,0)*VLOOKUP('Données projet'!$B$9,Paramètres!$A$1:$I$89,5,0)</f>
        <v>156.49920000000003</v>
      </c>
      <c r="P34" s="13">
        <f t="shared" si="33"/>
        <v>40.051886402928389</v>
      </c>
      <c r="Q34" s="20">
        <f t="shared" si="2"/>
        <v>342.32647548510039</v>
      </c>
      <c r="R34" s="59">
        <f t="shared" si="0"/>
        <v>635.6598088184337</v>
      </c>
      <c r="S34" s="59">
        <f ca="1">AVERAGE(OFFSET($R$3,0,0,'Données projet'!$E$9+1,1))-AVERAGE(OFFSET($H$3,0,0,'Données projet'!$E$9+1,1))</f>
        <v>414.8063171894658</v>
      </c>
      <c r="T34" s="59">
        <f t="shared" si="34"/>
        <v>354.21555670988619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47.647763276656455</v>
      </c>
      <c r="AB34" s="21">
        <f>EXP(-LN(2)/2)*AB33+(1-EXP(-LN(2)/2))/(LN(2)/2)*V34*Y34*VLOOKUP('Données projet'!$B$9,Paramètres!$A$1:$I$89,3,0)*0.475*44/12</f>
        <v>0.57373652169858436</v>
      </c>
      <c r="AC34" s="22">
        <f t="shared" si="3"/>
        <v>48.22149979835504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392.48436003609055</v>
      </c>
      <c r="AO34" s="59">
        <f t="shared" si="36"/>
        <v>236.3312446580419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102.47327999999999</v>
      </c>
      <c r="BF34" s="13">
        <f t="shared" si="37"/>
        <v>27.550381949314474</v>
      </c>
      <c r="BG34" s="20">
        <f t="shared" si="7"/>
        <v>226.45787789505599</v>
      </c>
      <c r="BH34" s="59">
        <f t="shared" si="8"/>
        <v>519.79121122838933</v>
      </c>
      <c r="BI34" s="59">
        <f ca="1">AVERAGE(OFFSET($BH$3,0,0,'Données projet'!$E$11+1,1))-AVERAGE(OFFSET($H$3,0,0,'Données projet'!$E$11+1,1))</f>
        <v>225.2323446080772</v>
      </c>
      <c r="BJ34" s="59">
        <f t="shared" si="38"/>
        <v>222.29030402759292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124.57535999999999</v>
      </c>
      <c r="CA34" s="13">
        <f t="shared" si="39"/>
        <v>32.739791806000952</v>
      </c>
      <c r="CB34" s="20">
        <f t="shared" si="10"/>
        <v>273.99055606211823</v>
      </c>
      <c r="CC34" s="59">
        <f t="shared" si="11"/>
        <v>567.32388939545149</v>
      </c>
      <c r="CD34" s="59">
        <f ca="1">AVERAGE(OFFSET($CC$3,0,0,'Données projet'!$E$12+1,1))-AVERAGE(OFFSET($H$3,0,0,'Données projet'!$E$12+1,1))</f>
        <v>281.84871057356037</v>
      </c>
      <c r="CE34" s="59">
        <f t="shared" si="40"/>
        <v>276.02211904126887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31.4</v>
      </c>
      <c r="N35" s="13">
        <f>IF('Données projet'!$A$36&gt;35,N34+M35-V34,IF(A35&lt;'Données projet'!$A$36,$K$205^A35,IF(A35='Données projet'!$A$36,'Données projet'!$B$36,N34+M35-V34)))</f>
        <v>365.80000000000007</v>
      </c>
      <c r="O35" s="13">
        <f>N35*VLOOKUP('Données projet'!$B$9,Paramètres!$A$1:$I$89,3,0)*VLOOKUP('Données projet'!$B$9,Paramètres!$A$1:$I$89,5,0)</f>
        <v>171.19440000000003</v>
      </c>
      <c r="P35" s="13">
        <f t="shared" si="33"/>
        <v>43.35742035290977</v>
      </c>
      <c r="Q35" s="20">
        <f t="shared" ref="Q35:Q66" si="53">(O35+P35)*0.475*44/12</f>
        <v>373.6777537813179</v>
      </c>
      <c r="R35" s="59">
        <f t="shared" si="0"/>
        <v>667.01108711465122</v>
      </c>
      <c r="S35" s="59">
        <f ca="1">AVERAGE(OFFSET($R$3,0,0,'Données projet'!$E$9+1,1))-AVERAGE(OFFSET($H$3,0,0,'Données projet'!$E$9+1,1))</f>
        <v>414.8063171894658</v>
      </c>
      <c r="T35" s="59">
        <f t="shared" si="34"/>
        <v>354.21555670988619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46.344832684169312</v>
      </c>
      <c r="AB35" s="21">
        <f>EXP(-LN(2)/2)*AB34+(1-EXP(-LN(2)/2))/(LN(2)/2)*V35*Y35*VLOOKUP('Données projet'!$B$9,Paramètres!$A$1:$I$89,3,0)*0.475*44/12</f>
        <v>0.40569298510745178</v>
      </c>
      <c r="AC35" s="22">
        <f t="shared" si="3"/>
        <v>46.750525669276762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392.48436003609055</v>
      </c>
      <c r="AO35" s="59">
        <f t="shared" si="36"/>
        <v>236.3312446580419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111.06576</v>
      </c>
      <c r="BF35" s="13">
        <f t="shared" si="37"/>
        <v>29.581944857062648</v>
      </c>
      <c r="BG35" s="20">
        <f t="shared" si="7"/>
        <v>244.96141929271744</v>
      </c>
      <c r="BH35" s="59">
        <f t="shared" si="8"/>
        <v>538.29475262605069</v>
      </c>
      <c r="BI35" s="59">
        <f ca="1">AVERAGE(OFFSET($BH$3,0,0,'Données projet'!$E$11+1,1))-AVERAGE(OFFSET($H$3,0,0,'Données projet'!$E$11+1,1))</f>
        <v>225.2323446080772</v>
      </c>
      <c r="BJ35" s="59">
        <f t="shared" si="38"/>
        <v>222.29030402759292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135.02112</v>
      </c>
      <c r="CA35" s="13">
        <f t="shared" si="39"/>
        <v>35.154021371414437</v>
      </c>
      <c r="CB35" s="20">
        <f t="shared" si="10"/>
        <v>296.38837122188016</v>
      </c>
      <c r="CC35" s="59">
        <f t="shared" si="11"/>
        <v>589.72170455521348</v>
      </c>
      <c r="CD35" s="59">
        <f ca="1">AVERAGE(OFFSET($CC$3,0,0,'Données projet'!$E$12+1,1))-AVERAGE(OFFSET($H$3,0,0,'Données projet'!$E$12+1,1))</f>
        <v>281.84871057356037</v>
      </c>
      <c r="CE35" s="59">
        <f t="shared" si="40"/>
        <v>276.02211904126887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31.4</v>
      </c>
      <c r="N36" s="13">
        <f>IF('Données projet'!$A$36&gt;35,N35+M36-V35,IF(A36&lt;'Données projet'!$A$36,$K$205^A36,IF(A36='Données projet'!$A$36,'Données projet'!$B$36,N35+M36-V35)))</f>
        <v>397.20000000000005</v>
      </c>
      <c r="O36" s="13">
        <f>N36*VLOOKUP('Données projet'!$B$9,Paramètres!$A$1:$I$89,3,0)*VLOOKUP('Données projet'!$B$9,Paramètres!$A$1:$I$89,5,0)</f>
        <v>185.88960000000003</v>
      </c>
      <c r="P36" s="13">
        <f t="shared" si="33"/>
        <v>46.630048262555164</v>
      </c>
      <c r="Q36" s="20">
        <f t="shared" si="53"/>
        <v>404.97172072395028</v>
      </c>
      <c r="R36" s="59">
        <f t="shared" si="0"/>
        <v>698.30505405728354</v>
      </c>
      <c r="S36" s="59">
        <f ca="1">AVERAGE(OFFSET($R$3,0,0,'Données projet'!$E$9+1,1))-AVERAGE(OFFSET($H$3,0,0,'Données projet'!$E$9+1,1))</f>
        <v>414.8063171894658</v>
      </c>
      <c r="T36" s="59">
        <f t="shared" si="34"/>
        <v>354.21555670988619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45.077530797251875</v>
      </c>
      <c r="AB36" s="21">
        <f>EXP(-LN(2)/2)*AB35+(1-EXP(-LN(2)/2))/(LN(2)/2)*V36*Y36*VLOOKUP('Données projet'!$B$9,Paramètres!$A$1:$I$89,3,0)*0.475*44/12</f>
        <v>0.28686826084929218</v>
      </c>
      <c r="AC36" s="22">
        <f t="shared" si="3"/>
        <v>45.364399058101164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392.48436003609055</v>
      </c>
      <c r="AO36" s="59">
        <f t="shared" si="36"/>
        <v>236.3312446580419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119.65824000000002</v>
      </c>
      <c r="BF36" s="13">
        <f t="shared" si="37"/>
        <v>31.595276160231336</v>
      </c>
      <c r="BG36" s="20">
        <f t="shared" si="7"/>
        <v>263.43320731240294</v>
      </c>
      <c r="BH36" s="59">
        <f t="shared" si="8"/>
        <v>556.76654064573631</v>
      </c>
      <c r="BI36" s="59">
        <f ca="1">AVERAGE(OFFSET($BH$3,0,0,'Données projet'!$E$11+1,1))-AVERAGE(OFFSET($H$3,0,0,'Données projet'!$E$11+1,1))</f>
        <v>225.2323446080772</v>
      </c>
      <c r="BJ36" s="59">
        <f t="shared" si="38"/>
        <v>222.29030402759292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145.46688</v>
      </c>
      <c r="CA36" s="13">
        <f t="shared" si="39"/>
        <v>37.546585214032511</v>
      </c>
      <c r="CB36" s="20">
        <f t="shared" si="10"/>
        <v>318.74845191443995</v>
      </c>
      <c r="CC36" s="59">
        <f t="shared" si="11"/>
        <v>612.08178524777327</v>
      </c>
      <c r="CD36" s="59">
        <f ca="1">AVERAGE(OFFSET($CC$3,0,0,'Données projet'!$E$12+1,1))-AVERAGE(OFFSET($H$3,0,0,'Données projet'!$E$12+1,1))</f>
        <v>281.84871057356037</v>
      </c>
      <c r="CE36" s="59">
        <f t="shared" si="40"/>
        <v>276.02211904126887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31.4</v>
      </c>
      <c r="N37" s="13">
        <f>IF('Données projet'!$A$36&gt;35,N36+M37-V36,IF(A37&lt;'Données projet'!$A$36,$K$205^A37,IF(A37='Données projet'!$A$36,'Données projet'!$B$36,N36+M37-V36)))</f>
        <v>428.6</v>
      </c>
      <c r="O37" s="13">
        <f>N37*VLOOKUP('Données projet'!$B$9,Paramètres!$A$1:$I$89,3,0)*VLOOKUP('Données projet'!$B$9,Paramètres!$A$1:$I$89,5,0)</f>
        <v>200.5848</v>
      </c>
      <c r="P37" s="13">
        <f t="shared" si="33"/>
        <v>49.872667217659334</v>
      </c>
      <c r="Q37" s="20">
        <f t="shared" si="53"/>
        <v>436.21342207075668</v>
      </c>
      <c r="R37" s="59">
        <f t="shared" si="0"/>
        <v>729.54675540408994</v>
      </c>
      <c r="S37" s="59">
        <f ca="1">AVERAGE(OFFSET($R$3,0,0,'Données projet'!$E$9+1,1))-AVERAGE(OFFSET($H$3,0,0,'Données projet'!$E$9+1,1))</f>
        <v>414.8063171894658</v>
      </c>
      <c r="T37" s="59">
        <f t="shared" si="34"/>
        <v>354.21555670988619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43.844883347076703</v>
      </c>
      <c r="AB37" s="21">
        <f>EXP(-LN(2)/2)*AB36+(1-EXP(-LN(2)/2))/(LN(2)/2)*V37*Y37*VLOOKUP('Données projet'!$B$9,Paramètres!$A$1:$I$89,3,0)*0.475*44/12</f>
        <v>0.20284649255372589</v>
      </c>
      <c r="AC37" s="22">
        <f t="shared" si="3"/>
        <v>44.047729839630428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392.48436003609055</v>
      </c>
      <c r="AO37" s="59">
        <f t="shared" si="36"/>
        <v>236.3312446580419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128.25072</v>
      </c>
      <c r="BF37" s="13">
        <f t="shared" si="37"/>
        <v>33.591833937449593</v>
      </c>
      <c r="BG37" s="20">
        <f t="shared" si="7"/>
        <v>281.875781441058</v>
      </c>
      <c r="BH37" s="59">
        <f t="shared" si="8"/>
        <v>575.20911477439131</v>
      </c>
      <c r="BI37" s="59">
        <f ca="1">AVERAGE(OFFSET($BH$3,0,0,'Données projet'!$E$11+1,1))-AVERAGE(OFFSET($H$3,0,0,'Données projet'!$E$11+1,1))</f>
        <v>225.2323446080772</v>
      </c>
      <c r="BJ37" s="59">
        <f t="shared" si="38"/>
        <v>222.29030402759292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155.91264000000004</v>
      </c>
      <c r="CA37" s="13">
        <f t="shared" si="39"/>
        <v>39.919216057228688</v>
      </c>
      <c r="CB37" s="20">
        <f t="shared" si="10"/>
        <v>341.07381596633996</v>
      </c>
      <c r="CC37" s="59">
        <f t="shared" si="11"/>
        <v>634.40714929967328</v>
      </c>
      <c r="CD37" s="59">
        <f ca="1">AVERAGE(OFFSET($CC$3,0,0,'Données projet'!$E$12+1,1))-AVERAGE(OFFSET($H$3,0,0,'Données projet'!$E$12+1,1))</f>
        <v>281.84871057356037</v>
      </c>
      <c r="CE37" s="59">
        <f t="shared" si="40"/>
        <v>276.02211904126887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460</v>
      </c>
      <c r="L38" s="12">
        <f>VLOOKUP(A38,'Données projet'!$A$35:$I$55,9,0)</f>
        <v>31.4</v>
      </c>
      <c r="M38" s="12">
        <f t="array" ref="M38">INDEX(L:L,MIN(IF(ISNUMBER(L38:L234),ROW(L38:L234),"")))</f>
        <v>31.4</v>
      </c>
      <c r="N38" s="13">
        <f>IF('Données projet'!$A$36&gt;35,N37+M38-V37,IF(A38&lt;'Données projet'!$A$36,$K$205^A38,IF(A38='Données projet'!$A$36,'Données projet'!$B$36,N37+M38-V37)))</f>
        <v>460</v>
      </c>
      <c r="O38" s="13">
        <f>N38*VLOOKUP('Données projet'!$B$9,Paramètres!$A$1:$I$89,3,0)*VLOOKUP('Données projet'!$B$9,Paramètres!$A$1:$I$89,5,0)</f>
        <v>215.28</v>
      </c>
      <c r="P38" s="13">
        <f t="shared" si="33"/>
        <v>53.087725740853138</v>
      </c>
      <c r="Q38" s="20">
        <f t="shared" si="53"/>
        <v>467.40712233198587</v>
      </c>
      <c r="R38" s="59">
        <f t="shared" si="0"/>
        <v>760.74045566531913</v>
      </c>
      <c r="S38" s="59">
        <f ca="1">AVERAGE(OFFSET($R$3,0,0,'Données projet'!$E$9+1,1))-AVERAGE(OFFSET($H$3,0,0,'Données projet'!$E$9+1,1))</f>
        <v>414.8063171894658</v>
      </c>
      <c r="T38" s="59">
        <f t="shared" si="34"/>
        <v>354.21555670988619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26.2922421939206</v>
      </c>
      <c r="AA38" s="21">
        <f>EXP(-LN(2)/25)*AA37+(1-EXP(-LN(2)/25))/(LN(2)/25)*Calculateur!V38*Calculateur!X38*VLOOKUP('Données projet'!$B$9,Paramètres!$A$1:$I$89,3,0)*0.475*44/12</f>
        <v>42.645942706248682</v>
      </c>
      <c r="AB38" s="21">
        <f>EXP(-LN(2)/2)*AB37+(1-EXP(-LN(2)/2))/(LN(2)/2)*V38*Y38*VLOOKUP('Données projet'!$B$9,Paramètres!$A$1:$I$89,3,0)*0.475*44/12</f>
        <v>0.14343413042464609</v>
      </c>
      <c r="AC38" s="22">
        <f t="shared" si="3"/>
        <v>69.081619030593941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392.48436003609055</v>
      </c>
      <c r="AO38" s="59">
        <f t="shared" si="36"/>
        <v>236.3312446580419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136.84320000000002</v>
      </c>
      <c r="BF38" s="13">
        <f t="shared" si="37"/>
        <v>35.572869837729648</v>
      </c>
      <c r="BG38" s="20">
        <f t="shared" si="7"/>
        <v>300.2913216340458</v>
      </c>
      <c r="BH38" s="59">
        <f t="shared" si="8"/>
        <v>593.62465496737912</v>
      </c>
      <c r="BI38" s="59">
        <f ca="1">AVERAGE(OFFSET($BH$3,0,0,'Données projet'!$E$11+1,1))-AVERAGE(OFFSET($H$3,0,0,'Données projet'!$E$11+1,1))</f>
        <v>225.2323446080772</v>
      </c>
      <c r="BJ38" s="59">
        <f t="shared" si="38"/>
        <v>222.29030402759292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13.051961551913202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13.051961551913202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166.35840000000002</v>
      </c>
      <c r="CA38" s="13">
        <f t="shared" si="39"/>
        <v>42.27340131152765</v>
      </c>
      <c r="CB38" s="20">
        <f t="shared" si="10"/>
        <v>363.3670539509107</v>
      </c>
      <c r="CC38" s="59">
        <f t="shared" si="11"/>
        <v>656.70038728424402</v>
      </c>
      <c r="CD38" s="59">
        <f ca="1">AVERAGE(OFFSET($CC$3,0,0,'Données projet'!$E$12+1,1))-AVERAGE(OFFSET($H$3,0,0,'Données projet'!$E$12+1,1))</f>
        <v>281.84871057356037</v>
      </c>
      <c r="CE38" s="59">
        <f t="shared" si="40"/>
        <v>276.02211904126887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12.873299851054602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12.873299851054602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30</v>
      </c>
      <c r="N39" s="13">
        <f>IF('Données projet'!$A$36&gt;35,N38+M39-V38,IF(A39&lt;'Données projet'!$A$36,$K$205^A39,IF(A39='Données projet'!$A$36,'Données projet'!$B$36,N38+M39-V38)))</f>
        <v>413</v>
      </c>
      <c r="O39" s="13">
        <f>N39*VLOOKUP('Données projet'!$B$9,Paramètres!$A$1:$I$89,3,0)*VLOOKUP('Données projet'!$B$9,Paramètres!$A$1:$I$89,5,0)</f>
        <v>193.28400000000002</v>
      </c>
      <c r="P39" s="13">
        <f t="shared" si="33"/>
        <v>48.265272920234025</v>
      </c>
      <c r="Q39" s="20">
        <f t="shared" si="53"/>
        <v>420.69831700274091</v>
      </c>
      <c r="R39" s="59">
        <f t="shared" si="0"/>
        <v>714.03165033607422</v>
      </c>
      <c r="S39" s="59">
        <f ca="1">AVERAGE(OFFSET($R$3,0,0,'Données projet'!$E$9+1,1))-AVERAGE(OFFSET($H$3,0,0,'Données projet'!$E$9+1,1))</f>
        <v>414.8063171894658</v>
      </c>
      <c r="T39" s="59">
        <f t="shared" si="34"/>
        <v>354.21555670988619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25.776667361182064</v>
      </c>
      <c r="AA39" s="21">
        <f>EXP(-LN(2)/25)*AA38+(1-EXP(-LN(2)/25))/(LN(2)/25)*Calculateur!V39*Calculateur!X39*VLOOKUP('Données projet'!$B$9,Paramètres!$A$1:$I$89,3,0)*0.475*44/12</f>
        <v>41.479787160293654</v>
      </c>
      <c r="AB39" s="21">
        <f>EXP(-LN(2)/2)*AB38+(1-EXP(-LN(2)/2))/(LN(2)/2)*V39*Y39*VLOOKUP('Données projet'!$B$9,Paramètres!$A$1:$I$89,3,0)*0.475*44/12</f>
        <v>0.10142324627686294</v>
      </c>
      <c r="AC39" s="22">
        <f t="shared" si="3"/>
        <v>67.357877767752584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392.48436003609055</v>
      </c>
      <c r="AO39" s="59">
        <f t="shared" si="36"/>
        <v>236.3312446580419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122.20416000000003</v>
      </c>
      <c r="BF39" s="13">
        <f t="shared" si="37"/>
        <v>32.188537573102472</v>
      </c>
      <c r="BG39" s="20">
        <f t="shared" si="7"/>
        <v>268.90061493982017</v>
      </c>
      <c r="BH39" s="59">
        <f t="shared" si="8"/>
        <v>562.23394827315349</v>
      </c>
      <c r="BI39" s="59">
        <f ca="1">AVERAGE(OFFSET($BH$3,0,0,'Données projet'!$E$11+1,1))-AVERAGE(OFFSET($H$3,0,0,'Données projet'!$E$11+1,1))</f>
        <v>225.2323446080772</v>
      </c>
      <c r="BJ39" s="59">
        <f t="shared" si="38"/>
        <v>222.29030402759292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12.796020546790656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12.796020546790656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148.56192000000001</v>
      </c>
      <c r="CA39" s="13">
        <f t="shared" si="39"/>
        <v>38.251593775426244</v>
      </c>
      <c r="CB39" s="20">
        <f t="shared" si="10"/>
        <v>325.36686982553408</v>
      </c>
      <c r="CC39" s="59">
        <f t="shared" si="11"/>
        <v>618.70020315886745</v>
      </c>
      <c r="CD39" s="59">
        <f ca="1">AVERAGE(OFFSET($CC$3,0,0,'Données projet'!$E$12+1,1))-AVERAGE(OFFSET($H$3,0,0,'Données projet'!$E$12+1,1))</f>
        <v>281.84871057356037</v>
      </c>
      <c r="CE39" s="59">
        <f t="shared" si="40"/>
        <v>276.02211904126887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12.620862292913015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12.620862292913015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30</v>
      </c>
      <c r="N40" s="13">
        <f>IF('Données projet'!$A$36&gt;35,N39+M40-V39,IF(A40&lt;'Données projet'!$A$36,$K$205^A40,IF(A40='Données projet'!$A$36,'Données projet'!$B$36,N39+M40-V39)))</f>
        <v>443</v>
      </c>
      <c r="O40" s="13">
        <f>N40*VLOOKUP('Données projet'!$B$9,Paramètres!$A$1:$I$89,3,0)*VLOOKUP('Données projet'!$B$9,Paramètres!$A$1:$I$89,5,0)</f>
        <v>207.32399999999998</v>
      </c>
      <c r="P40" s="13">
        <f t="shared" si="33"/>
        <v>51.350376612629674</v>
      </c>
      <c r="Q40" s="20">
        <f t="shared" si="53"/>
        <v>450.52453926699656</v>
      </c>
      <c r="R40" s="59">
        <f t="shared" si="0"/>
        <v>743.85787260032987</v>
      </c>
      <c r="S40" s="59">
        <f ca="1">AVERAGE(OFFSET($R$3,0,0,'Données projet'!$E$9+1,1))-AVERAGE(OFFSET($H$3,0,0,'Données projet'!$E$9+1,1))</f>
        <v>414.8063171894658</v>
      </c>
      <c r="T40" s="59">
        <f t="shared" si="34"/>
        <v>354.21555670988619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25.271202636443935</v>
      </c>
      <c r="AA40" s="21">
        <f>EXP(-LN(2)/25)*AA39+(1-EXP(-LN(2)/25))/(LN(2)/25)*Calculateur!V40*Calculateur!X40*VLOOKUP('Données projet'!$B$9,Paramètres!$A$1:$I$89,3,0)*0.475*44/12</f>
        <v>40.345520199068218</v>
      </c>
      <c r="AB40" s="21">
        <f>EXP(-LN(2)/2)*AB39+(1-EXP(-LN(2)/2))/(LN(2)/2)*V40*Y40*VLOOKUP('Données projet'!$B$9,Paramètres!$A$1:$I$89,3,0)*0.475*44/12</f>
        <v>7.1717065212323045E-2</v>
      </c>
      <c r="AC40" s="22">
        <f t="shared" si="3"/>
        <v>65.688439900724475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392.48436003609055</v>
      </c>
      <c r="AO40" s="59">
        <f t="shared" si="36"/>
        <v>236.3312446580419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129.84192000000002</v>
      </c>
      <c r="BF40" s="13">
        <f t="shared" si="37"/>
        <v>33.959829099416851</v>
      </c>
      <c r="BG40" s="20">
        <f t="shared" si="7"/>
        <v>285.288046348151</v>
      </c>
      <c r="BH40" s="59">
        <f t="shared" si="8"/>
        <v>578.62137968148431</v>
      </c>
      <c r="BI40" s="59">
        <f ca="1">AVERAGE(OFFSET($BH$3,0,0,'Données projet'!$E$11+1,1))-AVERAGE(OFFSET($H$3,0,0,'Données projet'!$E$11+1,1))</f>
        <v>225.2323446080772</v>
      </c>
      <c r="BJ40" s="59">
        <f t="shared" si="38"/>
        <v>222.29030402759292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12.545098388669965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12.545098388669965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157.84704000000002</v>
      </c>
      <c r="CA40" s="13">
        <f t="shared" si="39"/>
        <v>40.356527053881578</v>
      </c>
      <c r="CB40" s="20">
        <f t="shared" si="10"/>
        <v>345.20454595217711</v>
      </c>
      <c r="CC40" s="59">
        <f t="shared" si="11"/>
        <v>638.53787928551037</v>
      </c>
      <c r="CD40" s="59">
        <f ca="1">AVERAGE(OFFSET($CC$3,0,0,'Données projet'!$E$12+1,1))-AVERAGE(OFFSET($H$3,0,0,'Données projet'!$E$12+1,1))</f>
        <v>281.84871057356037</v>
      </c>
      <c r="CE40" s="59">
        <f t="shared" si="40"/>
        <v>276.02211904126887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12.373374881314879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12.373374881314879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30</v>
      </c>
      <c r="N41" s="13">
        <f>IF('Données projet'!$A$36&gt;35,N40+M41-V40,IF(A41&lt;'Données projet'!$A$36,$K$205^A41,IF(A41='Données projet'!$A$36,'Données projet'!$B$36,N40+M41-V40)))</f>
        <v>473</v>
      </c>
      <c r="O41" s="13">
        <f>N41*VLOOKUP('Données projet'!$B$9,Paramètres!$A$1:$I$89,3,0)*VLOOKUP('Données projet'!$B$9,Paramètres!$A$1:$I$89,5,0)</f>
        <v>221.364</v>
      </c>
      <c r="P41" s="13">
        <f t="shared" si="33"/>
        <v>54.411237653200793</v>
      </c>
      <c r="Q41" s="20">
        <f t="shared" si="53"/>
        <v>480.30853891265809</v>
      </c>
      <c r="R41" s="59">
        <f t="shared" si="0"/>
        <v>773.64187224599141</v>
      </c>
      <c r="S41" s="59">
        <f ca="1">AVERAGE(OFFSET($R$3,0,0,'Données projet'!$E$9+1,1))-AVERAGE(OFFSET($H$3,0,0,'Données projet'!$E$9+1,1))</f>
        <v>414.8063171894658</v>
      </c>
      <c r="T41" s="59">
        <f t="shared" si="34"/>
        <v>354.21555670988619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24.77564976665488</v>
      </c>
      <c r="AA41" s="21">
        <f>EXP(-LN(2)/25)*AA40+(1-EXP(-LN(2)/25))/(LN(2)/25)*Calculateur!V41*Calculateur!X41*VLOOKUP('Données projet'!$B$9,Paramètres!$A$1:$I$89,3,0)*0.475*44/12</f>
        <v>39.242269827546004</v>
      </c>
      <c r="AB41" s="21">
        <f>EXP(-LN(2)/2)*AB40+(1-EXP(-LN(2)/2))/(LN(2)/2)*V41*Y41*VLOOKUP('Données projet'!$B$9,Paramètres!$A$1:$I$89,3,0)*0.475*44/12</f>
        <v>5.0711623138431472E-2</v>
      </c>
      <c r="AC41" s="22">
        <f t="shared" si="3"/>
        <v>64.068631217339316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392.48436003609055</v>
      </c>
      <c r="AO41" s="59">
        <f t="shared" si="36"/>
        <v>236.3312446580419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137.47968000000003</v>
      </c>
      <c r="BF41" s="13">
        <f t="shared" si="37"/>
        <v>35.719026553355249</v>
      </c>
      <c r="BG41" s="20">
        <f t="shared" si="7"/>
        <v>301.65441391376049</v>
      </c>
      <c r="BH41" s="59">
        <f t="shared" si="8"/>
        <v>594.98774724709381</v>
      </c>
      <c r="BI41" s="59">
        <f ca="1">AVERAGE(OFFSET($BH$3,0,0,'Données projet'!$E$11+1,1))-AVERAGE(OFFSET($H$3,0,0,'Données projet'!$E$11+1,1))</f>
        <v>225.2323446080772</v>
      </c>
      <c r="BJ41" s="59">
        <f t="shared" si="38"/>
        <v>222.29030402759292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12.299096661022617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12.299096661022617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167.13216000000003</v>
      </c>
      <c r="CA41" s="13">
        <f t="shared" si="39"/>
        <v>42.447088211746923</v>
      </c>
      <c r="CB41" s="20">
        <f t="shared" si="10"/>
        <v>365.01719063545926</v>
      </c>
      <c r="CC41" s="59">
        <f t="shared" si="11"/>
        <v>658.35052396879257</v>
      </c>
      <c r="CD41" s="59">
        <f ca="1">AVERAGE(OFFSET($CC$3,0,0,'Données projet'!$E$12+1,1))-AVERAGE(OFFSET($H$3,0,0,'Données projet'!$E$12+1,1))</f>
        <v>281.84871057356037</v>
      </c>
      <c r="CE41" s="59">
        <f t="shared" si="40"/>
        <v>276.02211904126887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12.130740546905766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12.130740546905766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30</v>
      </c>
      <c r="N42" s="13">
        <f>IF('Données projet'!$A$36&gt;35,N41+M42-V41,IF(A42&lt;'Données projet'!$A$36,$K$205^A42,IF(A42='Données projet'!$A$36,'Données projet'!$B$36,N41+M42-V41)))</f>
        <v>503</v>
      </c>
      <c r="O42" s="13">
        <f>N42*VLOOKUP('Données projet'!$B$9,Paramètres!$A$1:$I$89,3,0)*VLOOKUP('Données projet'!$B$9,Paramètres!$A$1:$I$89,5,0)</f>
        <v>235.404</v>
      </c>
      <c r="P42" s="13">
        <f t="shared" si="33"/>
        <v>57.449568653781753</v>
      </c>
      <c r="Q42" s="20">
        <f t="shared" si="53"/>
        <v>510.05329873866987</v>
      </c>
      <c r="R42" s="59">
        <f t="shared" si="0"/>
        <v>803.38663207200318</v>
      </c>
      <c r="S42" s="59">
        <f ca="1">AVERAGE(OFFSET($R$3,0,0,'Données projet'!$E$9+1,1))-AVERAGE(OFFSET($H$3,0,0,'Données projet'!$E$9+1,1))</f>
        <v>414.8063171894658</v>
      </c>
      <c r="T42" s="59">
        <f t="shared" si="34"/>
        <v>354.21555670988619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24.289814386384982</v>
      </c>
      <c r="AA42" s="21">
        <f>EXP(-LN(2)/25)*AA41+(1-EXP(-LN(2)/25))/(LN(2)/25)*Calculateur!V42*Calculateur!X42*VLOOKUP('Données projet'!$B$9,Paramètres!$A$1:$I$89,3,0)*0.475*44/12</f>
        <v>38.169187895450477</v>
      </c>
      <c r="AB42" s="21">
        <f>EXP(-LN(2)/2)*AB41+(1-EXP(-LN(2)/2))/(LN(2)/2)*V42*Y42*VLOOKUP('Données projet'!$B$9,Paramètres!$A$1:$I$89,3,0)*0.475*44/12</f>
        <v>3.5858532606161522E-2</v>
      </c>
      <c r="AC42" s="22">
        <f t="shared" si="3"/>
        <v>62.494860814441623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392.48436003609055</v>
      </c>
      <c r="AO42" s="59">
        <f t="shared" si="36"/>
        <v>236.3312446580419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145.11744000000002</v>
      </c>
      <c r="BF42" s="13">
        <f t="shared" si="37"/>
        <v>37.466878406916173</v>
      </c>
      <c r="BG42" s="20">
        <f t="shared" si="7"/>
        <v>318.00102122537902</v>
      </c>
      <c r="BH42" s="59">
        <f t="shared" si="8"/>
        <v>611.33435455871233</v>
      </c>
      <c r="BI42" s="59">
        <f ca="1">AVERAGE(OFFSET($BH$3,0,0,'Données projet'!$E$11+1,1))-AVERAGE(OFFSET($H$3,0,0,'Données projet'!$E$11+1,1))</f>
        <v>225.2323446080772</v>
      </c>
      <c r="BJ42" s="59">
        <f t="shared" si="38"/>
        <v>222.29030402759292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12.057918877208195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12.057918877208195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176.41728000000001</v>
      </c>
      <c r="CA42" s="13">
        <f t="shared" si="39"/>
        <v>44.524166703747255</v>
      </c>
      <c r="CB42" s="20">
        <f t="shared" si="10"/>
        <v>384.80635300902645</v>
      </c>
      <c r="CC42" s="59">
        <f t="shared" si="11"/>
        <v>678.13968634235971</v>
      </c>
      <c r="CD42" s="59">
        <f ca="1">AVERAGE(OFFSET($CC$3,0,0,'Données projet'!$E$12+1,1))-AVERAGE(OFFSET($H$3,0,0,'Données projet'!$E$12+1,1))</f>
        <v>281.84871057356037</v>
      </c>
      <c r="CE42" s="59">
        <f t="shared" si="40"/>
        <v>276.02211904126887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11.892864123802084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11.892864123802084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533</v>
      </c>
      <c r="L43" s="12">
        <f>VLOOKUP(A43,'Données projet'!$A$35:$I$55,9,0)</f>
        <v>30</v>
      </c>
      <c r="M43" s="12">
        <f t="array" ref="M43">INDEX(L:L,MIN(IF(ISNUMBER(L43:L239),ROW(L43:L239),"")))</f>
        <v>30</v>
      </c>
      <c r="N43" s="13">
        <f>IF('Données projet'!$A$36&gt;35,N42+M43-V42,IF(A43&lt;'Données projet'!$A$36,$K$205^A43,IF(A43='Données projet'!$A$36,'Données projet'!$B$36,N42+M43-V42)))</f>
        <v>533</v>
      </c>
      <c r="O43" s="13">
        <f>N43*VLOOKUP('Données projet'!$B$9,Paramètres!$A$1:$I$89,3,0)*VLOOKUP('Données projet'!$B$9,Paramètres!$A$1:$I$89,5,0)</f>
        <v>249.44400000000002</v>
      </c>
      <c r="P43" s="13">
        <f t="shared" si="33"/>
        <v>60.466866397117656</v>
      </c>
      <c r="Q43" s="20">
        <f t="shared" si="53"/>
        <v>539.76142564164661</v>
      </c>
      <c r="R43" s="59">
        <f t="shared" si="0"/>
        <v>833.09475897497987</v>
      </c>
      <c r="S43" s="59">
        <f ca="1">AVERAGE(OFFSET($R$3,0,0,'Données projet'!$E$9+1,1))-AVERAGE(OFFSET($H$3,0,0,'Données projet'!$E$9+1,1))</f>
        <v>414.8063171894658</v>
      </c>
      <c r="T43" s="59">
        <f t="shared" si="34"/>
        <v>354.21555670988619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50.105748135512457</v>
      </c>
      <c r="AA43" s="21">
        <f>EXP(-LN(2)/25)*AA42+(1-EXP(-LN(2)/25))/(LN(2)/25)*Calculateur!V43*Calculateur!X43*VLOOKUP('Données projet'!$B$9,Paramètres!$A$1:$I$89,3,0)*0.475*44/12</f>
        <v>37.125449445219033</v>
      </c>
      <c r="AB43" s="21">
        <f>EXP(-LN(2)/2)*AB42+(1-EXP(-LN(2)/2))/(LN(2)/2)*V43*Y43*VLOOKUP('Données projet'!$B$9,Paramètres!$A$1:$I$89,3,0)*0.475*44/12</f>
        <v>2.5355811569215736E-2</v>
      </c>
      <c r="AC43" s="22">
        <f t="shared" si="3"/>
        <v>87.256553392300702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392.48436003609055</v>
      </c>
      <c r="AO43" s="59">
        <f t="shared" si="36"/>
        <v>236.3312446580419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152.7552</v>
      </c>
      <c r="BF43" s="13">
        <f t="shared" si="37"/>
        <v>39.204049895729561</v>
      </c>
      <c r="BG43" s="20">
        <f t="shared" si="7"/>
        <v>334.32902690172892</v>
      </c>
      <c r="BH43" s="59">
        <f t="shared" si="8"/>
        <v>627.66236023506224</v>
      </c>
      <c r="BI43" s="59">
        <f ca="1">AVERAGE(OFFSET($BH$3,0,0,'Données projet'!$E$11+1,1))-AVERAGE(OFFSET($H$3,0,0,'Données projet'!$E$11+1,1))</f>
        <v>225.2323446080772</v>
      </c>
      <c r="BJ43" s="59">
        <f t="shared" si="38"/>
        <v>222.29030402759292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24.873431994543651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24.873431994543651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185.70239999999998</v>
      </c>
      <c r="CA43" s="13">
        <f t="shared" si="39"/>
        <v>46.588553069776829</v>
      </c>
      <c r="CB43" s="20">
        <f t="shared" si="10"/>
        <v>404.57340992986127</v>
      </c>
      <c r="CC43" s="59">
        <f t="shared" si="11"/>
        <v>697.90674326319458</v>
      </c>
      <c r="CD43" s="59">
        <f ca="1">AVERAGE(OFFSET($CC$3,0,0,'Données projet'!$E$12+1,1))-AVERAGE(OFFSET($H$3,0,0,'Données projet'!$E$12+1,1))</f>
        <v>281.84871057356037</v>
      </c>
      <c r="CE43" s="59">
        <f t="shared" si="40"/>
        <v>276.02211904126887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24.532952163319777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24.532952163319777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</v>
      </c>
      <c r="N44" s="13">
        <f>IF('Données projet'!$A$36&gt;35,N43+M44-V43,IF(A44&lt;'Données projet'!$A$36,$K$205^A44,IF(A44='Données projet'!$A$36,'Données projet'!$B$36,N43+M44-V43)))</f>
        <v>484</v>
      </c>
      <c r="O44" s="13">
        <f>N44*VLOOKUP('Données projet'!$B$9,Paramètres!$A$1:$I$89,3,0)*VLOOKUP('Données projet'!$B$9,Paramètres!$A$1:$I$89,5,0)</f>
        <v>226.51199999999997</v>
      </c>
      <c r="P44" s="13">
        <f t="shared" si="33"/>
        <v>55.527824937247544</v>
      </c>
      <c r="Q44" s="20">
        <f t="shared" si="53"/>
        <v>491.21936176570608</v>
      </c>
      <c r="R44" s="59">
        <f t="shared" si="0"/>
        <v>784.5526950990394</v>
      </c>
      <c r="S44" s="59">
        <f ca="1">AVERAGE(OFFSET($R$3,0,0,'Données projet'!$E$9+1,1))-AVERAGE(OFFSET($H$3,0,0,'Données projet'!$E$9+1,1))</f>
        <v>414.8063171894658</v>
      </c>
      <c r="T44" s="59">
        <f t="shared" si="34"/>
        <v>354.21555670988619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49.123204976063725</v>
      </c>
      <c r="AA44" s="21">
        <f>EXP(-LN(2)/25)*AA43+(1-EXP(-LN(2)/25))/(LN(2)/25)*Calculateur!V44*Calculateur!X44*VLOOKUP('Données projet'!$B$9,Paramètres!$A$1:$I$89,3,0)*0.475*44/12</f>
        <v>36.110252077796986</v>
      </c>
      <c r="AB44" s="21">
        <f>EXP(-LN(2)/2)*AB43+(1-EXP(-LN(2)/2))/(LN(2)/2)*V44*Y44*VLOOKUP('Données projet'!$B$9,Paramètres!$A$1:$I$89,3,0)*0.475*44/12</f>
        <v>1.7929266303080761E-2</v>
      </c>
      <c r="AC44" s="22">
        <f t="shared" si="3"/>
        <v>85.251386320163803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392.48436003609055</v>
      </c>
      <c r="AO44" s="59">
        <f t="shared" si="36"/>
        <v>236.3312446580419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137.00232</v>
      </c>
      <c r="BF44" s="13">
        <f t="shared" si="37"/>
        <v>35.609416420931346</v>
      </c>
      <c r="BG44" s="20">
        <f t="shared" si="7"/>
        <v>300.63210759978875</v>
      </c>
      <c r="BH44" s="59">
        <f t="shared" si="8"/>
        <v>593.96544093312207</v>
      </c>
      <c r="BI44" s="59">
        <f ca="1">AVERAGE(OFFSET($BH$3,0,0,'Données projet'!$E$11+1,1))-AVERAGE(OFFSET($H$3,0,0,'Données projet'!$E$11+1,1))</f>
        <v>225.2323446080772</v>
      </c>
      <c r="BJ44" s="59">
        <f t="shared" si="38"/>
        <v>222.29030402759292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24.385679164426126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24.385679164426126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166.55184</v>
      </c>
      <c r="CA44" s="13">
        <f t="shared" si="39"/>
        <v>42.316831835556165</v>
      </c>
      <c r="CB44" s="20">
        <f t="shared" si="10"/>
        <v>363.77960344692701</v>
      </c>
      <c r="CC44" s="59">
        <f t="shared" si="11"/>
        <v>657.11293678026027</v>
      </c>
      <c r="CD44" s="59">
        <f ca="1">AVERAGE(OFFSET($CC$3,0,0,'Données projet'!$E$12+1,1))-AVERAGE(OFFSET($H$3,0,0,'Données projet'!$E$12+1,1))</f>
        <v>281.84871057356037</v>
      </c>
      <c r="CE44" s="59">
        <f t="shared" si="40"/>
        <v>276.02211904126887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24.051875935020362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24.051875935020362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28</v>
      </c>
      <c r="N45" s="13">
        <f>IF('Données projet'!$A$36&gt;35,N44+M45-V44,IF(A45&lt;'Données projet'!$A$36,$K$205^A45,IF(A45='Données projet'!$A$36,'Données projet'!$B$36,N44+M45-V44)))</f>
        <v>512</v>
      </c>
      <c r="O45" s="13">
        <f>N45*VLOOKUP('Données projet'!$B$9,Paramètres!$A$1:$I$89,3,0)*VLOOKUP('Données projet'!$B$9,Paramètres!$A$1:$I$89,5,0)</f>
        <v>239.61599999999999</v>
      </c>
      <c r="P45" s="13">
        <f t="shared" si="33"/>
        <v>58.356903313490157</v>
      </c>
      <c r="Q45" s="20">
        <f t="shared" si="53"/>
        <v>518.96947327099531</v>
      </c>
      <c r="R45" s="59">
        <f t="shared" si="0"/>
        <v>812.30280660432868</v>
      </c>
      <c r="S45" s="59">
        <f ca="1">AVERAGE(OFFSET($R$3,0,0,'Données projet'!$E$9+1,1))-AVERAGE(OFFSET($H$3,0,0,'Données projet'!$E$9+1,1))</f>
        <v>414.8063171894658</v>
      </c>
      <c r="T45" s="59">
        <f t="shared" si="34"/>
        <v>354.21555670988619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48.15992888867963</v>
      </c>
      <c r="AA45" s="21">
        <f>EXP(-LN(2)/25)*AA44+(1-EXP(-LN(2)/25))/(LN(2)/25)*Calculateur!V45*Calculateur!X45*VLOOKUP('Données projet'!$B$9,Paramètres!$A$1:$I$89,3,0)*0.475*44/12</f>
        <v>35.122815335774</v>
      </c>
      <c r="AB45" s="21">
        <f>EXP(-LN(2)/2)*AB44+(1-EXP(-LN(2)/2))/(LN(2)/2)*V45*Y45*VLOOKUP('Données projet'!$B$9,Paramètres!$A$1:$I$89,3,0)*0.475*44/12</f>
        <v>1.2677905784607868E-2</v>
      </c>
      <c r="AC45" s="22">
        <f t="shared" si="3"/>
        <v>83.295422130238251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392.48436003609055</v>
      </c>
      <c r="AO45" s="59">
        <f t="shared" si="36"/>
        <v>236.3312446580419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143.52624</v>
      </c>
      <c r="BF45" s="13">
        <f t="shared" si="37"/>
        <v>37.103644337236275</v>
      </c>
      <c r="BG45" s="20">
        <f t="shared" si="7"/>
        <v>314.59704855401981</v>
      </c>
      <c r="BH45" s="59">
        <f t="shared" si="8"/>
        <v>607.93038188735318</v>
      </c>
      <c r="BI45" s="59">
        <f ca="1">AVERAGE(OFFSET($BH$3,0,0,'Données projet'!$E$11+1,1))-AVERAGE(OFFSET($H$3,0,0,'Données projet'!$E$11+1,1))</f>
        <v>225.2323446080772</v>
      </c>
      <c r="BJ45" s="59">
        <f t="shared" si="38"/>
        <v>222.29030402759292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23.907490869807354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23.907490869807354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174.48287999999999</v>
      </c>
      <c r="CA45" s="13">
        <f t="shared" si="39"/>
        <v>44.092513602166207</v>
      </c>
      <c r="CB45" s="20">
        <f t="shared" si="10"/>
        <v>380.68547719043937</v>
      </c>
      <c r="CC45" s="59">
        <f t="shared" si="11"/>
        <v>674.01881052377269</v>
      </c>
      <c r="CD45" s="59">
        <f ca="1">AVERAGE(OFFSET($CC$3,0,0,'Données projet'!$E$12+1,1))-AVERAGE(OFFSET($H$3,0,0,'Données projet'!$E$12+1,1))</f>
        <v>281.84871057356037</v>
      </c>
      <c r="CE45" s="59">
        <f t="shared" si="40"/>
        <v>276.02211904126887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23.580233318130372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23.580233318130372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28</v>
      </c>
      <c r="N46" s="13">
        <f>IF('Données projet'!$A$36&gt;35,N45+M46-V45,IF(A46&lt;'Données projet'!$A$36,$K$205^A46,IF(A46='Données projet'!$A$36,'Données projet'!$B$36,N45+M46-V45)))</f>
        <v>540</v>
      </c>
      <c r="O46" s="13">
        <f>N46*VLOOKUP('Données projet'!$B$9,Paramètres!$A$1:$I$89,3,0)*VLOOKUP('Données projet'!$B$9,Paramètres!$A$1:$I$89,5,0)</f>
        <v>252.72000000000003</v>
      </c>
      <c r="P46" s="13">
        <f t="shared" si="33"/>
        <v>61.168020584496823</v>
      </c>
      <c r="Q46" s="20">
        <f t="shared" si="53"/>
        <v>546.68830251799864</v>
      </c>
      <c r="R46" s="59">
        <f t="shared" si="0"/>
        <v>840.02163585133189</v>
      </c>
      <c r="S46" s="59">
        <f ca="1">AVERAGE(OFFSET($R$3,0,0,'Données projet'!$E$9+1,1))-AVERAGE(OFFSET($H$3,0,0,'Données projet'!$E$9+1,1))</f>
        <v>414.8063171894658</v>
      </c>
      <c r="T46" s="59">
        <f t="shared" si="34"/>
        <v>354.21555670988619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47.215542057828735</v>
      </c>
      <c r="AA46" s="21">
        <f>EXP(-LN(2)/25)*AA45+(1-EXP(-LN(2)/25))/(LN(2)/25)*Calculateur!V46*Calculateur!X46*VLOOKUP('Données projet'!$B$9,Paramètres!$A$1:$I$89,3,0)*0.475*44/12</f>
        <v>34.162380103388678</v>
      </c>
      <c r="AB46" s="21">
        <f>EXP(-LN(2)/2)*AB45+(1-EXP(-LN(2)/2))/(LN(2)/2)*V46*Y46*VLOOKUP('Données projet'!$B$9,Paramètres!$A$1:$I$89,3,0)*0.475*44/12</f>
        <v>8.9646331515403806E-3</v>
      </c>
      <c r="AC46" s="22">
        <f t="shared" si="3"/>
        <v>81.386886794368948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392.48436003609055</v>
      </c>
      <c r="AO46" s="59">
        <f t="shared" si="36"/>
        <v>236.3312446580419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150.05015999999998</v>
      </c>
      <c r="BF46" s="13">
        <f t="shared" si="37"/>
        <v>38.589984439024569</v>
      </c>
      <c r="BG46" s="20">
        <f t="shared" si="7"/>
        <v>328.54825156463437</v>
      </c>
      <c r="BH46" s="59">
        <f t="shared" si="8"/>
        <v>621.88158489796774</v>
      </c>
      <c r="BI46" s="59">
        <f ca="1">AVERAGE(OFFSET($BH$3,0,0,'Données projet'!$E$11+1,1))-AVERAGE(OFFSET($H$3,0,0,'Données projet'!$E$11+1,1))</f>
        <v>225.2323446080772</v>
      </c>
      <c r="BJ46" s="59">
        <f t="shared" si="38"/>
        <v>222.29030402759292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23.438679555979999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23.438679555979999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182.41391999999996</v>
      </c>
      <c r="CA46" s="13">
        <f t="shared" si="39"/>
        <v>45.85882179981607</v>
      </c>
      <c r="CB46" s="20">
        <f t="shared" si="10"/>
        <v>397.57502530134622</v>
      </c>
      <c r="CC46" s="59">
        <f t="shared" si="11"/>
        <v>690.90835863467953</v>
      </c>
      <c r="CD46" s="59">
        <f ca="1">AVERAGE(OFFSET($CC$3,0,0,'Données projet'!$E$12+1,1))-AVERAGE(OFFSET($H$3,0,0,'Données projet'!$E$12+1,1))</f>
        <v>281.84871057356037</v>
      </c>
      <c r="CE46" s="59">
        <f t="shared" si="40"/>
        <v>276.02211904126887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23.117839325284002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23.117839325284002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28</v>
      </c>
      <c r="N47" s="13">
        <f>IF('Données projet'!$A$36&gt;35,N46+M47-V46,IF(A47&lt;'Données projet'!$A$36,$K$205^A47,IF(A47='Données projet'!$A$36,'Données projet'!$B$36,N46+M47-V46)))</f>
        <v>568</v>
      </c>
      <c r="O47" s="13">
        <f>N47*VLOOKUP('Données projet'!$B$9,Paramètres!$A$1:$I$89,3,0)*VLOOKUP('Données projet'!$B$9,Paramètres!$A$1:$I$89,5,0)</f>
        <v>265.82400000000001</v>
      </c>
      <c r="P47" s="13">
        <f t="shared" si="33"/>
        <v>63.962214293903529</v>
      </c>
      <c r="Q47" s="20">
        <f t="shared" si="53"/>
        <v>574.37765656188196</v>
      </c>
      <c r="R47" s="59">
        <f t="shared" si="0"/>
        <v>867.71098989521533</v>
      </c>
      <c r="S47" s="59">
        <f ca="1">AVERAGE(OFFSET($R$3,0,0,'Données projet'!$E$9+1,1))-AVERAGE(OFFSET($H$3,0,0,'Données projet'!$E$9+1,1))</f>
        <v>414.8063171894658</v>
      </c>
      <c r="T47" s="59">
        <f t="shared" si="34"/>
        <v>354.21555670988619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46.289674076711741</v>
      </c>
      <c r="AA47" s="21">
        <f>EXP(-LN(2)/25)*AA46+(1-EXP(-LN(2)/25))/(LN(2)/25)*Calculateur!V47*Calculateur!X47*VLOOKUP('Données projet'!$B$9,Paramètres!$A$1:$I$89,3,0)*0.475*44/12</f>
        <v>33.228208022940024</v>
      </c>
      <c r="AB47" s="21">
        <f>EXP(-LN(2)/2)*AB46+(1-EXP(-LN(2)/2))/(LN(2)/2)*V47*Y47*VLOOKUP('Données projet'!$B$9,Paramètres!$A$1:$I$89,3,0)*0.475*44/12</f>
        <v>6.338952892303934E-3</v>
      </c>
      <c r="AC47" s="22">
        <f t="shared" si="3"/>
        <v>79.524221052544064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392.48436003609055</v>
      </c>
      <c r="AO47" s="59">
        <f t="shared" si="36"/>
        <v>236.3312446580419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156.57407999999998</v>
      </c>
      <c r="BF47" s="13">
        <f t="shared" si="37"/>
        <v>40.068818872547467</v>
      </c>
      <c r="BG47" s="20">
        <f t="shared" si="7"/>
        <v>342.48638220302013</v>
      </c>
      <c r="BH47" s="59">
        <f t="shared" si="8"/>
        <v>635.81971553635344</v>
      </c>
      <c r="BI47" s="59">
        <f ca="1">AVERAGE(OFFSET($BH$3,0,0,'Données projet'!$E$11+1,1))-AVERAGE(OFFSET($H$3,0,0,'Données projet'!$E$11+1,1))</f>
        <v>225.2323446080772</v>
      </c>
      <c r="BJ47" s="59">
        <f t="shared" si="38"/>
        <v>222.29030402759292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22.979061346070129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22.979061346070129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190.34495999999996</v>
      </c>
      <c r="CA47" s="13">
        <f t="shared" si="39"/>
        <v>47.616210556101123</v>
      </c>
      <c r="CB47" s="20">
        <f t="shared" si="10"/>
        <v>414.44903871854268</v>
      </c>
      <c r="CC47" s="59">
        <f t="shared" si="11"/>
        <v>707.782372051876</v>
      </c>
      <c r="CD47" s="59">
        <f ca="1">AVERAGE(OFFSET($CC$3,0,0,'Données projet'!$E$12+1,1))-AVERAGE(OFFSET($H$3,0,0,'Données projet'!$E$12+1,1))</f>
        <v>281.84871057356037</v>
      </c>
      <c r="CE47" s="59">
        <f t="shared" si="40"/>
        <v>276.02211904126887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22.664512596604865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22.664512596604865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596</v>
      </c>
      <c r="L48" s="12">
        <f>VLOOKUP(A48,'Données projet'!$A$35:$I$55,9,0)</f>
        <v>28</v>
      </c>
      <c r="M48" s="12">
        <f t="array" ref="M48">INDEX(L:L,MIN(IF(ISNUMBER(L48:L244),ROW(L48:L244),"")))</f>
        <v>28</v>
      </c>
      <c r="N48" s="13">
        <f>IF('Données projet'!$A$36&gt;35,N47+M48-V47,IF(A48&lt;'Données projet'!$A$36,$K$205^A48,IF(A48='Données projet'!$A$36,'Données projet'!$B$36,N47+M48-V47)))</f>
        <v>596</v>
      </c>
      <c r="O48" s="13">
        <f>N48*VLOOKUP('Données projet'!$B$9,Paramètres!$A$1:$I$89,3,0)*VLOOKUP('Données projet'!$B$9,Paramètres!$A$1:$I$89,5,0)</f>
        <v>278.928</v>
      </c>
      <c r="P48" s="13">
        <f t="shared" si="33"/>
        <v>66.740413913415367</v>
      </c>
      <c r="Q48" s="20">
        <f t="shared" si="53"/>
        <v>602.0391542325317</v>
      </c>
      <c r="R48" s="59">
        <f t="shared" si="0"/>
        <v>895.37248756586496</v>
      </c>
      <c r="S48" s="59">
        <f ca="1">AVERAGE(OFFSET($R$3,0,0,'Données projet'!$E$9+1,1))-AVERAGE(OFFSET($H$3,0,0,'Données projet'!$E$9+1,1))</f>
        <v>414.8063171894658</v>
      </c>
      <c r="T48" s="59">
        <f t="shared" si="34"/>
        <v>354.21555670988619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77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71.674203995901337</v>
      </c>
      <c r="AA48" s="21">
        <f>EXP(-LN(2)/25)*AA47+(1-EXP(-LN(2)/25))/(LN(2)/25)*Calculateur!V48*Calculateur!X48*VLOOKUP('Données projet'!$B$9,Paramètres!$A$1:$I$89,3,0)*0.475*44/12</f>
        <v>32.319580927157212</v>
      </c>
      <c r="AB48" s="21">
        <f>EXP(-LN(2)/2)*AB47+(1-EXP(-LN(2)/2))/(LN(2)/2)*V48*Y48*VLOOKUP('Données projet'!$B$9,Paramètres!$A$1:$I$89,3,0)*0.475*44/12</f>
        <v>4.4823165757701903E-3</v>
      </c>
      <c r="AC48" s="22">
        <f t="shared" si="3"/>
        <v>103.99826723963432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392.48436003609055</v>
      </c>
      <c r="AO48" s="59">
        <f t="shared" si="36"/>
        <v>236.3312446580419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163.09799999999996</v>
      </c>
      <c r="BF48" s="13">
        <f t="shared" si="37"/>
        <v>41.540496136845142</v>
      </c>
      <c r="BG48" s="20">
        <f t="shared" si="7"/>
        <v>356.4120474383385</v>
      </c>
      <c r="BH48" s="59">
        <f t="shared" si="8"/>
        <v>649.74538077167176</v>
      </c>
      <c r="BI48" s="59">
        <f ca="1">AVERAGE(OFFSET($BH$3,0,0,'Données projet'!$E$11+1,1))-AVERAGE(OFFSET($H$3,0,0,'Données projet'!$E$11+1,1))</f>
        <v>225.2323446080772</v>
      </c>
      <c r="BJ48" s="59">
        <f t="shared" si="38"/>
        <v>222.29030402759292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32.783568616848967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32.783568616848967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198.27599999999995</v>
      </c>
      <c r="CA48" s="13">
        <f t="shared" si="39"/>
        <v>49.36509401359271</v>
      </c>
      <c r="CB48" s="20">
        <f t="shared" si="10"/>
        <v>431.30823874034053</v>
      </c>
      <c r="CC48" s="59">
        <f t="shared" si="11"/>
        <v>724.64157207367384</v>
      </c>
      <c r="CD48" s="59">
        <f ca="1">AVERAGE(OFFSET($CC$3,0,0,'Données projet'!$E$12+1,1))-AVERAGE(OFFSET($H$3,0,0,'Données projet'!$E$12+1,1))</f>
        <v>281.84871057356037</v>
      </c>
      <c r="CE48" s="59">
        <f t="shared" si="40"/>
        <v>276.02211904126887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32.334810925830311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32.334810925830311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26.4</v>
      </c>
      <c r="N49" s="13">
        <f>IF('Données projet'!$A$36&gt;35,N48+M49-V48,IF(A49&lt;'Données projet'!$A$36,$K$205^A49,IF(A49='Données projet'!$A$36,'Données projet'!$B$36,N48+M49-V48)))</f>
        <v>545.4</v>
      </c>
      <c r="O49" s="13">
        <f>N49*VLOOKUP('Données projet'!$B$9,Paramètres!$A$1:$I$89,3,0)*VLOOKUP('Données projet'!$B$9,Paramètres!$A$1:$I$89,5,0)</f>
        <v>255.24719999999999</v>
      </c>
      <c r="P49" s="13">
        <f t="shared" si="33"/>
        <v>61.708187819081218</v>
      </c>
      <c r="Q49" s="20">
        <f t="shared" si="53"/>
        <v>552.03063378489981</v>
      </c>
      <c r="R49" s="59">
        <f t="shared" si="0"/>
        <v>845.36396711823318</v>
      </c>
      <c r="S49" s="59">
        <f ca="1">AVERAGE(OFFSET($R$3,0,0,'Données projet'!$E$9+1,1))-AVERAGE(OFFSET($H$3,0,0,'Données projet'!$E$9+1,1))</f>
        <v>414.8063171894658</v>
      </c>
      <c r="T49" s="59">
        <f t="shared" si="34"/>
        <v>354.21555670988619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70.268716572489453</v>
      </c>
      <c r="AA49" s="21">
        <f>EXP(-LN(2)/25)*AA48+(1-EXP(-LN(2)/25))/(LN(2)/25)*Calculateur!V49*Calculateur!X49*VLOOKUP('Données projet'!$B$9,Paramètres!$A$1:$I$89,3,0)*0.475*44/12</f>
        <v>31.435800287091205</v>
      </c>
      <c r="AB49" s="21">
        <f>EXP(-LN(2)/2)*AB48+(1-EXP(-LN(2)/2))/(LN(2)/2)*V49*Y49*VLOOKUP('Données projet'!$B$9,Paramètres!$A$1:$I$89,3,0)*0.475*44/12</f>
        <v>3.169476446151967E-3</v>
      </c>
      <c r="AC49" s="22">
        <f t="shared" si="3"/>
        <v>101.7076863360268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392.48436003609055</v>
      </c>
      <c r="AO49" s="59">
        <f t="shared" si="36"/>
        <v>236.3312446580419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151.32311999999996</v>
      </c>
      <c r="BF49" s="13">
        <f t="shared" si="37"/>
        <v>38.879115530839606</v>
      </c>
      <c r="BG49" s="20">
        <f t="shared" si="7"/>
        <v>331.26889354954557</v>
      </c>
      <c r="BH49" s="59">
        <f t="shared" si="8"/>
        <v>624.60222688287888</v>
      </c>
      <c r="BI49" s="59">
        <f ca="1">AVERAGE(OFFSET($BH$3,0,0,'Données projet'!$E$11+1,1))-AVERAGE(OFFSET($H$3,0,0,'Données projet'!$E$11+1,1))</f>
        <v>225.2323446080772</v>
      </c>
      <c r="BJ49" s="59">
        <f t="shared" si="38"/>
        <v>222.29030402759292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32.140702832274975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32.140702832274975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183.96143999999995</v>
      </c>
      <c r="CA49" s="13">
        <f t="shared" si="39"/>
        <v>46.202413833061925</v>
      </c>
      <c r="CB49" s="20">
        <f t="shared" si="10"/>
        <v>400.86871209258271</v>
      </c>
      <c r="CC49" s="59">
        <f t="shared" si="11"/>
        <v>694.20204542591603</v>
      </c>
      <c r="CD49" s="59">
        <f ca="1">AVERAGE(OFFSET($CC$3,0,0,'Données projet'!$E$12+1,1))-AVERAGE(OFFSET($H$3,0,0,'Données projet'!$E$12+1,1))</f>
        <v>281.84871057356037</v>
      </c>
      <c r="CE49" s="59">
        <f t="shared" si="40"/>
        <v>276.02211904126887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31.700745005862029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31.700745005862029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26.4</v>
      </c>
      <c r="N50" s="13">
        <f>IF('Données projet'!$A$36&gt;35,N49+M50-V49,IF(A50&lt;'Données projet'!$A$36,$K$205^A50,IF(A50='Données projet'!$A$36,'Données projet'!$B$36,N49+M50-V49)))</f>
        <v>571.79999999999995</v>
      </c>
      <c r="O50" s="13">
        <f>N50*VLOOKUP('Données projet'!$B$9,Paramètres!$A$1:$I$89,3,0)*VLOOKUP('Données projet'!$B$9,Paramètres!$A$1:$I$89,5,0)</f>
        <v>267.60239999999999</v>
      </c>
      <c r="P50" s="13">
        <f t="shared" si="33"/>
        <v>64.340174211244943</v>
      </c>
      <c r="Q50" s="20">
        <f t="shared" si="53"/>
        <v>578.13331675125153</v>
      </c>
      <c r="R50" s="59">
        <f t="shared" si="0"/>
        <v>871.4666500845849</v>
      </c>
      <c r="S50" s="59">
        <f ca="1">AVERAGE(OFFSET($R$3,0,0,'Données projet'!$E$9+1,1))-AVERAGE(OFFSET($H$3,0,0,'Données projet'!$E$9+1,1))</f>
        <v>414.8063171894658</v>
      </c>
      <c r="T50" s="59">
        <f t="shared" si="34"/>
        <v>354.21555670988619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68.890789900187997</v>
      </c>
      <c r="AA50" s="21">
        <f>EXP(-LN(2)/25)*AA49+(1-EXP(-LN(2)/25))/(LN(2)/25)*Calculateur!V50*Calculateur!X50*VLOOKUP('Données projet'!$B$9,Paramètres!$A$1:$I$89,3,0)*0.475*44/12</f>
        <v>30.576186675103806</v>
      </c>
      <c r="AB50" s="21">
        <f>EXP(-LN(2)/2)*AB49+(1-EXP(-LN(2)/2))/(LN(2)/2)*V50*Y50*VLOOKUP('Données projet'!$B$9,Paramètres!$A$1:$I$89,3,0)*0.475*44/12</f>
        <v>2.2411582878850951E-3</v>
      </c>
      <c r="AC50" s="22">
        <f t="shared" si="3"/>
        <v>99.469217733579683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392.48436003609055</v>
      </c>
      <c r="AO50" s="59">
        <f t="shared" si="36"/>
        <v>236.3312446580419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157.05143999999996</v>
      </c>
      <c r="BF50" s="13">
        <f t="shared" si="37"/>
        <v>40.176741230099708</v>
      </c>
      <c r="BG50" s="20">
        <f t="shared" si="7"/>
        <v>343.50574897575689</v>
      </c>
      <c r="BH50" s="59">
        <f t="shared" si="8"/>
        <v>636.83908230909014</v>
      </c>
      <c r="BI50" s="59">
        <f ca="1">AVERAGE(OFFSET($BH$3,0,0,'Données projet'!$E$11+1,1))-AVERAGE(OFFSET($H$3,0,0,'Données projet'!$E$11+1,1))</f>
        <v>225.2323446080772</v>
      </c>
      <c r="BJ50" s="59">
        <f t="shared" si="38"/>
        <v>222.29030402759292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31.510443253627066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31.510443253627066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190.92527999999993</v>
      </c>
      <c r="CA50" s="13">
        <f t="shared" si="39"/>
        <v>47.74446124692539</v>
      </c>
      <c r="CB50" s="20">
        <f t="shared" si="10"/>
        <v>415.68313267172829</v>
      </c>
      <c r="CC50" s="59">
        <f t="shared" si="11"/>
        <v>709.0164660050616</v>
      </c>
      <c r="CD50" s="59">
        <f ca="1">AVERAGE(OFFSET($CC$3,0,0,'Données projet'!$E$12+1,1))-AVERAGE(OFFSET($H$3,0,0,'Données projet'!$E$12+1,1))</f>
        <v>281.84871057356037</v>
      </c>
      <c r="CE50" s="59">
        <f t="shared" si="40"/>
        <v>276.02211904126887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31.079112731842301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31.079112731842301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26.4</v>
      </c>
      <c r="N51" s="13">
        <f>IF('Données projet'!$A$36&gt;35,N50+M51-V50,IF(A51&lt;'Données projet'!$A$36,$K$205^A51,IF(A51='Données projet'!$A$36,'Données projet'!$B$36,N50+M51-V50)))</f>
        <v>598.19999999999993</v>
      </c>
      <c r="O51" s="13">
        <f>N51*VLOOKUP('Données projet'!$B$9,Paramètres!$A$1:$I$89,3,0)*VLOOKUP('Données projet'!$B$9,Paramètres!$A$1:$I$89,5,0)</f>
        <v>279.95759999999996</v>
      </c>
      <c r="P51" s="13">
        <f t="shared" si="33"/>
        <v>66.958048463279056</v>
      </c>
      <c r="Q51" s="20">
        <f t="shared" si="53"/>
        <v>604.21142107354433</v>
      </c>
      <c r="R51" s="59">
        <f t="shared" si="0"/>
        <v>897.5447544068777</v>
      </c>
      <c r="S51" s="59">
        <f ca="1">AVERAGE(OFFSET($R$3,0,0,'Données projet'!$E$9+1,1))-AVERAGE(OFFSET($H$3,0,0,'Données projet'!$E$9+1,1))</f>
        <v>414.8063171894658</v>
      </c>
      <c r="T51" s="59">
        <f t="shared" si="34"/>
        <v>354.21555670988619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67.539883529478089</v>
      </c>
      <c r="AA51" s="21">
        <f>EXP(-LN(2)/25)*AA50+(1-EXP(-LN(2)/25))/(LN(2)/25)*Calculateur!V51*Calculateur!X51*VLOOKUP('Données projet'!$B$9,Paramètres!$A$1:$I$89,3,0)*0.475*44/12</f>
        <v>29.740079242541317</v>
      </c>
      <c r="AB51" s="21">
        <f>EXP(-LN(2)/2)*AB50+(1-EXP(-LN(2)/2))/(LN(2)/2)*V51*Y51*VLOOKUP('Données projet'!$B$9,Paramètres!$A$1:$I$89,3,0)*0.475*44/12</f>
        <v>1.5847382230759835E-3</v>
      </c>
      <c r="AC51" s="22">
        <f t="shared" si="3"/>
        <v>97.281547510242476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392.48436003609055</v>
      </c>
      <c r="AO51" s="59">
        <f t="shared" si="36"/>
        <v>236.3312446580419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162.77975999999995</v>
      </c>
      <c r="BF51" s="13">
        <f t="shared" si="37"/>
        <v>41.468868129640057</v>
      </c>
      <c r="BG51" s="20">
        <f t="shared" si="7"/>
        <v>355.73302732578964</v>
      </c>
      <c r="BH51" s="59">
        <f t="shared" si="8"/>
        <v>649.06636065912289</v>
      </c>
      <c r="BI51" s="59">
        <f ca="1">AVERAGE(OFFSET($BH$3,0,0,'Données projet'!$E$11+1,1))-AVERAGE(OFFSET($H$3,0,0,'Données projet'!$E$11+1,1))</f>
        <v>225.2323446080772</v>
      </c>
      <c r="BJ51" s="59">
        <f t="shared" si="38"/>
        <v>222.29030402759292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30.89254268089606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30.89254268089606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197.88911999999993</v>
      </c>
      <c r="CA51" s="13">
        <f t="shared" si="39"/>
        <v>49.279974103179534</v>
      </c>
      <c r="CB51" s="20">
        <f t="shared" si="10"/>
        <v>430.48617222970421</v>
      </c>
      <c r="CC51" s="59">
        <f t="shared" si="11"/>
        <v>723.81950556303752</v>
      </c>
      <c r="CD51" s="59">
        <f ca="1">AVERAGE(OFFSET($CC$3,0,0,'Données projet'!$E$12+1,1))-AVERAGE(OFFSET($H$3,0,0,'Données projet'!$E$12+1,1))</f>
        <v>281.84871057356037</v>
      </c>
      <c r="CE51" s="59">
        <f t="shared" si="40"/>
        <v>276.02211904126887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30.46967028755785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30.46967028755785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26.4</v>
      </c>
      <c r="N52" s="13">
        <f>IF('Données projet'!$A$36&gt;35,N51+M52-V51,IF(A52&lt;'Données projet'!$A$36,$K$205^A52,IF(A52='Données projet'!$A$36,'Données projet'!$B$36,N51+M52-V51)))</f>
        <v>624.59999999999991</v>
      </c>
      <c r="O52" s="13">
        <f>N52*VLOOKUP('Données projet'!$B$9,Paramètres!$A$1:$I$89,3,0)*VLOOKUP('Données projet'!$B$9,Paramètres!$A$1:$I$89,5,0)</f>
        <v>292.31279999999998</v>
      </c>
      <c r="P52" s="13">
        <f t="shared" si="33"/>
        <v>69.562504549179678</v>
      </c>
      <c r="Q52" s="20">
        <f t="shared" si="53"/>
        <v>630.26615542315449</v>
      </c>
      <c r="R52" s="59">
        <f t="shared" si="0"/>
        <v>923.59948875648774</v>
      </c>
      <c r="S52" s="59">
        <f ca="1">AVERAGE(OFFSET($R$3,0,0,'Données projet'!$E$9+1,1))-AVERAGE(OFFSET($H$3,0,0,'Données projet'!$E$9+1,1))</f>
        <v>414.8063171894658</v>
      </c>
      <c r="T52" s="59">
        <f t="shared" si="34"/>
        <v>354.21555670988619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66.215467608726286</v>
      </c>
      <c r="AA52" s="21">
        <f>EXP(-LN(2)/25)*AA51+(1-EXP(-LN(2)/25))/(LN(2)/25)*Calculateur!V52*Calculateur!X52*VLOOKUP('Données projet'!$B$9,Paramètres!$A$1:$I$89,3,0)*0.475*44/12</f>
        <v>28.92683521169123</v>
      </c>
      <c r="AB52" s="21">
        <f>EXP(-LN(2)/2)*AB51+(1-EXP(-LN(2)/2))/(LN(2)/2)*V52*Y52*VLOOKUP('Données projet'!$B$9,Paramètres!$A$1:$I$89,3,0)*0.475*44/12</f>
        <v>1.1205791439425476E-3</v>
      </c>
      <c r="AC52" s="22">
        <f t="shared" si="3"/>
        <v>95.143423399561456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392.48436003609055</v>
      </c>
      <c r="AO52" s="59">
        <f t="shared" si="36"/>
        <v>236.3312446580419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168.50807999999992</v>
      </c>
      <c r="BF52" s="13">
        <f t="shared" si="37"/>
        <v>42.755711908378117</v>
      </c>
      <c r="BG52" s="20">
        <f t="shared" si="7"/>
        <v>367.95110424042508</v>
      </c>
      <c r="BH52" s="59">
        <f t="shared" si="8"/>
        <v>661.2844375737584</v>
      </c>
      <c r="BI52" s="59">
        <f ca="1">AVERAGE(OFFSET($BH$3,0,0,'Données projet'!$E$11+1,1))-AVERAGE(OFFSET($H$3,0,0,'Données projet'!$E$11+1,1))</f>
        <v>225.2323446080772</v>
      </c>
      <c r="BJ52" s="59">
        <f t="shared" si="38"/>
        <v>222.29030402759292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30.286758761514172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30.286758761514172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204.85295999999991</v>
      </c>
      <c r="CA52" s="13">
        <f t="shared" si="39"/>
        <v>50.809208706178609</v>
      </c>
      <c r="CB52" s="20">
        <f t="shared" si="10"/>
        <v>445.27827716326095</v>
      </c>
      <c r="CC52" s="59">
        <f t="shared" si="11"/>
        <v>738.61161049659427</v>
      </c>
      <c r="CD52" s="59">
        <f ca="1">AVERAGE(OFFSET($CC$3,0,0,'Données projet'!$E$12+1,1))-AVERAGE(OFFSET($H$3,0,0,'Données projet'!$E$12+1,1))</f>
        <v>281.84871057356037</v>
      </c>
      <c r="CE52" s="59">
        <f t="shared" si="40"/>
        <v>276.02211904126887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29.872178637882634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29.872178637882634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651</v>
      </c>
      <c r="L53" s="12">
        <f>VLOOKUP(A53,'Données projet'!$A$35:$I$55,9,0)</f>
        <v>26.4</v>
      </c>
      <c r="M53" s="12">
        <f t="array" ref="M53">INDEX(L:L,MIN(IF(ISNUMBER(L53:L249),ROW(L53:L249),"")))</f>
        <v>26.4</v>
      </c>
      <c r="N53" s="13">
        <f>IF('Données projet'!$A$36&gt;35,N52+M53-V52,IF(A53&lt;'Données projet'!$A$36,$K$205^A53,IF(A53='Données projet'!$A$36,'Données projet'!$B$36,N52+M53-V52)))</f>
        <v>650.99999999999989</v>
      </c>
      <c r="O53" s="13">
        <f>N53*VLOOKUP('Données projet'!$B$9,Paramètres!$A$1:$I$89,3,0)*VLOOKUP('Données projet'!$B$9,Paramètres!$A$1:$I$89,5,0)</f>
        <v>304.66799999999995</v>
      </c>
      <c r="P53" s="13">
        <f t="shared" si="33"/>
        <v>72.154174460006061</v>
      </c>
      <c r="Q53" s="20">
        <f t="shared" si="53"/>
        <v>656.29862051784369</v>
      </c>
      <c r="R53" s="59">
        <f t="shared" si="0"/>
        <v>949.63195385117706</v>
      </c>
      <c r="S53" s="59">
        <f ca="1">AVERAGE(OFFSET($R$3,0,0,'Données projet'!$E$9+1,1))-AVERAGE(OFFSET($H$3,0,0,'Données projet'!$E$9+1,1))</f>
        <v>414.8063171894658</v>
      </c>
      <c r="T53" s="59">
        <f t="shared" si="34"/>
        <v>354.21555670988619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76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90.867807179456932</v>
      </c>
      <c r="AA53" s="21">
        <f>EXP(-LN(2)/25)*AA52+(1-EXP(-LN(2)/25))/(LN(2)/25)*Calculateur!V53*Calculateur!X53*VLOOKUP('Données projet'!$B$9,Paramètres!$A$1:$I$89,3,0)*0.475*44/12</f>
        <v>28.135829381631382</v>
      </c>
      <c r="AB53" s="21">
        <f>EXP(-LN(2)/2)*AB52+(1-EXP(-LN(2)/2))/(LN(2)/2)*V53*Y53*VLOOKUP('Données projet'!$B$9,Paramètres!$A$1:$I$89,3,0)*0.475*44/12</f>
        <v>7.9236911153799175E-4</v>
      </c>
      <c r="AC53" s="22">
        <f t="shared" si="3"/>
        <v>119.00442893019985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392.48436003609055</v>
      </c>
      <c r="AO53" s="59">
        <f t="shared" si="36"/>
        <v>236.3312446580419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174.23639999999992</v>
      </c>
      <c r="BF53" s="13">
        <f t="shared" si="37"/>
        <v>44.03747274965864</v>
      </c>
      <c r="BG53" s="20">
        <f t="shared" si="7"/>
        <v>380.160328372322</v>
      </c>
      <c r="BH53" s="59">
        <f t="shared" si="8"/>
        <v>673.49366170565531</v>
      </c>
      <c r="BI53" s="59">
        <f ca="1">AVERAGE(OFFSET($BH$3,0,0,'Données projet'!$E$11+1,1))-AVERAGE(OFFSET($H$3,0,0,'Données projet'!$E$11+1,1))</f>
        <v>225.2323446080772</v>
      </c>
      <c r="BJ53" s="59">
        <f t="shared" si="38"/>
        <v>222.29030402759292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37.617259123246953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37.617259123246953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211.81679999999989</v>
      </c>
      <c r="CA53" s="13">
        <f t="shared" si="39"/>
        <v>52.332402945946782</v>
      </c>
      <c r="CB53" s="20">
        <f t="shared" si="10"/>
        <v>460.05986179752381</v>
      </c>
      <c r="CC53" s="59">
        <f t="shared" si="11"/>
        <v>753.39319513085707</v>
      </c>
      <c r="CD53" s="59">
        <f ca="1">AVERAGE(OFFSET($CC$3,0,0,'Données projet'!$E$12+1,1))-AVERAGE(OFFSET($H$3,0,0,'Données projet'!$E$12+1,1))</f>
        <v>281.84871057356037</v>
      </c>
      <c r="CE53" s="59">
        <f t="shared" si="40"/>
        <v>276.02211904126887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37.102335487449636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37.102335487449636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24.4</v>
      </c>
      <c r="N54" s="13">
        <f>IF('Données projet'!$A$36&gt;35,N53+M54-V53,IF(A54&lt;'Données projet'!$A$36,$K$205^A54,IF(A54='Données projet'!$A$36,'Données projet'!$B$36,N53+M54-V53)))</f>
        <v>599.39999999999986</v>
      </c>
      <c r="O54" s="13">
        <f>N54*VLOOKUP('Données projet'!$B$9,Paramètres!$A$1:$I$89,3,0)*VLOOKUP('Données projet'!$B$9,Paramètres!$A$1:$I$89,5,0)</f>
        <v>280.5191999999999</v>
      </c>
      <c r="P54" s="13">
        <f t="shared" si="33"/>
        <v>67.076718933381159</v>
      </c>
      <c r="Q54" s="20">
        <f t="shared" si="53"/>
        <v>605.39622547563874</v>
      </c>
      <c r="R54" s="59">
        <f t="shared" si="0"/>
        <v>898.72955880897212</v>
      </c>
      <c r="S54" s="59">
        <f ca="1">AVERAGE(OFFSET($R$3,0,0,'Données projet'!$E$9+1,1))-AVERAGE(OFFSET($H$3,0,0,'Données projet'!$E$9+1,1))</f>
        <v>414.8063171894658</v>
      </c>
      <c r="T54" s="59">
        <f t="shared" si="34"/>
        <v>354.21555670988619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89.085944904557508</v>
      </c>
      <c r="AA54" s="21">
        <f>EXP(-LN(2)/25)*AA53+(1-EXP(-LN(2)/25))/(LN(2)/25)*Calculateur!V54*Calculateur!X54*VLOOKUP('Données projet'!$B$9,Paramètres!$A$1:$I$89,3,0)*0.475*44/12</f>
        <v>27.366453647591708</v>
      </c>
      <c r="AB54" s="21">
        <f>EXP(-LN(2)/2)*AB53+(1-EXP(-LN(2)/2))/(LN(2)/2)*V54*Y54*VLOOKUP('Données projet'!$B$9,Paramètres!$A$1:$I$89,3,0)*0.475*44/12</f>
        <v>5.6028957197127379E-4</v>
      </c>
      <c r="AC54" s="22">
        <f t="shared" si="3"/>
        <v>116.45295884172118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392.48436003609055</v>
      </c>
      <c r="AO54" s="59">
        <f t="shared" si="36"/>
        <v>236.3312446580419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165.48479999999992</v>
      </c>
      <c r="BF54" s="13">
        <f t="shared" si="37"/>
        <v>42.077190125964002</v>
      </c>
      <c r="BG54" s="20">
        <f t="shared" si="7"/>
        <v>361.5037994693871</v>
      </c>
      <c r="BH54" s="59">
        <f t="shared" si="8"/>
        <v>654.83713280272036</v>
      </c>
      <c r="BI54" s="59">
        <f ca="1">AVERAGE(OFFSET($BH$3,0,0,'Données projet'!$E$11+1,1))-AVERAGE(OFFSET($H$3,0,0,'Données projet'!$E$11+1,1))</f>
        <v>225.2323446080772</v>
      </c>
      <c r="BJ54" s="59">
        <f t="shared" si="38"/>
        <v>222.29030402759292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36.879607616102589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36.879607616102589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201.1775999999999</v>
      </c>
      <c r="CA54" s="13">
        <f t="shared" si="39"/>
        <v>50.002880070410683</v>
      </c>
      <c r="CB54" s="20">
        <f t="shared" si="10"/>
        <v>437.4726694559651</v>
      </c>
      <c r="CC54" s="59">
        <f t="shared" si="11"/>
        <v>730.80600278929842</v>
      </c>
      <c r="CD54" s="59">
        <f ca="1">AVERAGE(OFFSET($CC$3,0,0,'Données projet'!$E$12+1,1))-AVERAGE(OFFSET($H$3,0,0,'Données projet'!$E$12+1,1))</f>
        <v>281.84871057356037</v>
      </c>
      <c r="CE54" s="59">
        <f t="shared" si="40"/>
        <v>276.02211904126887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36.374781318730854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36.374781318730854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24.4</v>
      </c>
      <c r="N55" s="13">
        <f>IF('Données projet'!$A$36&gt;35,N54+M55-V54,IF(A55&lt;'Données projet'!$A$36,$K$205^A55,IF(A55='Données projet'!$A$36,'Données projet'!$B$36,N54+M55-V54)))</f>
        <v>623.79999999999984</v>
      </c>
      <c r="O55" s="13">
        <f>N55*VLOOKUP('Données projet'!$B$9,Paramètres!$A$1:$I$89,3,0)*VLOOKUP('Données projet'!$B$9,Paramètres!$A$1:$I$89,5,0)</f>
        <v>291.93839999999989</v>
      </c>
      <c r="P55" s="13">
        <f t="shared" si="33"/>
        <v>69.48377254397181</v>
      </c>
      <c r="Q55" s="20">
        <f t="shared" si="53"/>
        <v>629.47695051408391</v>
      </c>
      <c r="R55" s="59">
        <f t="shared" si="0"/>
        <v>922.81028384741717</v>
      </c>
      <c r="S55" s="59">
        <f ca="1">AVERAGE(OFFSET($R$3,0,0,'Données projet'!$E$9+1,1))-AVERAGE(OFFSET($H$3,0,0,'Données projet'!$E$9+1,1))</f>
        <v>414.8063171894658</v>
      </c>
      <c r="T55" s="59">
        <f t="shared" si="34"/>
        <v>354.21555670988619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87.339023862040193</v>
      </c>
      <c r="AA55" s="21">
        <f>EXP(-LN(2)/25)*AA54+(1-EXP(-LN(2)/25))/(LN(2)/25)*Calculateur!V55*Calculateur!X55*VLOOKUP('Données projet'!$B$9,Paramètres!$A$1:$I$89,3,0)*0.475*44/12</f>
        <v>26.618116533459062</v>
      </c>
      <c r="AB55" s="21">
        <f>EXP(-LN(2)/2)*AB54+(1-EXP(-LN(2)/2))/(LN(2)/2)*V55*Y55*VLOOKUP('Données projet'!$B$9,Paramètres!$A$1:$I$89,3,0)*0.475*44/12</f>
        <v>3.9618455576899587E-4</v>
      </c>
      <c r="AC55" s="22">
        <f t="shared" si="3"/>
        <v>113.95753658005502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392.48436003609055</v>
      </c>
      <c r="AO55" s="59">
        <f t="shared" si="36"/>
        <v>236.3312446580419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170.25839999999991</v>
      </c>
      <c r="BF55" s="13">
        <f t="shared" si="37"/>
        <v>43.147891472685018</v>
      </c>
      <c r="BG55" s="20">
        <f t="shared" si="7"/>
        <v>371.68262431492622</v>
      </c>
      <c r="BH55" s="59">
        <f t="shared" si="8"/>
        <v>665.01595764825947</v>
      </c>
      <c r="BI55" s="59">
        <f ca="1">AVERAGE(OFFSET($BH$3,0,0,'Données projet'!$E$11+1,1))-AVERAGE(OFFSET($H$3,0,0,'Données projet'!$E$11+1,1))</f>
        <v>225.2323446080772</v>
      </c>
      <c r="BJ55" s="59">
        <f t="shared" si="38"/>
        <v>222.29030402759292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36.15642100509033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36.15642100509033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206.98079999999987</v>
      </c>
      <c r="CA55" s="13">
        <f t="shared" si="39"/>
        <v>51.275259496675744</v>
      </c>
      <c r="CB55" s="20">
        <f t="shared" si="10"/>
        <v>449.79597029004339</v>
      </c>
      <c r="CC55" s="59">
        <f t="shared" si="11"/>
        <v>743.1293036233767</v>
      </c>
      <c r="CD55" s="59">
        <f ca="1">AVERAGE(OFFSET($CC$3,0,0,'Données projet'!$E$12+1,1))-AVERAGE(OFFSET($H$3,0,0,'Données projet'!$E$12+1,1))</f>
        <v>281.84871057356037</v>
      </c>
      <c r="CE55" s="59">
        <f t="shared" si="40"/>
        <v>276.02211904126887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35.661494043496418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35.661494043496418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24.4</v>
      </c>
      <c r="N56" s="13">
        <f>IF('Données projet'!$A$36&gt;35,N55+M56-V55,IF(A56&lt;'Données projet'!$A$36,$K$205^A56,IF(A56='Données projet'!$A$36,'Données projet'!$B$36,N55+M56-V55)))</f>
        <v>648.19999999999982</v>
      </c>
      <c r="O56" s="13">
        <f>N56*VLOOKUP('Données projet'!$B$9,Paramètres!$A$1:$I$89,3,0)*VLOOKUP('Données projet'!$B$9,Paramètres!$A$1:$I$89,5,0)</f>
        <v>303.35759999999988</v>
      </c>
      <c r="P56" s="13">
        <f t="shared" si="33"/>
        <v>71.879888810204818</v>
      </c>
      <c r="Q56" s="20">
        <f t="shared" si="53"/>
        <v>653.53862634443976</v>
      </c>
      <c r="R56" s="59">
        <f t="shared" si="0"/>
        <v>946.87195967777302</v>
      </c>
      <c r="S56" s="59">
        <f ca="1">AVERAGE(OFFSET($R$3,0,0,'Données projet'!$E$9+1,1))-AVERAGE(OFFSET($H$3,0,0,'Données projet'!$E$9+1,1))</f>
        <v>414.8063171894658</v>
      </c>
      <c r="T56" s="59">
        <f t="shared" si="34"/>
        <v>354.21555670988619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85.626358875650013</v>
      </c>
      <c r="AA56" s="21">
        <f>EXP(-LN(2)/25)*AA55+(1-EXP(-LN(2)/25))/(LN(2)/25)*Calculateur!V56*Calculateur!X56*VLOOKUP('Données projet'!$B$9,Paramètres!$A$1:$I$89,3,0)*0.475*44/12</f>
        <v>25.890242737065712</v>
      </c>
      <c r="AB56" s="21">
        <f>EXP(-LN(2)/2)*AB55+(1-EXP(-LN(2)/2))/(LN(2)/2)*V56*Y56*VLOOKUP('Données projet'!$B$9,Paramètres!$A$1:$I$89,3,0)*0.475*44/12</f>
        <v>2.8014478598563689E-4</v>
      </c>
      <c r="AC56" s="22">
        <f t="shared" si="3"/>
        <v>111.51688175750172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392.48436003609055</v>
      </c>
      <c r="AO56" s="59">
        <f t="shared" si="36"/>
        <v>236.3312446580419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175.03199999999993</v>
      </c>
      <c r="BF56" s="13">
        <f t="shared" si="37"/>
        <v>44.215103743191008</v>
      </c>
      <c r="BG56" s="20">
        <f t="shared" si="7"/>
        <v>381.85537235272426</v>
      </c>
      <c r="BH56" s="59">
        <f t="shared" si="8"/>
        <v>675.18870568605757</v>
      </c>
      <c r="BI56" s="59">
        <f ca="1">AVERAGE(OFFSET($BH$3,0,0,'Données projet'!$E$11+1,1))-AVERAGE(OFFSET($H$3,0,0,'Données projet'!$E$11+1,1))</f>
        <v>225.2323446080772</v>
      </c>
      <c r="BJ56" s="59">
        <f t="shared" si="38"/>
        <v>222.29030402759292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35.447415642419742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35.447415642419742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212.78399999999988</v>
      </c>
      <c r="CA56" s="13">
        <f t="shared" si="39"/>
        <v>52.543492641808065</v>
      </c>
      <c r="CB56" s="20">
        <f t="shared" si="10"/>
        <v>462.11204968448214</v>
      </c>
      <c r="CC56" s="59">
        <f t="shared" si="11"/>
        <v>755.4453830178154</v>
      </c>
      <c r="CD56" s="59">
        <f ca="1">AVERAGE(OFFSET($CC$3,0,0,'Données projet'!$E$12+1,1))-AVERAGE(OFFSET($H$3,0,0,'Données projet'!$E$12+1,1))</f>
        <v>281.84871057356037</v>
      </c>
      <c r="CE56" s="59">
        <f t="shared" si="40"/>
        <v>276.02211904126887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34.962193896667053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34.962193896667053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24.4</v>
      </c>
      <c r="N57" s="13">
        <f>IF('Données projet'!$A$36&gt;35,N56+M57-V56,IF(A57&lt;'Données projet'!$A$36,$K$205^A57,IF(A57='Données projet'!$A$36,'Données projet'!$B$36,N56+M57-V56)))</f>
        <v>672.5999999999998</v>
      </c>
      <c r="O57" s="13">
        <f>N57*VLOOKUP('Données projet'!$B$9,Paramètres!$A$1:$I$89,3,0)*VLOOKUP('Données projet'!$B$9,Paramètres!$A$1:$I$89,5,0)</f>
        <v>314.77679999999987</v>
      </c>
      <c r="P57" s="13">
        <f t="shared" si="33"/>
        <v>74.265526581536733</v>
      </c>
      <c r="Q57" s="20">
        <f t="shared" si="53"/>
        <v>677.58205212950963</v>
      </c>
      <c r="R57" s="59">
        <f t="shared" si="0"/>
        <v>970.91538546284301</v>
      </c>
      <c r="S57" s="59">
        <f ca="1">AVERAGE(OFFSET($R$3,0,0,'Données projet'!$E$9+1,1))-AVERAGE(OFFSET($H$3,0,0,'Données projet'!$E$9+1,1))</f>
        <v>414.8063171894658</v>
      </c>
      <c r="T57" s="59">
        <f t="shared" si="34"/>
        <v>354.21555670988619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83.947278205020453</v>
      </c>
      <c r="AA57" s="21">
        <f>EXP(-LN(2)/25)*AA56+(1-EXP(-LN(2)/25))/(LN(2)/25)*Calculateur!V57*Calculateur!X57*VLOOKUP('Données projet'!$B$9,Paramètres!$A$1:$I$89,3,0)*0.475*44/12</f>
        <v>25.182272687911958</v>
      </c>
      <c r="AB57" s="21">
        <f>EXP(-LN(2)/2)*AB56+(1-EXP(-LN(2)/2))/(LN(2)/2)*V57*Y57*VLOOKUP('Données projet'!$B$9,Paramètres!$A$1:$I$89,3,0)*0.475*44/12</f>
        <v>1.9809227788449794E-4</v>
      </c>
      <c r="AC57" s="22">
        <f t="shared" si="3"/>
        <v>109.1297489852103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392.48436003609055</v>
      </c>
      <c r="AO57" s="59">
        <f t="shared" si="36"/>
        <v>236.3312446580419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179.80559999999991</v>
      </c>
      <c r="BF57" s="13">
        <f t="shared" si="37"/>
        <v>45.278933028529984</v>
      </c>
      <c r="BG57" s="20">
        <f t="shared" si="7"/>
        <v>392.02222835802286</v>
      </c>
      <c r="BH57" s="59">
        <f t="shared" si="8"/>
        <v>685.35556169135612</v>
      </c>
      <c r="BI57" s="59">
        <f ca="1">AVERAGE(OFFSET($BH$3,0,0,'Données projet'!$E$11+1,1))-AVERAGE(OFFSET($H$3,0,0,'Données projet'!$E$11+1,1))</f>
        <v>225.2323446080772</v>
      </c>
      <c r="BJ57" s="59">
        <f t="shared" si="38"/>
        <v>222.29030402759292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34.752313442460554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34.752313442460554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218.58719999999988</v>
      </c>
      <c r="CA57" s="13">
        <f t="shared" si="39"/>
        <v>53.807705580242128</v>
      </c>
      <c r="CB57" s="20">
        <f t="shared" si="10"/>
        <v>474.42112721892153</v>
      </c>
      <c r="CC57" s="59">
        <f t="shared" si="11"/>
        <v>767.75446055225484</v>
      </c>
      <c r="CD57" s="59">
        <f ca="1">AVERAGE(OFFSET($CC$3,0,0,'Données projet'!$E$12+1,1))-AVERAGE(OFFSET($H$3,0,0,'Données projet'!$E$12+1,1))</f>
        <v>281.84871057356037</v>
      </c>
      <c r="CE57" s="59">
        <f t="shared" si="40"/>
        <v>276.02211904126887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34.276606599186039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34.276606599186039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697</v>
      </c>
      <c r="L58" s="12">
        <f>VLOOKUP(A58,'Données projet'!$A$35:$I$55,9,0)</f>
        <v>24.4</v>
      </c>
      <c r="M58" s="12">
        <f t="array" ref="M58">INDEX(L:L,MIN(IF(ISNUMBER(L58:L254),ROW(L58:L254),"")))</f>
        <v>24.4</v>
      </c>
      <c r="N58" s="13">
        <f>IF('Données projet'!$A$36&gt;35,N57+M58-V57,IF(A58&lt;'Données projet'!$A$36,$K$205^A58,IF(A58='Données projet'!$A$36,'Données projet'!$B$36,N57+M58-V57)))</f>
        <v>696.99999999999977</v>
      </c>
      <c r="O58" s="13">
        <f>N58*VLOOKUP('Données projet'!$B$9,Paramètres!$A$1:$I$89,3,0)*VLOOKUP('Données projet'!$B$9,Paramètres!$A$1:$I$89,5,0)</f>
        <v>326.19599999999986</v>
      </c>
      <c r="P58" s="13">
        <f t="shared" si="33"/>
        <v>76.641109529113464</v>
      </c>
      <c r="Q58" s="20">
        <f t="shared" si="53"/>
        <v>701.6079657632057</v>
      </c>
      <c r="R58" s="59">
        <f t="shared" si="0"/>
        <v>994.94129909653907</v>
      </c>
      <c r="S58" s="59">
        <f ca="1">AVERAGE(OFFSET($R$3,0,0,'Données projet'!$E$9+1,1))-AVERAGE(OFFSET($H$3,0,0,'Données projet'!$E$9+1,1))</f>
        <v>414.8063171894658</v>
      </c>
      <c r="T58" s="59">
        <f t="shared" si="34"/>
        <v>354.21555670988619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104.83733087699294</v>
      </c>
      <c r="AA58" s="21">
        <f>EXP(-LN(2)/25)*AA57+(1-EXP(-LN(2)/25))/(LN(2)/25)*Calculateur!V58*Calculateur!X58*VLOOKUP('Données projet'!$B$9,Paramètres!$A$1:$I$89,3,0)*0.475*44/12</f>
        <v>24.49366211698284</v>
      </c>
      <c r="AB58" s="21">
        <f>EXP(-LN(2)/2)*AB57+(1-EXP(-LN(2)/2))/(LN(2)/2)*V58*Y58*VLOOKUP('Données projet'!$B$9,Paramètres!$A$1:$I$89,3,0)*0.475*44/12</f>
        <v>1.4007239299281845E-4</v>
      </c>
      <c r="AC58" s="22">
        <f t="shared" si="3"/>
        <v>129.33113306636875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392.48436003609055</v>
      </c>
      <c r="AO58" s="59">
        <f t="shared" si="36"/>
        <v>236.3312446580419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184.57919999999993</v>
      </c>
      <c r="BF58" s="13">
        <f t="shared" si="37"/>
        <v>46.339479465836618</v>
      </c>
      <c r="BG58" s="20">
        <f t="shared" si="7"/>
        <v>402.18336673633195</v>
      </c>
      <c r="BH58" s="59">
        <f t="shared" si="8"/>
        <v>695.51670006966526</v>
      </c>
      <c r="BI58" s="59">
        <f ca="1">AVERAGE(OFFSET($BH$3,0,0,'Données projet'!$E$11+1,1))-AVERAGE(OFFSET($H$3,0,0,'Données projet'!$E$11+1,1))</f>
        <v>225.2323446080772</v>
      </c>
      <c r="BJ58" s="59">
        <f t="shared" si="38"/>
        <v>222.29030402759292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40.130681064631787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40.130681064631787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224.39039999999989</v>
      </c>
      <c r="CA58" s="13">
        <f t="shared" si="39"/>
        <v>55.068017311015808</v>
      </c>
      <c r="CB58" s="20">
        <f t="shared" si="10"/>
        <v>486.72341015001894</v>
      </c>
      <c r="CC58" s="59">
        <f t="shared" si="11"/>
        <v>780.05674348335219</v>
      </c>
      <c r="CD58" s="59">
        <f ca="1">AVERAGE(OFFSET($CC$3,0,0,'Données projet'!$E$12+1,1))-AVERAGE(OFFSET($H$3,0,0,'Données projet'!$E$12+1,1))</f>
        <v>281.84871057356037</v>
      </c>
      <c r="CE58" s="59">
        <f t="shared" si="40"/>
        <v>276.02211904126887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39.581352467002731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39.581352467002731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22.6</v>
      </c>
      <c r="N59" s="13">
        <f>IF('Données projet'!$A$36&gt;35,N58+M59-V58,IF(A59&lt;'Données projet'!$A$36,$K$205^A59,IF(A59='Données projet'!$A$36,'Données projet'!$B$36,N58+M59-V58)))</f>
        <v>653.5999999999998</v>
      </c>
      <c r="O59" s="13">
        <f>N59*VLOOKUP('Données projet'!$B$9,Paramètres!$A$1:$I$89,3,0)*VLOOKUP('Données projet'!$B$9,Paramètres!$A$1:$I$89,5,0)</f>
        <v>305.88479999999987</v>
      </c>
      <c r="P59" s="13">
        <f t="shared" si="33"/>
        <v>72.408745336772242</v>
      </c>
      <c r="Q59" s="20">
        <f t="shared" si="53"/>
        <v>658.86125812821149</v>
      </c>
      <c r="R59" s="59">
        <f t="shared" si="0"/>
        <v>952.19459146154486</v>
      </c>
      <c r="S59" s="59">
        <f ca="1">AVERAGE(OFFSET($R$3,0,0,'Données projet'!$E$9+1,1))-AVERAGE(OFFSET($H$3,0,0,'Données projet'!$E$9+1,1))</f>
        <v>414.8063171894658</v>
      </c>
      <c r="T59" s="59">
        <f t="shared" si="34"/>
        <v>354.21555670988619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102.78153476295294</v>
      </c>
      <c r="AA59" s="21">
        <f>EXP(-LN(2)/25)*AA58+(1-EXP(-LN(2)/25))/(LN(2)/25)*Calculateur!V59*Calculateur!X59*VLOOKUP('Données projet'!$B$9,Paramètres!$A$1:$I$89,3,0)*0.475*44/12</f>
        <v>23.823881638328235</v>
      </c>
      <c r="AB59" s="21">
        <f>EXP(-LN(2)/2)*AB58+(1-EXP(-LN(2)/2))/(LN(2)/2)*V59*Y59*VLOOKUP('Données projet'!$B$9,Paramètres!$A$1:$I$89,3,0)*0.475*44/12</f>
        <v>9.9046138942248969E-5</v>
      </c>
      <c r="AC59" s="22">
        <f t="shared" si="3"/>
        <v>126.60551544742012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392.48436003609055</v>
      </c>
      <c r="AO59" s="59">
        <f t="shared" si="36"/>
        <v>236.3312446580419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178.37351999999993</v>
      </c>
      <c r="BF59" s="13">
        <f t="shared" si="37"/>
        <v>44.960133388294842</v>
      </c>
      <c r="BG59" s="20">
        <f t="shared" si="7"/>
        <v>388.97277965128006</v>
      </c>
      <c r="BH59" s="59">
        <f t="shared" si="8"/>
        <v>682.30611298461338</v>
      </c>
      <c r="BI59" s="59">
        <f ca="1">AVERAGE(OFFSET($BH$3,0,0,'Données projet'!$E$11+1,1))-AVERAGE(OFFSET($H$3,0,0,'Données projet'!$E$11+1,1))</f>
        <v>225.2323446080772</v>
      </c>
      <c r="BJ59" s="59">
        <f t="shared" si="38"/>
        <v>222.29030402759292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39.343742886252876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39.343742886252876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216.84623999999991</v>
      </c>
      <c r="CA59" s="13">
        <f t="shared" si="39"/>
        <v>53.428856609352088</v>
      </c>
      <c r="CB59" s="20">
        <f t="shared" si="10"/>
        <v>470.72912659462128</v>
      </c>
      <c r="CC59" s="59">
        <f t="shared" si="11"/>
        <v>764.06245992795459</v>
      </c>
      <c r="CD59" s="59">
        <f ca="1">AVERAGE(OFFSET($CC$3,0,0,'Données projet'!$E$12+1,1))-AVERAGE(OFFSET($H$3,0,0,'Données projet'!$E$12+1,1))</f>
        <v>281.84871057356037</v>
      </c>
      <c r="CE59" s="59">
        <f t="shared" si="40"/>
        <v>276.02211904126887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38.805186287365963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38.805186287365963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22.6</v>
      </c>
      <c r="N60" s="13">
        <f>IF('Données projet'!$A$36&gt;35,N59+M60-V59,IF(A60&lt;'Données projet'!$A$36,$K$205^A60,IF(A60='Données projet'!$A$36,'Données projet'!$B$36,N59+M60-V59)))</f>
        <v>676.19999999999982</v>
      </c>
      <c r="O60" s="13">
        <f>N60*VLOOKUP('Données projet'!$B$9,Paramètres!$A$1:$I$89,3,0)*VLOOKUP('Données projet'!$B$9,Paramètres!$A$1:$I$89,5,0)</f>
        <v>316.46159999999992</v>
      </c>
      <c r="P60" s="13">
        <f t="shared" si="33"/>
        <v>74.616644967491681</v>
      </c>
      <c r="Q60" s="20">
        <f t="shared" si="53"/>
        <v>681.1279433183812</v>
      </c>
      <c r="R60" s="59">
        <f t="shared" si="0"/>
        <v>974.46127665171457</v>
      </c>
      <c r="S60" s="59">
        <f ca="1">AVERAGE(OFFSET($R$3,0,0,'Données projet'!$E$9+1,1))-AVERAGE(OFFSET($H$3,0,0,'Données projet'!$E$9+1,1))</f>
        <v>414.8063171894658</v>
      </c>
      <c r="T60" s="59">
        <f t="shared" si="34"/>
        <v>354.21555670988619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100.76605155679746</v>
      </c>
      <c r="AA60" s="21">
        <f>EXP(-LN(2)/25)*AA59+(1-EXP(-LN(2)/25))/(LN(2)/25)*Calculateur!V60*Calculateur!X60*VLOOKUP('Données projet'!$B$9,Paramètres!$A$1:$I$89,3,0)*0.475*44/12</f>
        <v>23.172416342084663</v>
      </c>
      <c r="AB60" s="21">
        <f>EXP(-LN(2)/2)*AB59+(1-EXP(-LN(2)/2))/(LN(2)/2)*V60*Y60*VLOOKUP('Données projet'!$B$9,Paramètres!$A$1:$I$89,3,0)*0.475*44/12</f>
        <v>7.0036196496409223E-5</v>
      </c>
      <c r="AC60" s="22">
        <f t="shared" si="3"/>
        <v>123.93853793507861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392.48436003609055</v>
      </c>
      <c r="AO60" s="59">
        <f t="shared" si="36"/>
        <v>236.3312446580419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182.51063999999988</v>
      </c>
      <c r="BF60" s="13">
        <f t="shared" si="37"/>
        <v>45.880306213791371</v>
      </c>
      <c r="BG60" s="20">
        <f t="shared" si="7"/>
        <v>397.78089798901971</v>
      </c>
      <c r="BH60" s="59">
        <f t="shared" si="8"/>
        <v>691.11423132235302</v>
      </c>
      <c r="BI60" s="59">
        <f ca="1">AVERAGE(OFFSET($BH$3,0,0,'Données projet'!$E$11+1,1))-AVERAGE(OFFSET($H$3,0,0,'Données projet'!$E$11+1,1))</f>
        <v>225.2323446080772</v>
      </c>
      <c r="BJ60" s="59">
        <f t="shared" si="38"/>
        <v>222.29030402759292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38.572236085567077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38.572236085567077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221.87567999999987</v>
      </c>
      <c r="CA60" s="13">
        <f t="shared" si="39"/>
        <v>54.522353853336597</v>
      </c>
      <c r="CB60" s="20">
        <f t="shared" si="10"/>
        <v>481.39324229456093</v>
      </c>
      <c r="CC60" s="59">
        <f t="shared" si="11"/>
        <v>774.72657562789425</v>
      </c>
      <c r="CD60" s="59">
        <f ca="1">AVERAGE(OFFSET($CC$3,0,0,'Données projet'!$E$12+1,1))-AVERAGE(OFFSET($H$3,0,0,'Données projet'!$E$12+1,1))</f>
        <v>281.84871057356037</v>
      </c>
      <c r="CE60" s="59">
        <f t="shared" si="40"/>
        <v>276.02211904126887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38.04424025309725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38.04424025309725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22.6</v>
      </c>
      <c r="N61" s="13">
        <f>IF('Données projet'!$A$36&gt;35,N60+M61-V60,IF(A61&lt;'Données projet'!$A$36,$K$205^A61,IF(A61='Données projet'!$A$36,'Données projet'!$B$36,N60+M61-V60)))</f>
        <v>698.79999999999984</v>
      </c>
      <c r="O61" s="13">
        <f>N61*VLOOKUP('Données projet'!$B$9,Paramètres!$A$1:$I$89,3,0)*VLOOKUP('Données projet'!$B$9,Paramètres!$A$1:$I$89,5,0)</f>
        <v>327.03839999999991</v>
      </c>
      <c r="P61" s="13">
        <f t="shared" si="33"/>
        <v>76.815970143630011</v>
      </c>
      <c r="Q61" s="20">
        <f t="shared" si="53"/>
        <v>703.37969466682216</v>
      </c>
      <c r="R61" s="59">
        <f t="shared" si="0"/>
        <v>996.71302800015542</v>
      </c>
      <c r="S61" s="59">
        <f ca="1">AVERAGE(OFFSET($R$3,0,0,'Données projet'!$E$9+1,1))-AVERAGE(OFFSET($H$3,0,0,'Données projet'!$E$9+1,1))</f>
        <v>414.8063171894658</v>
      </c>
      <c r="T61" s="59">
        <f t="shared" si="34"/>
        <v>354.21555670988619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98.790090746991325</v>
      </c>
      <c r="AA61" s="21">
        <f>EXP(-LN(2)/25)*AA60+(1-EXP(-LN(2)/25))/(LN(2)/25)*Calculateur!V61*Calculateur!X61*VLOOKUP('Données projet'!$B$9,Paramètres!$A$1:$I$89,3,0)*0.475*44/12</f>
        <v>22.538765398625944</v>
      </c>
      <c r="AB61" s="21">
        <f>EXP(-LN(2)/2)*AB60+(1-EXP(-LN(2)/2))/(LN(2)/2)*V61*Y61*VLOOKUP('Données projet'!$B$9,Paramètres!$A$1:$I$89,3,0)*0.475*44/12</f>
        <v>4.9523069471124484E-5</v>
      </c>
      <c r="AC61" s="22">
        <f t="shared" si="3"/>
        <v>121.32890566868674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392.48436003609055</v>
      </c>
      <c r="AO61" s="59">
        <f t="shared" si="36"/>
        <v>236.3312446580419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186.64775999999989</v>
      </c>
      <c r="BF61" s="13">
        <f t="shared" si="37"/>
        <v>46.79805411155214</v>
      </c>
      <c r="BG61" s="20">
        <f t="shared" si="7"/>
        <v>406.58479291095313</v>
      </c>
      <c r="BH61" s="59">
        <f t="shared" si="8"/>
        <v>699.91812624428644</v>
      </c>
      <c r="BI61" s="59">
        <f ca="1">AVERAGE(OFFSET($BH$3,0,0,'Données projet'!$E$11+1,1))-AVERAGE(OFFSET($H$3,0,0,'Données projet'!$E$11+1,1))</f>
        <v>225.2323446080772</v>
      </c>
      <c r="BJ61" s="59">
        <f t="shared" si="38"/>
        <v>222.29030402759292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37.815858062670046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37.815858062670046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226.90511999999987</v>
      </c>
      <c r="CA61" s="13">
        <f t="shared" si="39"/>
        <v>55.612969408444364</v>
      </c>
      <c r="CB61" s="20">
        <f t="shared" si="10"/>
        <v>492.05233905304038</v>
      </c>
      <c r="CC61" s="59">
        <f t="shared" si="11"/>
        <v>785.3856723863737</v>
      </c>
      <c r="CD61" s="59">
        <f ca="1">AVERAGE(OFFSET($CC$3,0,0,'Données projet'!$E$12+1,1))-AVERAGE(OFFSET($H$3,0,0,'Données projet'!$E$12+1,1))</f>
        <v>281.84871057356037</v>
      </c>
      <c r="CE61" s="59">
        <f t="shared" si="40"/>
        <v>276.02211904126887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37.298215906429292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37.298215906429292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22.6</v>
      </c>
      <c r="N62" s="13">
        <f>IF('Données projet'!$A$36&gt;35,N61+M62-V61,IF(A62&lt;'Données projet'!$A$36,$K$205^A62,IF(A62='Données projet'!$A$36,'Données projet'!$B$36,N61+M62-V61)))</f>
        <v>721.39999999999986</v>
      </c>
      <c r="O62" s="13">
        <f>N62*VLOOKUP('Données projet'!$B$9,Paramètres!$A$1:$I$89,3,0)*VLOOKUP('Données projet'!$B$9,Paramètres!$A$1:$I$89,5,0)</f>
        <v>337.61519999999996</v>
      </c>
      <c r="P62" s="13">
        <f t="shared" si="33"/>
        <v>79.007029978996599</v>
      </c>
      <c r="Q62" s="20">
        <f t="shared" si="53"/>
        <v>725.61705054675224</v>
      </c>
      <c r="R62" s="59">
        <f t="shared" si="0"/>
        <v>1018.9503838800856</v>
      </c>
      <c r="S62" s="59">
        <f ca="1">AVERAGE(OFFSET($R$3,0,0,'Données projet'!$E$9+1,1))-AVERAGE(OFFSET($H$3,0,0,'Données projet'!$E$9+1,1))</f>
        <v>414.8063171894658</v>
      </c>
      <c r="T62" s="59">
        <f t="shared" si="34"/>
        <v>354.21555670988619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96.852877323448396</v>
      </c>
      <c r="AA62" s="21">
        <f>EXP(-LN(2)/25)*AA61+(1-EXP(-LN(2)/25))/(LN(2)/25)*Calculateur!V62*Calculateur!X62*VLOOKUP('Données projet'!$B$9,Paramètres!$A$1:$I$89,3,0)*0.475*44/12</f>
        <v>21.922441673538358</v>
      </c>
      <c r="AB62" s="21">
        <f>EXP(-LN(2)/2)*AB61+(1-EXP(-LN(2)/2))/(LN(2)/2)*V62*Y62*VLOOKUP('Données projet'!$B$9,Paramètres!$A$1:$I$89,3,0)*0.475*44/12</f>
        <v>3.5018098248204612E-5</v>
      </c>
      <c r="AC62" s="22">
        <f t="shared" si="3"/>
        <v>118.775354015085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392.48436003609055</v>
      </c>
      <c r="AO62" s="59">
        <f t="shared" si="36"/>
        <v>236.3312446580419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190.78487999999987</v>
      </c>
      <c r="BF62" s="13">
        <f t="shared" si="37"/>
        <v>47.713437020051622</v>
      </c>
      <c r="BG62" s="20">
        <f t="shared" si="7"/>
        <v>415.384568809923</v>
      </c>
      <c r="BH62" s="59">
        <f t="shared" si="8"/>
        <v>708.71790214325631</v>
      </c>
      <c r="BI62" s="59">
        <f ca="1">AVERAGE(OFFSET($BH$3,0,0,'Données projet'!$E$11+1,1))-AVERAGE(OFFSET($H$3,0,0,'Données projet'!$E$11+1,1))</f>
        <v>225.2323446080772</v>
      </c>
      <c r="BJ62" s="59">
        <f t="shared" si="38"/>
        <v>222.29030402759292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37.074312151456986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37.074312151456986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231.93455999999986</v>
      </c>
      <c r="CA62" s="13">
        <f t="shared" si="39"/>
        <v>56.700774503204229</v>
      </c>
      <c r="CB62" s="20">
        <f t="shared" si="10"/>
        <v>502.70654092641371</v>
      </c>
      <c r="CC62" s="59">
        <f t="shared" si="11"/>
        <v>796.03987425974697</v>
      </c>
      <c r="CD62" s="59">
        <f ca="1">AVERAGE(OFFSET($CC$3,0,0,'Données projet'!$E$12+1,1))-AVERAGE(OFFSET($H$3,0,0,'Données projet'!$E$12+1,1))</f>
        <v>281.84871057356037</v>
      </c>
      <c r="CE62" s="59">
        <f t="shared" si="40"/>
        <v>276.02211904126887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36.566820642169574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36.566820642169574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744</v>
      </c>
      <c r="L63" s="12">
        <f>VLOOKUP(A63,'Données projet'!$A$35:$I$55,9,0)</f>
        <v>22.6</v>
      </c>
      <c r="M63" s="12">
        <f t="array" ref="M63">INDEX(L:L,MIN(IF(ISNUMBER(L63:L259),ROW(L63:L259),"")))</f>
        <v>22.6</v>
      </c>
      <c r="N63" s="13">
        <f>IF('Données projet'!$A$36&gt;35,N62+M63-V62,IF(A63&lt;'Données projet'!$A$36,$K$205^A63,IF(A63='Données projet'!$A$36,'Données projet'!$B$36,N62+M63-V62)))</f>
        <v>743.99999999999989</v>
      </c>
      <c r="O63" s="13">
        <f>N63*VLOOKUP('Données projet'!$B$9,Paramètres!$A$1:$I$89,3,0)*VLOOKUP('Données projet'!$B$9,Paramètres!$A$1:$I$89,5,0)</f>
        <v>348.19200000000001</v>
      </c>
      <c r="P63" s="13">
        <f t="shared" si="33"/>
        <v>81.190113119538722</v>
      </c>
      <c r="Q63" s="20">
        <f t="shared" si="53"/>
        <v>747.84051368319672</v>
      </c>
      <c r="R63" s="59">
        <f t="shared" si="0"/>
        <v>1041.1738470165301</v>
      </c>
      <c r="S63" s="59">
        <f ca="1">AVERAGE(OFFSET($R$3,0,0,'Données projet'!$E$9+1,1))-AVERAGE(OFFSET($H$3,0,0,'Données projet'!$E$9+1,1))</f>
        <v>414.8063171894658</v>
      </c>
      <c r="T63" s="59">
        <f t="shared" si="34"/>
        <v>354.21555670988619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60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115.44111292336589</v>
      </c>
      <c r="AA63" s="21">
        <f>EXP(-LN(2)/25)*AA62+(1-EXP(-LN(2)/25))/(LN(2)/25)*Calculateur!V63*Calculateur!X63*VLOOKUP('Données projet'!$B$9,Paramètres!$A$1:$I$89,3,0)*0.475*44/12</f>
        <v>21.322971353124348</v>
      </c>
      <c r="AB63" s="21">
        <f>EXP(-LN(2)/2)*AB62+(1-EXP(-LN(2)/2))/(LN(2)/2)*V63*Y63*VLOOKUP('Données projet'!$B$9,Paramètres!$A$1:$I$89,3,0)*0.475*44/12</f>
        <v>2.4761534735562242E-5</v>
      </c>
      <c r="AC63" s="22">
        <f t="shared" si="3"/>
        <v>136.764109038025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392.48436003609055</v>
      </c>
      <c r="AO63" s="59">
        <f t="shared" si="36"/>
        <v>236.3312446580419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194.92199999999988</v>
      </c>
      <c r="BF63" s="13">
        <f t="shared" si="37"/>
        <v>48.626512129794925</v>
      </c>
      <c r="BG63" s="20">
        <f t="shared" si="7"/>
        <v>424.18032529272591</v>
      </c>
      <c r="BH63" s="59">
        <f t="shared" si="8"/>
        <v>717.51365862605917</v>
      </c>
      <c r="BI63" s="59">
        <f ca="1">AVERAGE(OFFSET($BH$3,0,0,'Données projet'!$E$11+1,1))-AVERAGE(OFFSET($H$3,0,0,'Données projet'!$E$11+1,1))</f>
        <v>225.2323446080772</v>
      </c>
      <c r="BJ63" s="59">
        <f t="shared" si="38"/>
        <v>222.29030402759292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41.941005311227265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41.941005311227265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236.96399999999983</v>
      </c>
      <c r="CA63" s="13">
        <f t="shared" si="39"/>
        <v>57.785837100566191</v>
      </c>
      <c r="CB63" s="20">
        <f t="shared" si="10"/>
        <v>513.35596628348583</v>
      </c>
      <c r="CC63" s="59">
        <f t="shared" si="11"/>
        <v>806.6892996168192</v>
      </c>
      <c r="CD63" s="59">
        <f ca="1">AVERAGE(OFFSET($CC$3,0,0,'Données projet'!$E$12+1,1))-AVERAGE(OFFSET($H$3,0,0,'Données projet'!$E$12+1,1))</f>
        <v>281.84871057356037</v>
      </c>
      <c r="CE63" s="59">
        <f t="shared" si="40"/>
        <v>276.02211904126887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41.366896100529758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41.366896100529758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21.2</v>
      </c>
      <c r="N64" s="13">
        <f>IF('Données projet'!$A$36&gt;35,N63+M64-V63,IF(A64&lt;'Données projet'!$A$36,$K$205^A64,IF(A64='Données projet'!$A$36,'Données projet'!$B$36,N63+M64-V63)))</f>
        <v>705.19999999999993</v>
      </c>
      <c r="O64" s="13">
        <f>N64*VLOOKUP('Données projet'!$B$9,Paramètres!$A$1:$I$89,3,0)*VLOOKUP('Données projet'!$B$9,Paramètres!$A$1:$I$89,5,0)</f>
        <v>330.03359999999998</v>
      </c>
      <c r="P64" s="13">
        <f t="shared" si="33"/>
        <v>77.437273267793145</v>
      </c>
      <c r="Q64" s="20">
        <f t="shared" si="53"/>
        <v>709.67843760807307</v>
      </c>
      <c r="R64" s="59">
        <f t="shared" si="0"/>
        <v>1003.0117709414064</v>
      </c>
      <c r="S64" s="59">
        <f ca="1">AVERAGE(OFFSET($R$3,0,0,'Données projet'!$E$9+1,1))-AVERAGE(OFFSET($H$3,0,0,'Données projet'!$E$9+1,1))</f>
        <v>414.8063171894658</v>
      </c>
      <c r="T64" s="59">
        <f t="shared" si="34"/>
        <v>354.21555670988619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113.17738311106496</v>
      </c>
      <c r="AA64" s="21">
        <f>EXP(-LN(2)/25)*AA63+(1-EXP(-LN(2)/25))/(LN(2)/25)*Calculateur!V64*Calculateur!X64*VLOOKUP('Données projet'!$B$9,Paramètres!$A$1:$I$89,3,0)*0.475*44/12</f>
        <v>20.739893580146834</v>
      </c>
      <c r="AB64" s="21">
        <f>EXP(-LN(2)/2)*AB63+(1-EXP(-LN(2)/2))/(LN(2)/2)*V64*Y64*VLOOKUP('Données projet'!$B$9,Paramètres!$A$1:$I$89,3,0)*0.475*44/12</f>
        <v>1.7509049124102306E-5</v>
      </c>
      <c r="AC64" s="22">
        <f t="shared" si="3"/>
        <v>133.9172942002609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392.48436003609055</v>
      </c>
      <c r="AO64" s="59">
        <f t="shared" si="36"/>
        <v>236.3312446580419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188.87543999999988</v>
      </c>
      <c r="BF64" s="13">
        <f t="shared" si="37"/>
        <v>47.291242769027726</v>
      </c>
      <c r="BG64" s="20">
        <f t="shared" si="7"/>
        <v>411.32363915605634</v>
      </c>
      <c r="BH64" s="59">
        <f t="shared" si="8"/>
        <v>704.65697248938966</v>
      </c>
      <c r="BI64" s="59">
        <f ca="1">AVERAGE(OFFSET($BH$3,0,0,'Données projet'!$E$11+1,1))-AVERAGE(OFFSET($H$3,0,0,'Données projet'!$E$11+1,1))</f>
        <v>225.2323446080772</v>
      </c>
      <c r="BJ64" s="59">
        <f t="shared" si="38"/>
        <v>222.29030402759292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41.118567778561378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41.118567778561378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229.61327999999986</v>
      </c>
      <c r="CA64" s="13">
        <f t="shared" si="39"/>
        <v>56.199055437906189</v>
      </c>
      <c r="CB64" s="20">
        <f t="shared" si="10"/>
        <v>497.78981755435296</v>
      </c>
      <c r="CC64" s="59">
        <f t="shared" si="11"/>
        <v>791.12315088768628</v>
      </c>
      <c r="CD64" s="59">
        <f ca="1">AVERAGE(OFFSET($CC$3,0,0,'Données projet'!$E$12+1,1))-AVERAGE(OFFSET($H$3,0,0,'Données projet'!$E$12+1,1))</f>
        <v>281.84871057356037</v>
      </c>
      <c r="CE64" s="59">
        <f t="shared" si="40"/>
        <v>276.02211904126887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40.555716499313604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40.555716499313604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21.2</v>
      </c>
      <c r="N65" s="13">
        <f>IF('Données projet'!$A$36&gt;35,N64+M65-V64,IF(A65&lt;'Données projet'!$A$36,$K$205^A65,IF(A65='Données projet'!$A$36,'Données projet'!$B$36,N64+M65-V64)))</f>
        <v>726.4</v>
      </c>
      <c r="O65" s="13">
        <f>N65*VLOOKUP('Données projet'!$B$9,Paramètres!$A$1:$I$89,3,0)*VLOOKUP('Données projet'!$B$9,Paramètres!$A$1:$I$89,5,0)</f>
        <v>339.95519999999999</v>
      </c>
      <c r="P65" s="13">
        <f t="shared" si="33"/>
        <v>79.49069038716631</v>
      </c>
      <c r="Q65" s="20">
        <f t="shared" si="53"/>
        <v>730.53492575764778</v>
      </c>
      <c r="R65" s="59">
        <f t="shared" si="0"/>
        <v>1023.8682590909812</v>
      </c>
      <c r="S65" s="59">
        <f ca="1">AVERAGE(OFFSET($R$3,0,0,'Données projet'!$E$9+1,1))-AVERAGE(OFFSET($H$3,0,0,'Données projet'!$E$9+1,1))</f>
        <v>414.8063171894658</v>
      </c>
      <c r="T65" s="59">
        <f t="shared" si="34"/>
        <v>354.21555670988619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110.95804365964439</v>
      </c>
      <c r="AA65" s="21">
        <f>EXP(-LN(2)/25)*AA64+(1-EXP(-LN(2)/25))/(LN(2)/25)*Calculateur!V65*Calculateur!X65*VLOOKUP('Données projet'!$B$9,Paramètres!$A$1:$I$89,3,0)*0.475*44/12</f>
        <v>20.172760099534116</v>
      </c>
      <c r="AB65" s="21">
        <f>EXP(-LN(2)/2)*AB64+(1-EXP(-LN(2)/2))/(LN(2)/2)*V65*Y65*VLOOKUP('Données projet'!$B$9,Paramètres!$A$1:$I$89,3,0)*0.475*44/12</f>
        <v>1.2380767367781121E-5</v>
      </c>
      <c r="AC65" s="22">
        <f t="shared" si="3"/>
        <v>131.13081613994586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392.48436003609055</v>
      </c>
      <c r="AO65" s="59">
        <f t="shared" si="36"/>
        <v>236.3312446580419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192.37607999999989</v>
      </c>
      <c r="BF65" s="13">
        <f t="shared" si="37"/>
        <v>48.064889828485896</v>
      </c>
      <c r="BG65" s="20">
        <f t="shared" si="7"/>
        <v>418.76802245127936</v>
      </c>
      <c r="BH65" s="59">
        <f t="shared" si="8"/>
        <v>712.10135578461268</v>
      </c>
      <c r="BI65" s="59">
        <f ca="1">AVERAGE(OFFSET($BH$3,0,0,'Données projet'!$E$11+1,1))-AVERAGE(OFFSET($H$3,0,0,'Données projet'!$E$11+1,1))</f>
        <v>225.2323446080772</v>
      </c>
      <c r="BJ65" s="59">
        <f t="shared" si="38"/>
        <v>222.29030402759292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40.312257744273701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40.312257744273701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233.86895999999987</v>
      </c>
      <c r="CA65" s="13">
        <f t="shared" si="39"/>
        <v>57.118427216656315</v>
      </c>
      <c r="CB65" s="20">
        <f t="shared" si="10"/>
        <v>506.8030327356762</v>
      </c>
      <c r="CC65" s="59">
        <f t="shared" si="11"/>
        <v>800.13636606900945</v>
      </c>
      <c r="CD65" s="59">
        <f ca="1">AVERAGE(OFFSET($CC$3,0,0,'Données projet'!$E$12+1,1))-AVERAGE(OFFSET($H$3,0,0,'Données projet'!$E$12+1,1))</f>
        <v>281.84871057356037</v>
      </c>
      <c r="CE65" s="59">
        <f t="shared" si="40"/>
        <v>276.02211904126887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39.760443635306601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39.760443635306601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21.2</v>
      </c>
      <c r="N66" s="13">
        <f>IF('Données projet'!$A$36&gt;35,N65+M66-V65,IF(A66&lt;'Données projet'!$A$36,$K$205^A66,IF(A66='Données projet'!$A$36,'Données projet'!$B$36,N65+M66-V65)))</f>
        <v>747.6</v>
      </c>
      <c r="O66" s="13">
        <f>N66*VLOOKUP('Données projet'!$B$9,Paramètres!$A$1:$I$89,3,0)*VLOOKUP('Données projet'!$B$9,Paramètres!$A$1:$I$89,5,0)</f>
        <v>349.87680000000006</v>
      </c>
      <c r="P66" s="13">
        <f t="shared" si="33"/>
        <v>81.537142558789228</v>
      </c>
      <c r="Q66" s="20">
        <f t="shared" si="53"/>
        <v>751.3792832898913</v>
      </c>
      <c r="R66" s="59">
        <f t="shared" si="0"/>
        <v>1044.7126166232247</v>
      </c>
      <c r="S66" s="59">
        <f ca="1">AVERAGE(OFFSET($R$3,0,0,'Données projet'!$E$9+1,1))-AVERAGE(OFFSET($H$3,0,0,'Données projet'!$E$9+1,1))</f>
        <v>414.8063171894658</v>
      </c>
      <c r="T66" s="59">
        <f t="shared" si="34"/>
        <v>354.21555670988619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108.78222410120277</v>
      </c>
      <c r="AA66" s="21">
        <f>EXP(-LN(2)/25)*AA65+(1-EXP(-LN(2)/25))/(LN(2)/25)*Calculateur!V66*Calculateur!X66*VLOOKUP('Données projet'!$B$9,Paramètres!$A$1:$I$89,3,0)*0.475*44/12</f>
        <v>19.621134913773009</v>
      </c>
      <c r="AB66" s="21">
        <f>EXP(-LN(2)/2)*AB65+(1-EXP(-LN(2)/2))/(LN(2)/2)*V66*Y66*VLOOKUP('Données projet'!$B$9,Paramètres!$A$1:$I$89,3,0)*0.475*44/12</f>
        <v>8.7545245620511529E-6</v>
      </c>
      <c r="AC66" s="22">
        <f t="shared" si="3"/>
        <v>128.40336776950036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392.48436003609055</v>
      </c>
      <c r="AO66" s="59">
        <f t="shared" si="36"/>
        <v>236.3312446580419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195.87671999999989</v>
      </c>
      <c r="BF66" s="13">
        <f t="shared" si="37"/>
        <v>48.836899853879942</v>
      </c>
      <c r="BG66" s="20">
        <f t="shared" si="7"/>
        <v>426.20955457884071</v>
      </c>
      <c r="BH66" s="59">
        <f t="shared" si="8"/>
        <v>719.54288791217402</v>
      </c>
      <c r="BI66" s="59">
        <f ca="1">AVERAGE(OFFSET($BH$3,0,0,'Données projet'!$E$11+1,1))-AVERAGE(OFFSET($H$3,0,0,'Données projet'!$E$11+1,1))</f>
        <v>225.2323446080772</v>
      </c>
      <c r="BJ66" s="59">
        <f t="shared" si="38"/>
        <v>222.29030402759292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39.52175895795785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39.52175895795785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238.12463999999983</v>
      </c>
      <c r="CA66" s="13">
        <f t="shared" si="39"/>
        <v>58.035853608422748</v>
      </c>
      <c r="CB66" s="20">
        <f t="shared" si="10"/>
        <v>515.81285970133592</v>
      </c>
      <c r="CC66" s="59">
        <f t="shared" si="11"/>
        <v>809.1461930346693</v>
      </c>
      <c r="CD66" s="59">
        <f ca="1">AVERAGE(OFFSET($CC$3,0,0,'Données projet'!$E$12+1,1))-AVERAGE(OFFSET($H$3,0,0,'Données projet'!$E$12+1,1))</f>
        <v>281.84871057356037</v>
      </c>
      <c r="CE66" s="59">
        <f t="shared" si="40"/>
        <v>276.02211904126887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38.980765587094218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38.980765587094218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21.2</v>
      </c>
      <c r="N67" s="13">
        <f>IF('Données projet'!$A$36&gt;35,N66+M67-V66,IF(A67&lt;'Données projet'!$A$36,$K$205^A67,IF(A67='Données projet'!$A$36,'Données projet'!$B$36,N66+M67-V66)))</f>
        <v>768.80000000000007</v>
      </c>
      <c r="O67" s="13">
        <f>N67*VLOOKUP('Données projet'!$B$9,Paramètres!$A$1:$I$89,3,0)*VLOOKUP('Données projet'!$B$9,Paramètres!$A$1:$I$89,5,0)</f>
        <v>359.79840000000007</v>
      </c>
      <c r="P67" s="13">
        <f t="shared" si="33"/>
        <v>83.576849976748889</v>
      </c>
      <c r="Q67" s="20">
        <f t="shared" ref="Q67:Q98" si="54">(O67+P67)*0.475*44/12</f>
        <v>772.21189370950435</v>
      </c>
      <c r="R67" s="59">
        <f t="shared" ref="R67:R130" si="55">Q67+(I67+J67)*44/12</f>
        <v>1065.5452270428377</v>
      </c>
      <c r="S67" s="59">
        <f ca="1">AVERAGE(OFFSET($R$3,0,0,'Données projet'!$E$9+1,1))-AVERAGE(OFFSET($H$3,0,0,'Données projet'!$E$9+1,1))</f>
        <v>414.8063171894658</v>
      </c>
      <c r="T67" s="59">
        <f t="shared" si="34"/>
        <v>354.21555670988619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106.6490710371833</v>
      </c>
      <c r="AA67" s="21">
        <f>EXP(-LN(2)/25)*AA66+(1-EXP(-LN(2)/25))/(LN(2)/25)*Calculateur!V67*Calculateur!X67*VLOOKUP('Données projet'!$B$9,Paramètres!$A$1:$I$89,3,0)*0.475*44/12</f>
        <v>19.084593947725246</v>
      </c>
      <c r="AB67" s="21">
        <f>EXP(-LN(2)/2)*AB66+(1-EXP(-LN(2)/2))/(LN(2)/2)*V67*Y67*VLOOKUP('Données projet'!$B$9,Paramètres!$A$1:$I$89,3,0)*0.475*44/12</f>
        <v>6.1903836838905605E-6</v>
      </c>
      <c r="AC67" s="22">
        <f t="shared" si="3"/>
        <v>125.73367117529224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392.48436003609055</v>
      </c>
      <c r="AO67" s="59">
        <f t="shared" si="36"/>
        <v>236.3312446580419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199.3773599999999</v>
      </c>
      <c r="BF67" s="13">
        <f t="shared" si="37"/>
        <v>49.607305476717762</v>
      </c>
      <c r="BG67" s="20">
        <f t="shared" si="7"/>
        <v>433.64829237194994</v>
      </c>
      <c r="BH67" s="59">
        <f t="shared" si="8"/>
        <v>726.98162570528325</v>
      </c>
      <c r="BI67" s="59">
        <f ca="1">AVERAGE(OFFSET($BH$3,0,0,'Données projet'!$E$11+1,1))-AVERAGE(OFFSET($H$3,0,0,'Données projet'!$E$11+1,1))</f>
        <v>225.2323446080772</v>
      </c>
      <c r="BJ67" s="59">
        <f t="shared" si="38"/>
        <v>222.29030402759292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38.746761370685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38.746761370685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242.38031999999984</v>
      </c>
      <c r="CA67" s="13">
        <f t="shared" si="39"/>
        <v>58.951373391207788</v>
      </c>
      <c r="CB67" s="20">
        <f t="shared" si="10"/>
        <v>524.81936598968662</v>
      </c>
      <c r="CC67" s="59">
        <f t="shared" si="11"/>
        <v>818.15269932301999</v>
      </c>
      <c r="CD67" s="59">
        <f ca="1">AVERAGE(OFFSET($CC$3,0,0,'Données projet'!$E$12+1,1))-AVERAGE(OFFSET($H$3,0,0,'Données projet'!$E$12+1,1))</f>
        <v>281.84871057356037</v>
      </c>
      <c r="CE67" s="59">
        <f t="shared" si="40"/>
        <v>276.02211904126887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38.216376549850629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38.216376549850629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790</v>
      </c>
      <c r="L68" s="12">
        <f>VLOOKUP(A68,'Données projet'!$A$35:$I$55,9,0)</f>
        <v>21.2</v>
      </c>
      <c r="M68" s="12">
        <f t="array" ref="M68">INDEX(L:L,MIN(IF(ISNUMBER(L68:L264),ROW(L68:L264),"")))</f>
        <v>21.2</v>
      </c>
      <c r="N68" s="13">
        <f>IF('Données projet'!$A$36&gt;35,N67+M68-V67,IF(A68&lt;'Données projet'!$A$36,$K$205^A68,IF(A68='Données projet'!$A$36,'Données projet'!$B$36,N67+M68-V67)))</f>
        <v>790.00000000000011</v>
      </c>
      <c r="O68" s="13">
        <f>N68*VLOOKUP('Données projet'!$B$9,Paramètres!$A$1:$I$89,3,0)*VLOOKUP('Données projet'!$B$9,Paramètres!$A$1:$I$89,5,0)</f>
        <v>369.72000000000008</v>
      </c>
      <c r="P68" s="13">
        <f t="shared" si="33"/>
        <v>85.610020000143891</v>
      </c>
      <c r="Q68" s="20">
        <f t="shared" si="54"/>
        <v>793.03311816691746</v>
      </c>
      <c r="R68" s="59">
        <f t="shared" si="55"/>
        <v>1086.3664515002508</v>
      </c>
      <c r="S68" s="59">
        <f ca="1">AVERAGE(OFFSET($R$3,0,0,'Données projet'!$E$9+1,1))-AVERAGE(OFFSET($H$3,0,0,'Données projet'!$E$9+1,1))</f>
        <v>414.8063171894658</v>
      </c>
      <c r="T68" s="59">
        <f t="shared" si="34"/>
        <v>354.21555670988619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56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123.67937849014207</v>
      </c>
      <c r="AA68" s="21">
        <f>EXP(-LN(2)/25)*AA67+(1-EXP(-LN(2)/25))/(LN(2)/25)*Calculateur!V68*Calculateur!X68*VLOOKUP('Données projet'!$B$9,Paramètres!$A$1:$I$89,3,0)*0.475*44/12</f>
        <v>18.56272472260952</v>
      </c>
      <c r="AB68" s="21">
        <f>EXP(-LN(2)/2)*AB67+(1-EXP(-LN(2)/2))/(LN(2)/2)*V68*Y68*VLOOKUP('Données projet'!$B$9,Paramètres!$A$1:$I$89,3,0)*0.475*44/12</f>
        <v>4.3772622810255764E-6</v>
      </c>
      <c r="AC68" s="22">
        <f t="shared" ref="AC68:AC131" si="57">SUM(Z68:AB68)</f>
        <v>142.24210759001389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392.48436003609055</v>
      </c>
      <c r="AO68" s="59">
        <f t="shared" si="36"/>
        <v>236.3312446580419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202.8779999999999</v>
      </c>
      <c r="BF68" s="13">
        <f t="shared" si="37"/>
        <v>50.376138116990084</v>
      </c>
      <c r="BG68" s="20">
        <f t="shared" ref="BG68:BG131" si="61">(BE68+BF68)*0.475*44/12</f>
        <v>441.08429055375751</v>
      </c>
      <c r="BH68" s="59">
        <f t="shared" ref="BH68:BH131" si="62">BG68+(AY68+AZ68)*44/12</f>
        <v>734.41762388709083</v>
      </c>
      <c r="BI68" s="59">
        <f ca="1">AVERAGE(OFFSET($BH$3,0,0,'Données projet'!$E$11+1,1))-AVERAGE(OFFSET($H$3,0,0,'Données projet'!$E$11+1,1))</f>
        <v>225.2323446080772</v>
      </c>
      <c r="BJ68" s="59">
        <f t="shared" si="38"/>
        <v>222.29030402759292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43.114517337362628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43.114517337362628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246.63599999999985</v>
      </c>
      <c r="CA68" s="13">
        <f t="shared" si="39"/>
        <v>59.865023903294535</v>
      </c>
      <c r="CB68" s="20">
        <f t="shared" ref="CB68:CB131" si="64">(BZ68+CA68)*0.475*44/12</f>
        <v>533.8226166315709</v>
      </c>
      <c r="CC68" s="59">
        <f t="shared" ref="CC68:CC131" si="65">CB68+(BT68+BU68)*44/12</f>
        <v>827.15594996490427</v>
      </c>
      <c r="CD68" s="59">
        <f ca="1">AVERAGE(OFFSET($CC$3,0,0,'Données projet'!$E$12+1,1))-AVERAGE(OFFSET($H$3,0,0,'Données projet'!$E$12+1,1))</f>
        <v>281.84871057356037</v>
      </c>
      <c r="CE68" s="59">
        <f t="shared" si="40"/>
        <v>276.02211904126887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42.524344514024712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42.524344514024712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19.399999999999999</v>
      </c>
      <c r="N69" s="13">
        <f>IF('Données projet'!$A$36&gt;35,N68+M69-V68,IF(A69&lt;'Données projet'!$A$36,$K$205^A69,IF(A69='Données projet'!$A$36,'Données projet'!$B$36,N68+M69-V68)))</f>
        <v>753.40000000000009</v>
      </c>
      <c r="O69" s="13">
        <f>N69*VLOOKUP('Données projet'!$B$9,Paramètres!$A$1:$I$89,3,0)*VLOOKUP('Données projet'!$B$9,Paramètres!$A$1:$I$89,5,0)</f>
        <v>352.59120000000007</v>
      </c>
      <c r="P69" s="13">
        <f t="shared" ref="P69:P132" si="87">EXP(-1.0587+0.8836*LN(O69)+0.284)</f>
        <v>82.095836961982101</v>
      </c>
      <c r="Q69" s="20">
        <f t="shared" si="54"/>
        <v>757.07992270878549</v>
      </c>
      <c r="R69" s="59">
        <f t="shared" si="55"/>
        <v>1050.4132560421187</v>
      </c>
      <c r="S69" s="59">
        <f ca="1">AVERAGE(OFFSET($R$3,0,0,'Données projet'!$E$9+1,1))-AVERAGE(OFFSET($H$3,0,0,'Données projet'!$E$9+1,1))</f>
        <v>414.8063171894658</v>
      </c>
      <c r="T69" s="59">
        <f t="shared" ref="T69:T132" si="88">$T$3</f>
        <v>354.21555670988619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121.25410131492248</v>
      </c>
      <c r="AA69" s="21">
        <f>EXP(-LN(2)/25)*AA68+(1-EXP(-LN(2)/25))/(LN(2)/25)*Calculateur!V69*Calculateur!X69*VLOOKUP('Données projet'!$B$9,Paramètres!$A$1:$I$89,3,0)*0.475*44/12</f>
        <v>18.055126038898496</v>
      </c>
      <c r="AB69" s="21">
        <f>EXP(-LN(2)/2)*AB68+(1-EXP(-LN(2)/2))/(LN(2)/2)*V69*Y69*VLOOKUP('Données projet'!$B$9,Paramètres!$A$1:$I$89,3,0)*0.475*44/12</f>
        <v>3.0951918419452803E-6</v>
      </c>
      <c r="AC69" s="22">
        <f t="shared" si="57"/>
        <v>139.3092304490128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392.48436003609055</v>
      </c>
      <c r="AO69" s="59">
        <f t="shared" ref="AO69:AO132" si="90">$AO$3</f>
        <v>236.3312446580419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197.14967999999988</v>
      </c>
      <c r="BF69" s="13">
        <f t="shared" ref="BF69:BF132" si="91">EXP(-1.0587+0.8836*LN(BE69)+0.284)</f>
        <v>49.11723130862363</v>
      </c>
      <c r="BG69" s="20">
        <f t="shared" si="61"/>
        <v>428.91487052918592</v>
      </c>
      <c r="BH69" s="59">
        <f t="shared" si="62"/>
        <v>722.24820386251918</v>
      </c>
      <c r="BI69" s="59">
        <f ca="1">AVERAGE(OFFSET($BH$3,0,0,'Données projet'!$E$11+1,1))-AVERAGE(OFFSET($H$3,0,0,'Données projet'!$E$11+1,1))</f>
        <v>225.2323446080772</v>
      </c>
      <c r="BJ69" s="59">
        <f t="shared" ref="BJ69:BJ132" si="92">$BJ$3</f>
        <v>222.29030402759292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42.269067949635883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42.269067949635883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239.67215999999988</v>
      </c>
      <c r="CA69" s="13">
        <f t="shared" ref="CA69:CA132" si="93">EXP(-1.0587+0.8836*LN(BZ69)+0.284)</f>
        <v>58.368988498598384</v>
      </c>
      <c r="CB69" s="20">
        <f t="shared" si="64"/>
        <v>519.08833363505858</v>
      </c>
      <c r="CC69" s="59">
        <f t="shared" si="65"/>
        <v>812.42166696839195</v>
      </c>
      <c r="CD69" s="59">
        <f ca="1">AVERAGE(OFFSET($CC$3,0,0,'Données projet'!$E$12+1,1))-AVERAGE(OFFSET($H$3,0,0,'Données projet'!$E$12+1,1))</f>
        <v>281.84871057356037</v>
      </c>
      <c r="CE69" s="59">
        <f t="shared" ref="CE69:CE132" si="94">$CE$3</f>
        <v>276.02211904126887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41.690468055393744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41.690468055393744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19.399999999999999</v>
      </c>
      <c r="N70" s="13">
        <f>IF('Données projet'!$A$36&gt;35,N69+M70-V69,IF(A70&lt;'Données projet'!$A$36,$K$205^A70,IF(A70='Données projet'!$A$36,'Données projet'!$B$36,N69+M70-V69)))</f>
        <v>772.80000000000007</v>
      </c>
      <c r="O70" s="13">
        <f>N70*VLOOKUP('Données projet'!$B$9,Paramètres!$A$1:$I$89,3,0)*VLOOKUP('Données projet'!$B$9,Paramètres!$A$1:$I$89,5,0)</f>
        <v>361.67040000000003</v>
      </c>
      <c r="P70" s="13">
        <f t="shared" si="87"/>
        <v>83.96096124513258</v>
      </c>
      <c r="Q70" s="20">
        <f t="shared" si="54"/>
        <v>776.14128750193925</v>
      </c>
      <c r="R70" s="59">
        <f t="shared" si="55"/>
        <v>1069.4746208352726</v>
      </c>
      <c r="S70" s="59">
        <f ca="1">AVERAGE(OFFSET($R$3,0,0,'Données projet'!$E$9+1,1))-AVERAGE(OFFSET($H$3,0,0,'Données projet'!$E$9+1,1))</f>
        <v>414.8063171894658</v>
      </c>
      <c r="T70" s="59">
        <f t="shared" si="88"/>
        <v>354.21555670988619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118.87638234583594</v>
      </c>
      <c r="AA70" s="21">
        <f>EXP(-LN(2)/25)*AA69+(1-EXP(-LN(2)/25))/(LN(2)/25)*Calculateur!V70*Calculateur!X70*VLOOKUP('Données projet'!$B$9,Paramètres!$A$1:$I$89,3,0)*0.475*44/12</f>
        <v>17.561407667887003</v>
      </c>
      <c r="AB70" s="21">
        <f>EXP(-LN(2)/2)*AB69+(1-EXP(-LN(2)/2))/(LN(2)/2)*V70*Y70*VLOOKUP('Données projet'!$B$9,Paramètres!$A$1:$I$89,3,0)*0.475*44/12</f>
        <v>2.1886311405127882E-6</v>
      </c>
      <c r="AC70" s="22">
        <f t="shared" si="57"/>
        <v>136.43779220235407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392.48436003609055</v>
      </c>
      <c r="AO70" s="59">
        <f t="shared" si="90"/>
        <v>236.3312446580419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200.17295999999988</v>
      </c>
      <c r="BF70" s="13">
        <f t="shared" si="91"/>
        <v>49.782177185855986</v>
      </c>
      <c r="BG70" s="20">
        <f t="shared" si="61"/>
        <v>435.33853059869892</v>
      </c>
      <c r="BH70" s="59">
        <f t="shared" si="62"/>
        <v>728.67186393203224</v>
      </c>
      <c r="BI70" s="59">
        <f ca="1">AVERAGE(OFFSET($BH$3,0,0,'Données projet'!$E$11+1,1))-AVERAGE(OFFSET($H$3,0,0,'Données projet'!$E$11+1,1))</f>
        <v>225.2323446080772</v>
      </c>
      <c r="BJ70" s="59">
        <f t="shared" si="92"/>
        <v>222.29030402759292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41.440197308729253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41.440197308729253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243.34751999999986</v>
      </c>
      <c r="CA70" s="13">
        <f t="shared" si="93"/>
        <v>59.159184061872203</v>
      </c>
      <c r="CB70" s="20">
        <f t="shared" si="64"/>
        <v>526.86584290776045</v>
      </c>
      <c r="CC70" s="59">
        <f t="shared" si="65"/>
        <v>820.19917624109371</v>
      </c>
      <c r="CD70" s="59">
        <f ca="1">AVERAGE(OFFSET($CC$3,0,0,'Données projet'!$E$12+1,1))-AVERAGE(OFFSET($H$3,0,0,'Données projet'!$E$12+1,1))</f>
        <v>281.84871057356037</v>
      </c>
      <c r="CE70" s="59">
        <f t="shared" si="94"/>
        <v>276.02211904126887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40.872943405502113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40.872943405502113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19.399999999999999</v>
      </c>
      <c r="N71" s="13">
        <f>IF('Données projet'!$A$36&gt;35,N70+M71-V70,IF(A71&lt;'Données projet'!$A$36,$K$205^A71,IF(A71='Données projet'!$A$36,'Données projet'!$B$36,N70+M71-V70)))</f>
        <v>792.2</v>
      </c>
      <c r="O71" s="13">
        <f>N71*VLOOKUP('Données projet'!$B$9,Paramètres!$A$1:$I$89,3,0)*VLOOKUP('Données projet'!$B$9,Paramètres!$A$1:$I$89,5,0)</f>
        <v>370.74960000000004</v>
      </c>
      <c r="P71" s="13">
        <f t="shared" si="87"/>
        <v>85.820642893140644</v>
      </c>
      <c r="Q71" s="20">
        <f t="shared" si="54"/>
        <v>795.19317303888658</v>
      </c>
      <c r="R71" s="59">
        <f t="shared" si="55"/>
        <v>1088.52650637222</v>
      </c>
      <c r="S71" s="59">
        <f ca="1">AVERAGE(OFFSET($R$3,0,0,'Données projet'!$E$9+1,1))-AVERAGE(OFFSET($H$3,0,0,'Données projet'!$E$9+1,1))</f>
        <v>414.8063171894658</v>
      </c>
      <c r="T71" s="59">
        <f t="shared" si="88"/>
        <v>354.21555670988619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116.54528899546781</v>
      </c>
      <c r="AA71" s="21">
        <f>EXP(-LN(2)/25)*AA70+(1-EXP(-LN(2)/25))/(LN(2)/25)*Calculateur!V71*Calculateur!X71*VLOOKUP('Données projet'!$B$9,Paramètres!$A$1:$I$89,3,0)*0.475*44/12</f>
        <v>17.081190051694342</v>
      </c>
      <c r="AB71" s="21">
        <f>EXP(-LN(2)/2)*AB70+(1-EXP(-LN(2)/2))/(LN(2)/2)*V71*Y71*VLOOKUP('Données projet'!$B$9,Paramètres!$A$1:$I$89,3,0)*0.475*44/12</f>
        <v>1.5475959209726401E-6</v>
      </c>
      <c r="AC71" s="22">
        <f t="shared" si="57"/>
        <v>133.62648059475808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392.48436003609055</v>
      </c>
      <c r="AO71" s="59">
        <f t="shared" si="90"/>
        <v>236.3312446580419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203.1962399999999</v>
      </c>
      <c r="BF71" s="13">
        <f t="shared" si="91"/>
        <v>50.445955049216174</v>
      </c>
      <c r="BG71" s="20">
        <f t="shared" si="61"/>
        <v>441.76015637738465</v>
      </c>
      <c r="BH71" s="59">
        <f t="shared" si="62"/>
        <v>735.0934897107179</v>
      </c>
      <c r="BI71" s="59">
        <f ca="1">AVERAGE(OFFSET($BH$3,0,0,'Données projet'!$E$11+1,1))-AVERAGE(OFFSET($H$3,0,0,'Données projet'!$E$11+1,1))</f>
        <v>225.2323446080772</v>
      </c>
      <c r="BJ71" s="59">
        <f t="shared" si="92"/>
        <v>222.29030402759292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40.627580315529627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40.627580315529627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247.0228799999999</v>
      </c>
      <c r="CA71" s="13">
        <f t="shared" si="93"/>
        <v>59.947991603336583</v>
      </c>
      <c r="CB71" s="20">
        <f t="shared" si="64"/>
        <v>534.64093470914429</v>
      </c>
      <c r="CC71" s="59">
        <f t="shared" si="65"/>
        <v>827.97426804247766</v>
      </c>
      <c r="CD71" s="59">
        <f ca="1">AVERAGE(OFFSET($CC$3,0,0,'Données projet'!$E$12+1,1))-AVERAGE(OFFSET($H$3,0,0,'Données projet'!$E$12+1,1))</f>
        <v>281.84871057356037</v>
      </c>
      <c r="CE71" s="59">
        <f t="shared" si="94"/>
        <v>276.02211904126887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40.071449915354059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40.071449915354059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19.399999999999999</v>
      </c>
      <c r="N72" s="13">
        <f>IF('Données projet'!$A$36&gt;35,N71+M72-V71,IF(A72&lt;'Données projet'!$A$36,$K$205^A72,IF(A72='Données projet'!$A$36,'Données projet'!$B$36,N71+M72-V71)))</f>
        <v>811.6</v>
      </c>
      <c r="O72" s="13">
        <f>N72*VLOOKUP('Données projet'!$B$9,Paramètres!$A$1:$I$89,3,0)*VLOOKUP('Données projet'!$B$9,Paramètres!$A$1:$I$89,5,0)</f>
        <v>379.8288</v>
      </c>
      <c r="P72" s="13">
        <f t="shared" si="87"/>
        <v>87.675030521782332</v>
      </c>
      <c r="Q72" s="20">
        <f t="shared" si="54"/>
        <v>814.23583815877089</v>
      </c>
      <c r="R72" s="59">
        <f t="shared" si="55"/>
        <v>1107.5691714921043</v>
      </c>
      <c r="S72" s="59">
        <f ca="1">AVERAGE(OFFSET($R$3,0,0,'Données projet'!$E$9+1,1))-AVERAGE(OFFSET($H$3,0,0,'Données projet'!$E$9+1,1))</f>
        <v>414.8063171894658</v>
      </c>
      <c r="T72" s="59">
        <f t="shared" si="88"/>
        <v>354.21555670988619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114.25990696387386</v>
      </c>
      <c r="AA72" s="21">
        <f>EXP(-LN(2)/25)*AA71+(1-EXP(-LN(2)/25))/(LN(2)/25)*Calculateur!V72*Calculateur!X72*VLOOKUP('Données projet'!$B$9,Paramètres!$A$1:$I$89,3,0)*0.475*44/12</f>
        <v>16.614104011470015</v>
      </c>
      <c r="AB72" s="21">
        <f>EXP(-LN(2)/2)*AB71+(1-EXP(-LN(2)/2))/(LN(2)/2)*V72*Y72*VLOOKUP('Données projet'!$B$9,Paramètres!$A$1:$I$89,3,0)*0.475*44/12</f>
        <v>1.0943155702563941E-6</v>
      </c>
      <c r="AC72" s="22">
        <f t="shared" si="57"/>
        <v>130.87401206965944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392.48436003609055</v>
      </c>
      <c r="AO72" s="59">
        <f t="shared" si="90"/>
        <v>236.3312446580419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206.21951999999993</v>
      </c>
      <c r="BF72" s="13">
        <f t="shared" si="91"/>
        <v>51.10858428464028</v>
      </c>
      <c r="BG72" s="20">
        <f t="shared" si="61"/>
        <v>448.17978162908167</v>
      </c>
      <c r="BH72" s="59">
        <f t="shared" si="62"/>
        <v>741.51311496241499</v>
      </c>
      <c r="BI72" s="59">
        <f ca="1">AVERAGE(OFFSET($BH$3,0,0,'Données projet'!$E$11+1,1))-AVERAGE(OFFSET($H$3,0,0,'Données projet'!$E$11+1,1))</f>
        <v>225.2323446080772</v>
      </c>
      <c r="BJ72" s="59">
        <f t="shared" si="92"/>
        <v>222.29030402759292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39.830898245919222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39.830898245919222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250.69823999999988</v>
      </c>
      <c r="CA72" s="13">
        <f t="shared" si="93"/>
        <v>60.735434160476743</v>
      </c>
      <c r="CB72" s="20">
        <f t="shared" si="64"/>
        <v>542.4136491628301</v>
      </c>
      <c r="CC72" s="59">
        <f t="shared" si="65"/>
        <v>835.74698249616335</v>
      </c>
      <c r="CD72" s="59">
        <f ca="1">AVERAGE(OFFSET($CC$3,0,0,'Données projet'!$E$12+1,1))-AVERAGE(OFFSET($H$3,0,0,'Données projet'!$E$12+1,1))</f>
        <v>281.84871057356037</v>
      </c>
      <c r="CE72" s="59">
        <f t="shared" si="94"/>
        <v>276.02211904126887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39.285673223685052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39.285673223685052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831</v>
      </c>
      <c r="L73" s="12">
        <f>VLOOKUP(A73,'Données projet'!$A$35:$I$55,9,0)</f>
        <v>19.399999999999999</v>
      </c>
      <c r="M73" s="12">
        <f t="array" ref="M73">INDEX(L:L,MIN(IF(ISNUMBER(L73:L269),ROW(L73:L269),"")))</f>
        <v>19.399999999999999</v>
      </c>
      <c r="N73" s="13">
        <f>IF('Données projet'!$A$36&gt;35,N72+M73-V72,IF(A73&lt;'Données projet'!$A$36,$K$205^A73,IF(A73='Données projet'!$A$36,'Données projet'!$B$36,N72+M73-V72)))</f>
        <v>831</v>
      </c>
      <c r="O73" s="13">
        <f>N73*VLOOKUP('Données projet'!$B$9,Paramètres!$A$1:$I$89,3,0)*VLOOKUP('Données projet'!$B$9,Paramètres!$A$1:$I$89,5,0)</f>
        <v>388.90799999999996</v>
      </c>
      <c r="P73" s="13">
        <f t="shared" si="87"/>
        <v>89.524265236783094</v>
      </c>
      <c r="Q73" s="20">
        <f t="shared" si="54"/>
        <v>833.2695286207304</v>
      </c>
      <c r="R73" s="59">
        <f t="shared" si="55"/>
        <v>1126.6028619540637</v>
      </c>
      <c r="S73" s="59">
        <f ca="1">AVERAGE(OFFSET($R$3,0,0,'Données projet'!$E$9+1,1))-AVERAGE(OFFSET($H$3,0,0,'Données projet'!$E$9+1,1))</f>
        <v>414.8063171894658</v>
      </c>
      <c r="T73" s="59">
        <f t="shared" si="88"/>
        <v>354.21555670988619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53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130.11659749397134</v>
      </c>
      <c r="AA73" s="21">
        <f>EXP(-LN(2)/25)*AA72+(1-EXP(-LN(2)/25))/(LN(2)/25)*Calculateur!V73*Calculateur!X73*VLOOKUP('Données projet'!$B$9,Paramètres!$A$1:$I$89,3,0)*0.475*44/12</f>
        <v>16.159790463578609</v>
      </c>
      <c r="AB73" s="21">
        <f>EXP(-LN(2)/2)*AB72+(1-EXP(-LN(2)/2))/(LN(2)/2)*V73*Y73*VLOOKUP('Données projet'!$B$9,Paramètres!$A$1:$I$89,3,0)*0.475*44/12</f>
        <v>7.7379796048632007E-7</v>
      </c>
      <c r="AC73" s="22">
        <f t="shared" si="57"/>
        <v>146.27638873134791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392.48436003609055</v>
      </c>
      <c r="AO73" s="59">
        <f t="shared" si="90"/>
        <v>236.3312446580419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209.2427999999999</v>
      </c>
      <c r="BF73" s="13">
        <f t="shared" si="91"/>
        <v>51.770083677016814</v>
      </c>
      <c r="BG73" s="20">
        <f t="shared" si="61"/>
        <v>454.59743907080406</v>
      </c>
      <c r="BH73" s="59">
        <f t="shared" si="62"/>
        <v>747.93077240413731</v>
      </c>
      <c r="BI73" s="59">
        <f ca="1">AVERAGE(OFFSET($BH$3,0,0,'Données projet'!$E$11+1,1))-AVERAGE(OFFSET($H$3,0,0,'Données projet'!$E$11+1,1))</f>
        <v>225.2323446080772</v>
      </c>
      <c r="BJ73" s="59">
        <f t="shared" si="92"/>
        <v>222.29030402759292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43.711253465734799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43.711253465734799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254.37359999999987</v>
      </c>
      <c r="CA73" s="13">
        <f t="shared" si="93"/>
        <v>61.521534056516153</v>
      </c>
      <c r="CB73" s="20">
        <f t="shared" si="64"/>
        <v>550.18402514843217</v>
      </c>
      <c r="CC73" s="59">
        <f t="shared" si="65"/>
        <v>843.51735848176554</v>
      </c>
      <c r="CD73" s="59">
        <f ca="1">AVERAGE(OFFSET($CC$3,0,0,'Données projet'!$E$12+1,1))-AVERAGE(OFFSET($H$3,0,0,'Données projet'!$E$12+1,1))</f>
        <v>281.84871057356037</v>
      </c>
      <c r="CE73" s="59">
        <f t="shared" si="94"/>
        <v>276.02211904126887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43.112912223325573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43.112912223325573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18</v>
      </c>
      <c r="N74" s="13">
        <f>IF('Données projet'!$A$36&gt;35,N73+M74-V73,IF(A74&lt;'Données projet'!$A$36,$K$205^A74,IF(A74='Données projet'!$A$36,'Données projet'!$B$36,N73+M74-V73)))</f>
        <v>796</v>
      </c>
      <c r="O74" s="13">
        <f>N74*VLOOKUP('Données projet'!$B$9,Paramètres!$A$1:$I$89,3,0)*VLOOKUP('Données projet'!$B$9,Paramètres!$A$1:$I$89,5,0)</f>
        <v>372.52800000000002</v>
      </c>
      <c r="P74" s="13">
        <f t="shared" si="87"/>
        <v>86.184285854222622</v>
      </c>
      <c r="Q74" s="20">
        <f t="shared" si="54"/>
        <v>798.92389786277101</v>
      </c>
      <c r="R74" s="59">
        <f t="shared" si="55"/>
        <v>1092.2572311961044</v>
      </c>
      <c r="S74" s="59">
        <f ca="1">AVERAGE(OFFSET($R$3,0,0,'Données projet'!$E$9+1,1))-AVERAGE(OFFSET($H$3,0,0,'Données projet'!$E$9+1,1))</f>
        <v>414.8063171894658</v>
      </c>
      <c r="T74" s="59">
        <f t="shared" si="88"/>
        <v>354.21555670988619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127.56509038040257</v>
      </c>
      <c r="AA74" s="21">
        <f>EXP(-LN(2)/25)*AA73+(1-EXP(-LN(2)/25))/(LN(2)/25)*Calculateur!V74*Calculateur!X74*VLOOKUP('Données projet'!$B$9,Paramètres!$A$1:$I$89,3,0)*0.475*44/12</f>
        <v>15.717900143545606</v>
      </c>
      <c r="AB74" s="21">
        <f>EXP(-LN(2)/2)*AB73+(1-EXP(-LN(2)/2))/(LN(2)/2)*V74*Y74*VLOOKUP('Données projet'!$B$9,Paramètres!$A$1:$I$89,3,0)*0.475*44/12</f>
        <v>5.4715778512819706E-7</v>
      </c>
      <c r="AC74" s="22">
        <f t="shared" si="57"/>
        <v>143.28299107110595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392.48436003609055</v>
      </c>
      <c r="AO74" s="59">
        <f t="shared" si="90"/>
        <v>236.3312446580419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203.99183999999988</v>
      </c>
      <c r="BF74" s="13">
        <f t="shared" si="91"/>
        <v>50.620441749347997</v>
      </c>
      <c r="BG74" s="20">
        <f t="shared" si="61"/>
        <v>443.44972404678083</v>
      </c>
      <c r="BH74" s="59">
        <f t="shared" si="62"/>
        <v>736.78305738011409</v>
      </c>
      <c r="BI74" s="59">
        <f ca="1">AVERAGE(OFFSET($BH$3,0,0,'Données projet'!$E$11+1,1))-AVERAGE(OFFSET($H$3,0,0,'Données projet'!$E$11+1,1))</f>
        <v>225.2323446080772</v>
      </c>
      <c r="BJ74" s="59">
        <f t="shared" si="92"/>
        <v>222.29030402759292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42.854102446503774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42.854102446503774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247.99007999999986</v>
      </c>
      <c r="CA74" s="13">
        <f t="shared" si="93"/>
        <v>60.155344744419764</v>
      </c>
      <c r="CB74" s="20">
        <f t="shared" si="64"/>
        <v>536.68661476319755</v>
      </c>
      <c r="CC74" s="59">
        <f t="shared" si="65"/>
        <v>830.01994809653092</v>
      </c>
      <c r="CD74" s="59">
        <f ca="1">AVERAGE(OFFSET($CC$3,0,0,'Données projet'!$E$12+1,1))-AVERAGE(OFFSET($H$3,0,0,'Données projet'!$E$12+1,1))</f>
        <v>281.84871057356037</v>
      </c>
      <c r="CE74" s="59">
        <f t="shared" si="94"/>
        <v>276.02211904126887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42.267494310906073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42.267494310906073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18</v>
      </c>
      <c r="N75" s="13">
        <f>IF('Données projet'!$A$36&gt;35,N74+M75-V74,IF(A75&lt;'Données projet'!$A$36,$K$205^A75,IF(A75='Données projet'!$A$36,'Données projet'!$B$36,N74+M75-V74)))</f>
        <v>814</v>
      </c>
      <c r="O75" s="13">
        <f>N75*VLOOKUP('Données projet'!$B$9,Paramètres!$A$1:$I$89,3,0)*VLOOKUP('Données projet'!$B$9,Paramètres!$A$1:$I$89,5,0)</f>
        <v>380.95199999999994</v>
      </c>
      <c r="P75" s="13">
        <f t="shared" si="87"/>
        <v>87.904078344580199</v>
      </c>
      <c r="Q75" s="20">
        <f t="shared" si="54"/>
        <v>816.5910031168105</v>
      </c>
      <c r="R75" s="59">
        <f t="shared" si="55"/>
        <v>1109.9243364501438</v>
      </c>
      <c r="S75" s="59">
        <f ca="1">AVERAGE(OFFSET($R$3,0,0,'Données projet'!$E$9+1,1))-AVERAGE(OFFSET($H$3,0,0,'Données projet'!$E$9+1,1))</f>
        <v>414.8063171894658</v>
      </c>
      <c r="T75" s="59">
        <f t="shared" si="88"/>
        <v>354.21555670988619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125.06361676506519</v>
      </c>
      <c r="AA75" s="21">
        <f>EXP(-LN(2)/25)*AA74+(1-EXP(-LN(2)/25))/(LN(2)/25)*Calculateur!V75*Calculateur!X75*VLOOKUP('Données projet'!$B$9,Paramètres!$A$1:$I$89,3,0)*0.475*44/12</f>
        <v>15.288093337551906</v>
      </c>
      <c r="AB75" s="21">
        <f>EXP(-LN(2)/2)*AB74+(1-EXP(-LN(2)/2))/(LN(2)/2)*V75*Y75*VLOOKUP('Données projet'!$B$9,Paramètres!$A$1:$I$89,3,0)*0.475*44/12</f>
        <v>3.8689898024316003E-7</v>
      </c>
      <c r="AC75" s="22">
        <f t="shared" si="57"/>
        <v>140.35171048951608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392.48436003609055</v>
      </c>
      <c r="AO75" s="59">
        <f t="shared" si="90"/>
        <v>236.3312446580419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206.69687999999991</v>
      </c>
      <c r="BF75" s="13">
        <f t="shared" si="91"/>
        <v>51.213106197404436</v>
      </c>
      <c r="BG75" s="20">
        <f t="shared" si="61"/>
        <v>449.1932259604792</v>
      </c>
      <c r="BH75" s="59">
        <f t="shared" si="62"/>
        <v>742.52655929381251</v>
      </c>
      <c r="BI75" s="59">
        <f ca="1">AVERAGE(OFFSET($BH$3,0,0,'Données projet'!$E$11+1,1))-AVERAGE(OFFSET($H$3,0,0,'Données projet'!$E$11+1,1))</f>
        <v>225.2323446080772</v>
      </c>
      <c r="BJ75" s="59">
        <f t="shared" si="92"/>
        <v>222.29030402759292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42.01375963594937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42.01375963594937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251.27855999999986</v>
      </c>
      <c r="CA75" s="13">
        <f t="shared" si="93"/>
        <v>60.859643896274868</v>
      </c>
      <c r="CB75" s="20">
        <f t="shared" si="64"/>
        <v>543.64070511934517</v>
      </c>
      <c r="CC75" s="59">
        <f t="shared" si="65"/>
        <v>836.97403845267854</v>
      </c>
      <c r="CD75" s="59">
        <f ca="1">AVERAGE(OFFSET($CC$3,0,0,'Données projet'!$E$12+1,1))-AVERAGE(OFFSET($H$3,0,0,'Données projet'!$E$12+1,1))</f>
        <v>281.84871057356037</v>
      </c>
      <c r="CE75" s="59">
        <f t="shared" si="94"/>
        <v>276.02211904126887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41.438654528095107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41.438654528095107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18</v>
      </c>
      <c r="N76" s="13">
        <f>IF('Données projet'!$A$36&gt;35,N75+M76-V75,IF(A76&lt;'Données projet'!$A$36,$K$205^A76,IF(A76='Données projet'!$A$36,'Données projet'!$B$36,N75+M76-V75)))</f>
        <v>832</v>
      </c>
      <c r="O76" s="13">
        <f>N76*VLOOKUP('Données projet'!$B$9,Paramètres!$A$1:$I$89,3,0)*VLOOKUP('Données projet'!$B$9,Paramètres!$A$1:$I$89,5,0)</f>
        <v>389.37599999999998</v>
      </c>
      <c r="P76" s="13">
        <f t="shared" si="87"/>
        <v>89.619449476412427</v>
      </c>
      <c r="Q76" s="20">
        <f t="shared" si="54"/>
        <v>834.25040783808493</v>
      </c>
      <c r="R76" s="59">
        <f t="shared" si="55"/>
        <v>1127.5837411714183</v>
      </c>
      <c r="S76" s="59">
        <f ca="1">AVERAGE(OFFSET($R$3,0,0,'Données projet'!$E$9+1,1))-AVERAGE(OFFSET($H$3,0,0,'Données projet'!$E$9+1,1))</f>
        <v>414.8063171894658</v>
      </c>
      <c r="T76" s="59">
        <f t="shared" si="88"/>
        <v>354.21555670988619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122.61119552157633</v>
      </c>
      <c r="AA76" s="21">
        <f>EXP(-LN(2)/25)*AA75+(1-EXP(-LN(2)/25))/(LN(2)/25)*Calculateur!V76*Calculateur!X76*VLOOKUP('Données projet'!$B$9,Paramètres!$A$1:$I$89,3,0)*0.475*44/12</f>
        <v>14.870039621270662</v>
      </c>
      <c r="AB76" s="21">
        <f>EXP(-LN(2)/2)*AB75+(1-EXP(-LN(2)/2))/(LN(2)/2)*V76*Y76*VLOOKUP('Données projet'!$B$9,Paramètres!$A$1:$I$89,3,0)*0.475*44/12</f>
        <v>2.7357889256409853E-7</v>
      </c>
      <c r="AC76" s="22">
        <f t="shared" si="57"/>
        <v>137.4812354164259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392.48436003609055</v>
      </c>
      <c r="AO76" s="59">
        <f t="shared" si="90"/>
        <v>236.3312446580419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209.40191999999988</v>
      </c>
      <c r="BF76" s="13">
        <f t="shared" si="91"/>
        <v>51.804868484579039</v>
      </c>
      <c r="BG76" s="20">
        <f t="shared" si="61"/>
        <v>454.93515661064157</v>
      </c>
      <c r="BH76" s="59">
        <f t="shared" si="62"/>
        <v>748.26848994397483</v>
      </c>
      <c r="BI76" s="59">
        <f ca="1">AVERAGE(OFFSET($BH$3,0,0,'Données projet'!$E$11+1,1))-AVERAGE(OFFSET($H$3,0,0,'Données projet'!$E$11+1,1))</f>
        <v>225.2323446080772</v>
      </c>
      <c r="BJ76" s="59">
        <f t="shared" si="92"/>
        <v>222.29030402759292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41.189895435351438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41.189895435351438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254.56703999999982</v>
      </c>
      <c r="CA76" s="13">
        <f t="shared" si="93"/>
        <v>61.562870955572379</v>
      </c>
      <c r="CB76" s="20">
        <f t="shared" si="64"/>
        <v>550.59292824762156</v>
      </c>
      <c r="CC76" s="59">
        <f t="shared" si="65"/>
        <v>843.92626158095482</v>
      </c>
      <c r="CD76" s="59">
        <f ca="1">AVERAGE(OFFSET($CC$3,0,0,'Données projet'!$E$12+1,1))-AVERAGE(OFFSET($H$3,0,0,'Données projet'!$E$12+1,1))</f>
        <v>281.84871057356037</v>
      </c>
      <c r="CE76" s="59">
        <f t="shared" si="94"/>
        <v>276.02211904126887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40.626067787882718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40.626067787882718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18</v>
      </c>
      <c r="N77" s="13">
        <f>IF('Données projet'!$A$36&gt;35,N76+M77-V76,IF(A77&lt;'Données projet'!$A$36,$K$205^A77,IF(A77='Données projet'!$A$36,'Données projet'!$B$36,N76+M77-V76)))</f>
        <v>850</v>
      </c>
      <c r="O77" s="13">
        <f>N77*VLOOKUP('Données projet'!$B$9,Paramètres!$A$1:$I$89,3,0)*VLOOKUP('Données projet'!$B$9,Paramètres!$A$1:$I$89,5,0)</f>
        <v>397.8</v>
      </c>
      <c r="P77" s="13">
        <f t="shared" si="87"/>
        <v>91.330505920740748</v>
      </c>
      <c r="Q77" s="20">
        <f t="shared" si="54"/>
        <v>851.90229781195683</v>
      </c>
      <c r="R77" s="59">
        <f t="shared" si="55"/>
        <v>1145.2356311452902</v>
      </c>
      <c r="S77" s="59">
        <f ca="1">AVERAGE(OFFSET($R$3,0,0,'Données projet'!$E$9+1,1))-AVERAGE(OFFSET($H$3,0,0,'Données projet'!$E$9+1,1))</f>
        <v>414.8063171894658</v>
      </c>
      <c r="T77" s="59">
        <f t="shared" si="88"/>
        <v>354.21555670988619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120.20686476284304</v>
      </c>
      <c r="AA77" s="21">
        <f>EXP(-LN(2)/25)*AA76+(1-EXP(-LN(2)/25))/(LN(2)/25)*Calculateur!V77*Calculateur!X77*VLOOKUP('Données projet'!$B$9,Paramètres!$A$1:$I$89,3,0)*0.475*44/12</f>
        <v>14.463417605845617</v>
      </c>
      <c r="AB77" s="21">
        <f>EXP(-LN(2)/2)*AB76+(1-EXP(-LN(2)/2))/(LN(2)/2)*V77*Y77*VLOOKUP('Données projet'!$B$9,Paramètres!$A$1:$I$89,3,0)*0.475*44/12</f>
        <v>1.9344949012158002E-7</v>
      </c>
      <c r="AC77" s="22">
        <f t="shared" si="57"/>
        <v>134.67028256213814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392.48436003609055</v>
      </c>
      <c r="AO77" s="59">
        <f t="shared" si="90"/>
        <v>236.3312446580419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212.10695999999984</v>
      </c>
      <c r="BF77" s="13">
        <f t="shared" si="91"/>
        <v>52.395741612408194</v>
      </c>
      <c r="BG77" s="20">
        <f t="shared" si="61"/>
        <v>460.67553864161067</v>
      </c>
      <c r="BH77" s="59">
        <f t="shared" si="62"/>
        <v>754.00887197494399</v>
      </c>
      <c r="BI77" s="59">
        <f ca="1">AVERAGE(OFFSET($BH$3,0,0,'Données projet'!$E$11+1,1))-AVERAGE(OFFSET($H$3,0,0,'Données projet'!$E$11+1,1))</f>
        <v>225.2323446080772</v>
      </c>
      <c r="BJ77" s="59">
        <f t="shared" si="92"/>
        <v>222.29030402759292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40.382186709219688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40.382186709219688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257.85551999999979</v>
      </c>
      <c r="CA77" s="13">
        <f t="shared" si="93"/>
        <v>62.265041372827518</v>
      </c>
      <c r="CB77" s="20">
        <f t="shared" si="64"/>
        <v>557.54331105767415</v>
      </c>
      <c r="CC77" s="59">
        <f t="shared" si="65"/>
        <v>850.8766443910074</v>
      </c>
      <c r="CD77" s="59">
        <f ca="1">AVERAGE(OFFSET($CC$3,0,0,'Données projet'!$E$12+1,1))-AVERAGE(OFFSET($H$3,0,0,'Données projet'!$E$12+1,1))</f>
        <v>281.84871057356037</v>
      </c>
      <c r="CE77" s="59">
        <f t="shared" si="94"/>
        <v>276.02211904126887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39.829415378016918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39.829415378016918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868</v>
      </c>
      <c r="L78" s="12">
        <f>VLOOKUP(A78,'Données projet'!$A$35:$I$55,9,0)</f>
        <v>18</v>
      </c>
      <c r="M78" s="12">
        <f t="array" ref="M78">INDEX(L:L,MIN(IF(ISNUMBER(L78:L274),ROW(L78:L274),"")))</f>
        <v>18</v>
      </c>
      <c r="N78" s="13">
        <f>IF('Données projet'!$A$36&gt;35,N77+M78-V77,IF(A78&lt;'Données projet'!$A$36,$K$205^A78,IF(A78='Données projet'!$A$36,'Données projet'!$B$36,N77+M78-V77)))</f>
        <v>868</v>
      </c>
      <c r="O78" s="13">
        <f>N78*VLOOKUP('Données projet'!$B$9,Paramètres!$A$1:$I$89,3,0)*VLOOKUP('Données projet'!$B$9,Paramètres!$A$1:$I$89,5,0)</f>
        <v>406.22399999999999</v>
      </c>
      <c r="P78" s="13">
        <f t="shared" si="87"/>
        <v>93.03734957263255</v>
      </c>
      <c r="Q78" s="20">
        <f t="shared" si="54"/>
        <v>869.5468505056682</v>
      </c>
      <c r="R78" s="59">
        <f t="shared" si="55"/>
        <v>1162.8801838390016</v>
      </c>
      <c r="S78" s="59">
        <f ca="1">AVERAGE(OFFSET($R$3,0,0,'Données projet'!$E$9+1,1))-AVERAGE(OFFSET($H$3,0,0,'Données projet'!$E$9+1,1))</f>
        <v>414.8063171894658</v>
      </c>
      <c r="T78" s="59">
        <f t="shared" si="88"/>
        <v>354.21555670988619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50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134.92256600529845</v>
      </c>
      <c r="AA78" s="21">
        <f>EXP(-LN(2)/25)*AA77+(1-EXP(-LN(2)/25))/(LN(2)/25)*Calculateur!V78*Calculateur!X78*VLOOKUP('Données projet'!$B$9,Paramètres!$A$1:$I$89,3,0)*0.475*44/12</f>
        <v>14.067914690815693</v>
      </c>
      <c r="AB78" s="21">
        <f>EXP(-LN(2)/2)*AB77+(1-EXP(-LN(2)/2))/(LN(2)/2)*V78*Y78*VLOOKUP('Données projet'!$B$9,Paramètres!$A$1:$I$89,3,0)*0.475*44/12</f>
        <v>1.3678944628204926E-7</v>
      </c>
      <c r="AC78" s="22">
        <f t="shared" si="57"/>
        <v>148.99048083290359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392.48436003609055</v>
      </c>
      <c r="AO78" s="59">
        <f t="shared" si="90"/>
        <v>236.3312446580419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214.81199999999981</v>
      </c>
      <c r="BF78" s="13">
        <f t="shared" si="91"/>
        <v>52.985738231738011</v>
      </c>
      <c r="BG78" s="20">
        <f t="shared" si="61"/>
        <v>466.41439408694333</v>
      </c>
      <c r="BH78" s="59">
        <f t="shared" si="62"/>
        <v>759.74772742027665</v>
      </c>
      <c r="BI78" s="59">
        <f ca="1">AVERAGE(OFFSET($BH$3,0,0,'Données projet'!$E$11+1,1))-AVERAGE(OFFSET($H$3,0,0,'Données projet'!$E$11+1,1))</f>
        <v>225.2323446080772</v>
      </c>
      <c r="BJ78" s="59">
        <f t="shared" si="92"/>
        <v>222.29030402759292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43.785590014525802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43.785590014525802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261.14399999999978</v>
      </c>
      <c r="CA78" s="13">
        <f t="shared" si="93"/>
        <v>62.966170181808813</v>
      </c>
      <c r="CB78" s="20">
        <f t="shared" si="64"/>
        <v>564.49187973331652</v>
      </c>
      <c r="CC78" s="59">
        <f t="shared" si="65"/>
        <v>857.82521306664989</v>
      </c>
      <c r="CD78" s="59">
        <f ca="1">AVERAGE(OFFSET($CC$3,0,0,'Données projet'!$E$12+1,1))-AVERAGE(OFFSET($H$3,0,0,'Données projet'!$E$12+1,1))</f>
        <v>281.84871057356037</v>
      </c>
      <c r="CE78" s="59">
        <f t="shared" si="94"/>
        <v>276.02211904126887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43.186231216694722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43.186231216694722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16.600000000000001</v>
      </c>
      <c r="N79" s="13">
        <f>IF('Données projet'!$A$36&gt;35,N78+M79-V78,IF(A79&lt;'Données projet'!$A$36,$K$205^A79,IF(A79='Données projet'!$A$36,'Données projet'!$B$36,N78+M79-V78)))</f>
        <v>834.6</v>
      </c>
      <c r="O79" s="13">
        <f>N79*VLOOKUP('Données projet'!$B$9,Paramètres!$A$1:$I$89,3,0)*VLOOKUP('Données projet'!$B$9,Paramètres!$A$1:$I$89,5,0)</f>
        <v>390.59280000000001</v>
      </c>
      <c r="P79" s="13">
        <f t="shared" si="87"/>
        <v>89.866866226434709</v>
      </c>
      <c r="Q79" s="20">
        <f t="shared" si="54"/>
        <v>836.80058534437376</v>
      </c>
      <c r="R79" s="59">
        <f t="shared" si="55"/>
        <v>1130.133918677707</v>
      </c>
      <c r="S79" s="59">
        <f ca="1">AVERAGE(OFFSET($R$3,0,0,'Données projet'!$E$9+1,1))-AVERAGE(OFFSET($H$3,0,0,'Données projet'!$E$9+1,1))</f>
        <v>414.8063171894658</v>
      </c>
      <c r="T79" s="59">
        <f t="shared" si="88"/>
        <v>354.21555670988619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132.27681678057388</v>
      </c>
      <c r="AA79" s="21">
        <f>EXP(-LN(2)/25)*AA78+(1-EXP(-LN(2)/25))/(LN(2)/25)*Calculateur!V79*Calculateur!X79*VLOOKUP('Données projet'!$B$9,Paramètres!$A$1:$I$89,3,0)*0.475*44/12</f>
        <v>13.683226823795856</v>
      </c>
      <c r="AB79" s="21">
        <f>EXP(-LN(2)/2)*AB78+(1-EXP(-LN(2)/2))/(LN(2)/2)*V79*Y79*VLOOKUP('Données projet'!$B$9,Paramètres!$A$1:$I$89,3,0)*0.475*44/12</f>
        <v>9.6724745060790008E-8</v>
      </c>
      <c r="AC79" s="22">
        <f t="shared" si="57"/>
        <v>145.96004370109446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392.48436003609055</v>
      </c>
      <c r="AO79" s="59">
        <f t="shared" si="90"/>
        <v>236.3312446580419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209.87927999999985</v>
      </c>
      <c r="BF79" s="13">
        <f t="shared" si="91"/>
        <v>51.909204458241767</v>
      </c>
      <c r="BG79" s="20">
        <f t="shared" si="61"/>
        <v>455.94827709810414</v>
      </c>
      <c r="BH79" s="59">
        <f t="shared" si="62"/>
        <v>749.28161043143746</v>
      </c>
      <c r="BI79" s="59">
        <f ca="1">AVERAGE(OFFSET($BH$3,0,0,'Données projet'!$E$11+1,1))-AVERAGE(OFFSET($H$3,0,0,'Données projet'!$E$11+1,1))</f>
        <v>225.2323446080772</v>
      </c>
      <c r="BJ79" s="59">
        <f t="shared" si="92"/>
        <v>222.29030402759292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42.926981300913802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42.926981300913802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255.14735999999979</v>
      </c>
      <c r="CA79" s="13">
        <f t="shared" si="93"/>
        <v>61.686859728645594</v>
      </c>
      <c r="CB79" s="20">
        <f t="shared" si="64"/>
        <v>551.81959936072406</v>
      </c>
      <c r="CC79" s="59">
        <f t="shared" si="65"/>
        <v>845.15293269405743</v>
      </c>
      <c r="CD79" s="59">
        <f ca="1">AVERAGE(OFFSET($CC$3,0,0,'Données projet'!$E$12+1,1))-AVERAGE(OFFSET($H$3,0,0,'Données projet'!$E$12+1,1))</f>
        <v>281.84871057356037</v>
      </c>
      <c r="CE79" s="59">
        <f t="shared" si="94"/>
        <v>276.02211904126887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42.33937556353542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42.33937556353542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16.600000000000001</v>
      </c>
      <c r="N80" s="13">
        <f>IF('Données projet'!$A$36&gt;35,N79+M80-V79,IF(A80&lt;'Données projet'!$A$36,$K$205^A80,IF(A80='Données projet'!$A$36,'Données projet'!$B$36,N79+M80-V79)))</f>
        <v>851.2</v>
      </c>
      <c r="O80" s="13">
        <f>N80*VLOOKUP('Données projet'!$B$9,Paramètres!$A$1:$I$89,3,0)*VLOOKUP('Données projet'!$B$9,Paramètres!$A$1:$I$89,5,0)</f>
        <v>398.36160000000001</v>
      </c>
      <c r="P80" s="13">
        <f t="shared" si="87"/>
        <v>91.444425461235824</v>
      </c>
      <c r="Q80" s="20">
        <f t="shared" si="54"/>
        <v>853.07882767831904</v>
      </c>
      <c r="R80" s="59">
        <f t="shared" si="55"/>
        <v>1146.4121610116524</v>
      </c>
      <c r="S80" s="59">
        <f ca="1">AVERAGE(OFFSET($R$3,0,0,'Données projet'!$E$9+1,1))-AVERAGE(OFFSET($H$3,0,0,'Données projet'!$E$9+1,1))</f>
        <v>414.8063171894658</v>
      </c>
      <c r="T80" s="59">
        <f t="shared" si="88"/>
        <v>354.21555670988619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129.6829490843985</v>
      </c>
      <c r="AA80" s="21">
        <f>EXP(-LN(2)/25)*AA79+(1-EXP(-LN(2)/25))/(LN(2)/25)*Calculateur!V80*Calculateur!X80*VLOOKUP('Données projet'!$B$9,Paramètres!$A$1:$I$89,3,0)*0.475*44/12</f>
        <v>13.309058266729533</v>
      </c>
      <c r="AB80" s="21">
        <f>EXP(-LN(2)/2)*AB79+(1-EXP(-LN(2)/2))/(LN(2)/2)*V80*Y80*VLOOKUP('Données projet'!$B$9,Paramètres!$A$1:$I$89,3,0)*0.475*44/12</f>
        <v>6.8394723141024632E-8</v>
      </c>
      <c r="AC80" s="22">
        <f t="shared" si="57"/>
        <v>142.99200741952274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392.48436003609055</v>
      </c>
      <c r="AO80" s="59">
        <f t="shared" si="90"/>
        <v>236.3312446580419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212.10695999999984</v>
      </c>
      <c r="BF80" s="13">
        <f t="shared" si="91"/>
        <v>52.395741612408194</v>
      </c>
      <c r="BG80" s="20">
        <f t="shared" si="61"/>
        <v>460.67553864161067</v>
      </c>
      <c r="BH80" s="59">
        <f t="shared" si="62"/>
        <v>754.00887197494399</v>
      </c>
      <c r="BI80" s="59">
        <f ca="1">AVERAGE(OFFSET($BH$3,0,0,'Données projet'!$E$11+1,1))-AVERAGE(OFFSET($H$3,0,0,'Données projet'!$E$11+1,1))</f>
        <v>225.2323446080772</v>
      </c>
      <c r="BJ80" s="59">
        <f t="shared" si="92"/>
        <v>222.29030402759292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42.08520938047613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42.08520938047613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257.85551999999979</v>
      </c>
      <c r="CA80" s="13">
        <f t="shared" si="93"/>
        <v>62.265041372827518</v>
      </c>
      <c r="CB80" s="20">
        <f t="shared" si="64"/>
        <v>557.54331105767415</v>
      </c>
      <c r="CC80" s="59">
        <f t="shared" si="65"/>
        <v>850.8766443910074</v>
      </c>
      <c r="CD80" s="59">
        <f ca="1">AVERAGE(OFFSET($CC$3,0,0,'Données projet'!$E$12+1,1))-AVERAGE(OFFSET($H$3,0,0,'Données projet'!$E$12+1,1))</f>
        <v>281.84871057356037</v>
      </c>
      <c r="CE80" s="59">
        <f t="shared" si="94"/>
        <v>276.02211904126887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41.509126233203631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41.509126233203631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16.600000000000001</v>
      </c>
      <c r="N81" s="13">
        <f>IF('Données projet'!$A$36&gt;35,N80+M81-V80,IF(A81&lt;'Données projet'!$A$36,$K$205^A81,IF(A81='Données projet'!$A$36,'Données projet'!$B$36,N80+M81-V80)))</f>
        <v>867.80000000000007</v>
      </c>
      <c r="O81" s="13">
        <f>N81*VLOOKUP('Données projet'!$B$9,Paramètres!$A$1:$I$89,3,0)*VLOOKUP('Données projet'!$B$9,Paramètres!$A$1:$I$89,5,0)</f>
        <v>406.13040000000001</v>
      </c>
      <c r="P81" s="13">
        <f t="shared" si="87"/>
        <v>93.018407428716657</v>
      </c>
      <c r="Q81" s="20">
        <f t="shared" si="54"/>
        <v>869.35083960501481</v>
      </c>
      <c r="R81" s="59">
        <f t="shared" si="55"/>
        <v>1162.6841729383482</v>
      </c>
      <c r="S81" s="59">
        <f ca="1">AVERAGE(OFFSET($R$3,0,0,'Données projet'!$E$9+1,1))-AVERAGE(OFFSET($H$3,0,0,'Données projet'!$E$9+1,1))</f>
        <v>414.8063171894658</v>
      </c>
      <c r="T81" s="59">
        <f t="shared" si="88"/>
        <v>354.21555670988619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127.13994555164203</v>
      </c>
      <c r="AA81" s="21">
        <f>EXP(-LN(2)/25)*AA80+(1-EXP(-LN(2)/25))/(LN(2)/25)*Calculateur!V81*Calculateur!X81*VLOOKUP('Données projet'!$B$9,Paramètres!$A$1:$I$89,3,0)*0.475*44/12</f>
        <v>12.945121368532858</v>
      </c>
      <c r="AB81" s="21">
        <f>EXP(-LN(2)/2)*AB80+(1-EXP(-LN(2)/2))/(LN(2)/2)*V81*Y81*VLOOKUP('Données projet'!$B$9,Paramètres!$A$1:$I$89,3,0)*0.475*44/12</f>
        <v>4.8362372530395004E-8</v>
      </c>
      <c r="AC81" s="22">
        <f t="shared" si="57"/>
        <v>140.08506696853726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392.48436003609055</v>
      </c>
      <c r="AO81" s="59">
        <f t="shared" si="90"/>
        <v>236.3312446580419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214.33463999999984</v>
      </c>
      <c r="BF81" s="13">
        <f t="shared" si="91"/>
        <v>52.881684324030282</v>
      </c>
      <c r="BG81" s="20">
        <f t="shared" si="61"/>
        <v>465.40176486435234</v>
      </c>
      <c r="BH81" s="59">
        <f t="shared" si="62"/>
        <v>758.7350981976856</v>
      </c>
      <c r="BI81" s="59">
        <f ca="1">AVERAGE(OFFSET($BH$3,0,0,'Données projet'!$E$11+1,1))-AVERAGE(OFFSET($H$3,0,0,'Données projet'!$E$11+1,1))</f>
        <v>225.2323446080772</v>
      </c>
      <c r="BJ81" s="59">
        <f t="shared" si="92"/>
        <v>222.29030402759292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41.259944093968066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41.259944093968066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260.56367999999981</v>
      </c>
      <c r="CA81" s="13">
        <f t="shared" si="93"/>
        <v>62.842516604837627</v>
      </c>
      <c r="CB81" s="20">
        <f t="shared" si="64"/>
        <v>563.26579242009177</v>
      </c>
      <c r="CC81" s="59">
        <f t="shared" si="65"/>
        <v>856.59912575342514</v>
      </c>
      <c r="CD81" s="59">
        <f ca="1">AVERAGE(OFFSET($CC$3,0,0,'Données projet'!$E$12+1,1))-AVERAGE(OFFSET($H$3,0,0,'Données projet'!$E$12+1,1))</f>
        <v>281.84871057356037</v>
      </c>
      <c r="CE81" s="59">
        <f t="shared" si="94"/>
        <v>276.02211904126887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40.695157585837556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40.695157585837556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16.600000000000001</v>
      </c>
      <c r="N82" s="13">
        <f>IF('Données projet'!$A$36&gt;35,N81+M82-V81,IF(A82&lt;'Données projet'!$A$36,$K$205^A82,IF(A82='Données projet'!$A$36,'Données projet'!$B$36,N81+M82-V81)))</f>
        <v>884.40000000000009</v>
      </c>
      <c r="O82" s="13">
        <f>N82*VLOOKUP('Données projet'!$B$9,Paramètres!$A$1:$I$89,3,0)*VLOOKUP('Données projet'!$B$9,Paramètres!$A$1:$I$89,5,0)</f>
        <v>413.89920000000001</v>
      </c>
      <c r="P82" s="13">
        <f t="shared" si="87"/>
        <v>94.588888447353682</v>
      </c>
      <c r="Q82" s="20">
        <f t="shared" si="54"/>
        <v>885.61675404580762</v>
      </c>
      <c r="R82" s="59">
        <f t="shared" si="55"/>
        <v>1178.950087379141</v>
      </c>
      <c r="S82" s="59">
        <f ca="1">AVERAGE(OFFSET($R$3,0,0,'Données projet'!$E$9+1,1))-AVERAGE(OFFSET($H$3,0,0,'Données projet'!$E$9+1,1))</f>
        <v>414.8063171894658</v>
      </c>
      <c r="T82" s="59">
        <f t="shared" si="88"/>
        <v>354.21555670988619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124.64680876708391</v>
      </c>
      <c r="AA82" s="21">
        <f>EXP(-LN(2)/25)*AA81+(1-EXP(-LN(2)/25))/(LN(2)/25)*Calculateur!V82*Calculateur!X82*VLOOKUP('Données projet'!$B$9,Paramètres!$A$1:$I$89,3,0)*0.475*44/12</f>
        <v>12.591136343955981</v>
      </c>
      <c r="AB82" s="21">
        <f>EXP(-LN(2)/2)*AB81+(1-EXP(-LN(2)/2))/(LN(2)/2)*V82*Y82*VLOOKUP('Données projet'!$B$9,Paramètres!$A$1:$I$89,3,0)*0.475*44/12</f>
        <v>3.4197361570512316E-8</v>
      </c>
      <c r="AC82" s="22">
        <f t="shared" si="57"/>
        <v>137.23794514523726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392.48436003609055</v>
      </c>
      <c r="AO82" s="59">
        <f t="shared" si="90"/>
        <v>236.3312446580419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216.56231999999989</v>
      </c>
      <c r="BF82" s="13">
        <f t="shared" si="91"/>
        <v>53.367039486661959</v>
      </c>
      <c r="BG82" s="20">
        <f t="shared" si="61"/>
        <v>470.12696777260271</v>
      </c>
      <c r="BH82" s="59">
        <f t="shared" si="62"/>
        <v>763.46030110593597</v>
      </c>
      <c r="BI82" s="59">
        <f ca="1">AVERAGE(OFFSET($BH$3,0,0,'Données projet'!$E$11+1,1))-AVERAGE(OFFSET($H$3,0,0,'Données projet'!$E$11+1,1))</f>
        <v>225.2323446080772</v>
      </c>
      <c r="BJ82" s="59">
        <f t="shared" si="92"/>
        <v>222.29030402759292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40.450861756366308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40.450861756366308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263.27183999999983</v>
      </c>
      <c r="CA82" s="13">
        <f t="shared" si="93"/>
        <v>63.419293616705005</v>
      </c>
      <c r="CB82" s="20">
        <f t="shared" si="64"/>
        <v>568.9870577157609</v>
      </c>
      <c r="CC82" s="59">
        <f t="shared" si="65"/>
        <v>862.32039104909427</v>
      </c>
      <c r="CD82" s="59">
        <f ca="1">AVERAGE(OFFSET($CC$3,0,0,'Données projet'!$E$12+1,1))-AVERAGE(OFFSET($H$3,0,0,'Données projet'!$E$12+1,1))</f>
        <v>281.84871057356037</v>
      </c>
      <c r="CE82" s="59">
        <f t="shared" si="94"/>
        <v>276.02211904126887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39.897150367174483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39.897150367174483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901</v>
      </c>
      <c r="L83" s="12">
        <f>VLOOKUP(A83,'Données projet'!$A$35:$I$55,9,0)</f>
        <v>16.600000000000001</v>
      </c>
      <c r="M83" s="12">
        <f t="array" ref="M83">INDEX(L:L,MIN(IF(ISNUMBER(L83:L279),ROW(L83:L279),"")))</f>
        <v>16.600000000000001</v>
      </c>
      <c r="N83" s="13">
        <f>IF('Données projet'!$A$36&gt;35,N82+M83-V82,IF(A83&lt;'Données projet'!$A$36,$K$205^A83,IF(A83='Données projet'!$A$36,'Données projet'!$B$36,N82+M83-V82)))</f>
        <v>901.00000000000011</v>
      </c>
      <c r="O83" s="13">
        <f>N83*VLOOKUP('Données projet'!$B$9,Paramètres!$A$1:$I$89,3,0)*VLOOKUP('Données projet'!$B$9,Paramètres!$A$1:$I$89,5,0)</f>
        <v>421.66800000000001</v>
      </c>
      <c r="P83" s="13">
        <f t="shared" si="87"/>
        <v>96.15594180669585</v>
      </c>
      <c r="Q83" s="20">
        <f t="shared" si="54"/>
        <v>901.87669864666202</v>
      </c>
      <c r="R83" s="59">
        <f t="shared" si="55"/>
        <v>1195.2100319799954</v>
      </c>
      <c r="S83" s="59">
        <f ca="1">AVERAGE(OFFSET($R$3,0,0,'Données projet'!$E$9+1,1))-AVERAGE(OFFSET($H$3,0,0,'Données projet'!$E$9+1,1))</f>
        <v>414.8063171894658</v>
      </c>
      <c r="T83" s="59">
        <f t="shared" si="88"/>
        <v>354.21555670988619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48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138.59253003405431</v>
      </c>
      <c r="AA83" s="21">
        <f>EXP(-LN(2)/25)*AA82+(1-EXP(-LN(2)/25))/(LN(2)/25)*Calculateur!V83*Calculateur!X83*VLOOKUP('Données projet'!$B$9,Paramètres!$A$1:$I$89,3,0)*0.475*44/12</f>
        <v>12.246831058491422</v>
      </c>
      <c r="AB83" s="21">
        <f>EXP(-LN(2)/2)*AB82+(1-EXP(-LN(2)/2))/(LN(2)/2)*V83*Y83*VLOOKUP('Données projet'!$B$9,Paramètres!$A$1:$I$89,3,0)*0.475*44/12</f>
        <v>2.4181186265197502E-8</v>
      </c>
      <c r="AC83" s="22">
        <f t="shared" si="57"/>
        <v>150.83936111672691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392.48436003609055</v>
      </c>
      <c r="AO83" s="59">
        <f t="shared" si="90"/>
        <v>236.3312446580419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218.78999999999988</v>
      </c>
      <c r="BF83" s="13">
        <f t="shared" si="91"/>
        <v>53.851813843863468</v>
      </c>
      <c r="BG83" s="20">
        <f t="shared" si="61"/>
        <v>474.85115911139536</v>
      </c>
      <c r="BH83" s="59">
        <f t="shared" si="62"/>
        <v>768.18449244472868</v>
      </c>
      <c r="BI83" s="59">
        <f ca="1">AVERAGE(OFFSET($BH$3,0,0,'Données projet'!$E$11+1,1))-AVERAGE(OFFSET($H$3,0,0,'Données projet'!$E$11+1,1))</f>
        <v>225.2323446080772</v>
      </c>
      <c r="BJ83" s="59">
        <f t="shared" si="92"/>
        <v>222.29030402759292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43.386776901888616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43.386776901888616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265.97999999999985</v>
      </c>
      <c r="CA83" s="13">
        <f t="shared" si="93"/>
        <v>63.995380422211589</v>
      </c>
      <c r="CB83" s="20">
        <f t="shared" si="64"/>
        <v>574.70712090201823</v>
      </c>
      <c r="CC83" s="59">
        <f t="shared" si="65"/>
        <v>868.04045423535149</v>
      </c>
      <c r="CD83" s="59">
        <f ca="1">AVERAGE(OFFSET($CC$3,0,0,'Données projet'!$E$12+1,1))-AVERAGE(OFFSET($H$3,0,0,'Données projet'!$E$12+1,1))</f>
        <v>281.84871057356037</v>
      </c>
      <c r="CE83" s="59">
        <f t="shared" si="94"/>
        <v>276.02211904126887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42.792877255062933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42.792877255062933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853.00000000000011</v>
      </c>
      <c r="O84" s="13">
        <f>N84*VLOOKUP('Données projet'!$B$9,Paramètres!$A$1:$I$89,3,0)*VLOOKUP('Données projet'!$B$9,Paramètres!$A$1:$I$89,5,0)</f>
        <v>399.20400000000006</v>
      </c>
      <c r="P84" s="13">
        <f t="shared" si="87"/>
        <v>91.615269732888521</v>
      </c>
      <c r="Q84" s="20">
        <f t="shared" si="54"/>
        <v>854.8435614514475</v>
      </c>
      <c r="R84" s="59">
        <f t="shared" si="55"/>
        <v>1148.1768947847809</v>
      </c>
      <c r="S84" s="59">
        <f ca="1">AVERAGE(OFFSET($R$3,0,0,'Données projet'!$E$9+1,1))-AVERAGE(OFFSET($H$3,0,0,'Données projet'!$E$9+1,1))</f>
        <v>414.8063171894658</v>
      </c>
      <c r="T84" s="59">
        <f t="shared" si="88"/>
        <v>354.21555670988619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135.87481505318289</v>
      </c>
      <c r="AA84" s="21">
        <f>EXP(-LN(2)/25)*AA83+(1-EXP(-LN(2)/25))/(LN(2)/25)*Calculateur!V84*Calculateur!X84*VLOOKUP('Données projet'!$B$9,Paramètres!$A$1:$I$89,3,0)*0.475*44/12</f>
        <v>11.911940819164119</v>
      </c>
      <c r="AB84" s="21">
        <f>EXP(-LN(2)/2)*AB83+(1-EXP(-LN(2)/2))/(LN(2)/2)*V84*Y84*VLOOKUP('Données projet'!$B$9,Paramètres!$A$1:$I$89,3,0)*0.475*44/12</f>
        <v>1.7098680785256158E-8</v>
      </c>
      <c r="AC84" s="22">
        <f t="shared" si="57"/>
        <v>147.78675588944569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392.48436003609055</v>
      </c>
      <c r="AO84" s="59">
        <f t="shared" si="90"/>
        <v>236.3312446580419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212.42519999999985</v>
      </c>
      <c r="BF84" s="13">
        <f t="shared" si="91"/>
        <v>52.465198231787184</v>
      </c>
      <c r="BG84" s="20">
        <f t="shared" si="61"/>
        <v>461.35077692036231</v>
      </c>
      <c r="BH84" s="59">
        <f t="shared" si="62"/>
        <v>754.68411025369562</v>
      </c>
      <c r="BI84" s="59">
        <f ca="1">AVERAGE(OFFSET($BH$3,0,0,'Données projet'!$E$11+1,1))-AVERAGE(OFFSET($H$3,0,0,'Données projet'!$E$11+1,1))</f>
        <v>225.2323446080772</v>
      </c>
      <c r="BJ84" s="59">
        <f t="shared" si="92"/>
        <v>222.29030402759292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42.535988670163455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42.535988670163455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258.24239999999986</v>
      </c>
      <c r="CA84" s="13">
        <f t="shared" si="93"/>
        <v>62.347580891234152</v>
      </c>
      <c r="CB84" s="20">
        <f t="shared" si="64"/>
        <v>558.3608833855659</v>
      </c>
      <c r="CC84" s="59">
        <f t="shared" si="65"/>
        <v>851.69421671889927</v>
      </c>
      <c r="CD84" s="59">
        <f ca="1">AVERAGE(OFFSET($CC$3,0,0,'Données projet'!$E$12+1,1))-AVERAGE(OFFSET($H$3,0,0,'Données projet'!$E$12+1,1))</f>
        <v>281.84871057356037</v>
      </c>
      <c r="CE84" s="59">
        <f t="shared" si="94"/>
        <v>276.02211904126887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41.953735033169011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41.953735033169011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853.00000000000011</v>
      </c>
      <c r="O85" s="13">
        <f>N85*VLOOKUP('Données projet'!$B$9,Paramètres!$A$1:$I$89,3,0)*VLOOKUP('Données projet'!$B$9,Paramètres!$A$1:$I$89,5,0)</f>
        <v>399.20400000000006</v>
      </c>
      <c r="P85" s="13">
        <f t="shared" si="87"/>
        <v>91.615269732888521</v>
      </c>
      <c r="Q85" s="20">
        <f t="shared" si="54"/>
        <v>854.8435614514475</v>
      </c>
      <c r="R85" s="59">
        <f t="shared" si="55"/>
        <v>1148.1768947847809</v>
      </c>
      <c r="S85" s="59">
        <f ca="1">AVERAGE(OFFSET($R$3,0,0,'Données projet'!$E$9+1,1))-AVERAGE(OFFSET($H$3,0,0,'Données projet'!$E$9+1,1))</f>
        <v>414.8063171894658</v>
      </c>
      <c r="T85" s="59">
        <f t="shared" si="88"/>
        <v>354.21555670988619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133.21039280544389</v>
      </c>
      <c r="AA85" s="21">
        <f>EXP(-LN(2)/25)*AA84+(1-EXP(-LN(2)/25))/(LN(2)/25)*Calculateur!V85*Calculateur!X85*VLOOKUP('Données projet'!$B$9,Paramètres!$A$1:$I$89,3,0)*0.475*44/12</f>
        <v>11.586208171042333</v>
      </c>
      <c r="AB85" s="21">
        <f>EXP(-LN(2)/2)*AB84+(1-EXP(-LN(2)/2))/(LN(2)/2)*V85*Y85*VLOOKUP('Données projet'!$B$9,Paramètres!$A$1:$I$89,3,0)*0.475*44/12</f>
        <v>1.2090593132598751E-8</v>
      </c>
      <c r="AC85" s="22">
        <f t="shared" si="57"/>
        <v>144.79660098857681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392.48436003609055</v>
      </c>
      <c r="AO85" s="59">
        <f t="shared" si="90"/>
        <v>236.3312446580419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212.42519999999985</v>
      </c>
      <c r="BF85" s="13">
        <f t="shared" si="91"/>
        <v>52.465198231787184</v>
      </c>
      <c r="BG85" s="20">
        <f t="shared" si="61"/>
        <v>461.35077692036231</v>
      </c>
      <c r="BH85" s="59">
        <f t="shared" si="62"/>
        <v>754.68411025369562</v>
      </c>
      <c r="BI85" s="59">
        <f ca="1">AVERAGE(OFFSET($BH$3,0,0,'Données projet'!$E$11+1,1))-AVERAGE(OFFSET($H$3,0,0,'Données projet'!$E$11+1,1))</f>
        <v>225.2323446080772</v>
      </c>
      <c r="BJ85" s="59">
        <f t="shared" si="92"/>
        <v>222.29030402759292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41.701883876732843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41.701883876732843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258.24239999999986</v>
      </c>
      <c r="CA85" s="13">
        <f t="shared" si="93"/>
        <v>62.347580891234152</v>
      </c>
      <c r="CB85" s="20">
        <f t="shared" si="64"/>
        <v>558.3608833855659</v>
      </c>
      <c r="CC85" s="59">
        <f t="shared" si="65"/>
        <v>851.69421671889927</v>
      </c>
      <c r="CD85" s="59">
        <f ca="1">AVERAGE(OFFSET($CC$3,0,0,'Données projet'!$E$12+1,1))-AVERAGE(OFFSET($H$3,0,0,'Données projet'!$E$12+1,1))</f>
        <v>281.84871057356037</v>
      </c>
      <c r="CE85" s="59">
        <f t="shared" si="94"/>
        <v>276.02211904126887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41.131047878420205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41.131047878420205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853.00000000000011</v>
      </c>
      <c r="O86" s="13">
        <f>N86*VLOOKUP('Données projet'!$B$9,Paramètres!$A$1:$I$89,3,0)*VLOOKUP('Données projet'!$B$9,Paramètres!$A$1:$I$89,5,0)</f>
        <v>399.20400000000006</v>
      </c>
      <c r="P86" s="13">
        <f t="shared" si="87"/>
        <v>91.615269732888521</v>
      </c>
      <c r="Q86" s="20">
        <f t="shared" si="54"/>
        <v>854.8435614514475</v>
      </c>
      <c r="R86" s="59">
        <f t="shared" si="55"/>
        <v>1148.1768947847809</v>
      </c>
      <c r="S86" s="59">
        <f ca="1">AVERAGE(OFFSET($R$3,0,0,'Données projet'!$E$9+1,1))-AVERAGE(OFFSET($H$3,0,0,'Données projet'!$E$9+1,1))</f>
        <v>414.8063171894658</v>
      </c>
      <c r="T86" s="59">
        <f t="shared" si="88"/>
        <v>354.21555670988619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130.59821825284595</v>
      </c>
      <c r="AA86" s="21">
        <f>EXP(-LN(2)/25)*AA85+(1-EXP(-LN(2)/25))/(LN(2)/25)*Calculateur!V86*Calculateur!X86*VLOOKUP('Données projet'!$B$9,Paramètres!$A$1:$I$89,3,0)*0.475*44/12</f>
        <v>11.269382699312974</v>
      </c>
      <c r="AB86" s="21">
        <f>EXP(-LN(2)/2)*AB85+(1-EXP(-LN(2)/2))/(LN(2)/2)*V86*Y86*VLOOKUP('Données projet'!$B$9,Paramètres!$A$1:$I$89,3,0)*0.475*44/12</f>
        <v>8.549340392628079E-9</v>
      </c>
      <c r="AC86" s="22">
        <f t="shared" si="57"/>
        <v>141.86760096070827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392.48436003609055</v>
      </c>
      <c r="AO86" s="59">
        <f t="shared" si="90"/>
        <v>236.3312446580419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212.42519999999985</v>
      </c>
      <c r="BF86" s="13">
        <f t="shared" si="91"/>
        <v>52.465198231787184</v>
      </c>
      <c r="BG86" s="20">
        <f t="shared" si="61"/>
        <v>461.35077692036231</v>
      </c>
      <c r="BH86" s="59">
        <f t="shared" si="62"/>
        <v>754.68411025369562</v>
      </c>
      <c r="BI86" s="59">
        <f ca="1">AVERAGE(OFFSET($BH$3,0,0,'Données projet'!$E$11+1,1))-AVERAGE(OFFSET($H$3,0,0,'Données projet'!$E$11+1,1))</f>
        <v>225.2323446080772</v>
      </c>
      <c r="BJ86" s="59">
        <f t="shared" si="92"/>
        <v>222.29030402759292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40.884135369547714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40.884135369547714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258.24239999999986</v>
      </c>
      <c r="CA86" s="13">
        <f t="shared" si="93"/>
        <v>62.347580891234152</v>
      </c>
      <c r="CB86" s="20">
        <f t="shared" si="64"/>
        <v>558.3608833855659</v>
      </c>
      <c r="CC86" s="59">
        <f t="shared" si="65"/>
        <v>851.69421671889927</v>
      </c>
      <c r="CD86" s="59">
        <f ca="1">AVERAGE(OFFSET($CC$3,0,0,'Données projet'!$E$12+1,1))-AVERAGE(OFFSET($H$3,0,0,'Données projet'!$E$12+1,1))</f>
        <v>281.84871057356037</v>
      </c>
      <c r="CE86" s="59">
        <f t="shared" si="94"/>
        <v>276.02211904126887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40.32449311698641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40.32449311698641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853.00000000000011</v>
      </c>
      <c r="O87" s="13">
        <f>N87*VLOOKUP('Données projet'!$B$9,Paramètres!$A$1:$I$89,3,0)*VLOOKUP('Données projet'!$B$9,Paramètres!$A$1:$I$89,5,0)</f>
        <v>399.20400000000006</v>
      </c>
      <c r="P87" s="13">
        <f t="shared" si="87"/>
        <v>91.615269732888521</v>
      </c>
      <c r="Q87" s="20">
        <f t="shared" si="54"/>
        <v>854.8435614514475</v>
      </c>
      <c r="R87" s="59">
        <f t="shared" si="55"/>
        <v>1148.1768947847809</v>
      </c>
      <c r="S87" s="59">
        <f ca="1">AVERAGE(OFFSET($R$3,0,0,'Données projet'!$E$9+1,1))-AVERAGE(OFFSET($H$3,0,0,'Données projet'!$E$9+1,1))</f>
        <v>414.8063171894658</v>
      </c>
      <c r="T87" s="59">
        <f t="shared" si="88"/>
        <v>354.21555670988619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128.0372668499553</v>
      </c>
      <c r="AA87" s="21">
        <f>EXP(-LN(2)/25)*AA86+(1-EXP(-LN(2)/25))/(LN(2)/25)*Calculateur!V87*Calculateur!X87*VLOOKUP('Données projet'!$B$9,Paramètres!$A$1:$I$89,3,0)*0.475*44/12</f>
        <v>10.961220836769181</v>
      </c>
      <c r="AB87" s="21">
        <f>EXP(-LN(2)/2)*AB86+(1-EXP(-LN(2)/2))/(LN(2)/2)*V87*Y87*VLOOKUP('Données projet'!$B$9,Paramètres!$A$1:$I$89,3,0)*0.475*44/12</f>
        <v>6.0452965662993755E-9</v>
      </c>
      <c r="AC87" s="22">
        <f t="shared" si="57"/>
        <v>138.99848769276977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392.48436003609055</v>
      </c>
      <c r="AO87" s="59">
        <f t="shared" si="90"/>
        <v>236.3312446580419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212.42519999999985</v>
      </c>
      <c r="BF87" s="13">
        <f t="shared" si="91"/>
        <v>52.465198231787184</v>
      </c>
      <c r="BG87" s="20">
        <f t="shared" si="61"/>
        <v>461.35077692036231</v>
      </c>
      <c r="BH87" s="59">
        <f t="shared" si="62"/>
        <v>754.68411025369562</v>
      </c>
      <c r="BI87" s="59">
        <f ca="1">AVERAGE(OFFSET($BH$3,0,0,'Données projet'!$E$11+1,1))-AVERAGE(OFFSET($H$3,0,0,'Données projet'!$E$11+1,1))</f>
        <v>225.2323446080772</v>
      </c>
      <c r="BJ87" s="59">
        <f t="shared" si="92"/>
        <v>222.29030402759292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40.082422411811152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40.082422411811152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258.24239999999986</v>
      </c>
      <c r="CA87" s="13">
        <f t="shared" si="93"/>
        <v>62.347580891234152</v>
      </c>
      <c r="CB87" s="20">
        <f t="shared" si="64"/>
        <v>558.3608833855659</v>
      </c>
      <c r="CC87" s="59">
        <f t="shared" si="65"/>
        <v>851.69421671889927</v>
      </c>
      <c r="CD87" s="59">
        <f ca="1">AVERAGE(OFFSET($CC$3,0,0,'Données projet'!$E$12+1,1))-AVERAGE(OFFSET($H$3,0,0,'Données projet'!$E$12+1,1))</f>
        <v>281.84871057356037</v>
      </c>
      <c r="CE87" s="59">
        <f t="shared" si="94"/>
        <v>276.02211904126887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39.5337544024745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39.5337544024745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853.00000000000011</v>
      </c>
      <c r="O88" s="13">
        <f>N88*VLOOKUP('Données projet'!$B$9,Paramètres!$A$1:$I$89,3,0)*VLOOKUP('Données projet'!$B$9,Paramètres!$A$1:$I$89,5,0)</f>
        <v>399.20400000000006</v>
      </c>
      <c r="P88" s="13">
        <f t="shared" si="87"/>
        <v>91.615269732888521</v>
      </c>
      <c r="Q88" s="20">
        <f t="shared" si="54"/>
        <v>854.8435614514475</v>
      </c>
      <c r="R88" s="59">
        <f t="shared" si="55"/>
        <v>1148.1768947847809</v>
      </c>
      <c r="S88" s="59">
        <f ca="1">AVERAGE(OFFSET($R$3,0,0,'Données projet'!$E$9+1,1))-AVERAGE(OFFSET($H$3,0,0,'Données projet'!$E$9+1,1))</f>
        <v>414.8063171894658</v>
      </c>
      <c r="T88" s="59">
        <f t="shared" si="88"/>
        <v>354.21555670988619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125.52653414204921</v>
      </c>
      <c r="AA88" s="21">
        <f>EXP(-LN(2)/25)*AA87+(1-EXP(-LN(2)/25))/(LN(2)/25)*Calculateur!V88*Calculateur!X88*VLOOKUP('Données projet'!$B$9,Paramètres!$A$1:$I$89,3,0)*0.475*44/12</f>
        <v>10.661485676562176</v>
      </c>
      <c r="AB88" s="21">
        <f>EXP(-LN(2)/2)*AB87+(1-EXP(-LN(2)/2))/(LN(2)/2)*V88*Y88*VLOOKUP('Données projet'!$B$9,Paramètres!$A$1:$I$89,3,0)*0.475*44/12</f>
        <v>4.2746701963140395E-9</v>
      </c>
      <c r="AC88" s="22">
        <f t="shared" si="57"/>
        <v>136.18801982288608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392.48436003609055</v>
      </c>
      <c r="AO88" s="59">
        <f t="shared" si="90"/>
        <v>236.3312446580419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212.42519999999985</v>
      </c>
      <c r="BF88" s="13">
        <f t="shared" si="91"/>
        <v>52.465198231787184</v>
      </c>
      <c r="BG88" s="20">
        <f t="shared" si="61"/>
        <v>461.35077692036231</v>
      </c>
      <c r="BH88" s="59">
        <f t="shared" si="62"/>
        <v>754.68411025369562</v>
      </c>
      <c r="BI88" s="59">
        <f ca="1">AVERAGE(OFFSET($BH$3,0,0,'Données projet'!$E$11+1,1))-AVERAGE(OFFSET($H$3,0,0,'Données projet'!$E$11+1,1))</f>
        <v>225.2323446080772</v>
      </c>
      <c r="BJ88" s="59">
        <f t="shared" si="92"/>
        <v>222.29030402759292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39.296430556179182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39.296430556179182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258.24239999999986</v>
      </c>
      <c r="CA88" s="13">
        <f t="shared" si="93"/>
        <v>62.347580891234152</v>
      </c>
      <c r="CB88" s="20">
        <f t="shared" si="64"/>
        <v>558.3608833855659</v>
      </c>
      <c r="CC88" s="59">
        <f t="shared" si="65"/>
        <v>851.69421671889927</v>
      </c>
      <c r="CD88" s="59">
        <f ca="1">AVERAGE(OFFSET($CC$3,0,0,'Données projet'!$E$12+1,1))-AVERAGE(OFFSET($H$3,0,0,'Données projet'!$E$12+1,1))</f>
        <v>281.84871057356037</v>
      </c>
      <c r="CE88" s="59">
        <f t="shared" si="94"/>
        <v>276.02211904126887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38.758521591851178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38.758521591851178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853.00000000000011</v>
      </c>
      <c r="O89" s="13">
        <f>N89*VLOOKUP('Données projet'!$B$9,Paramètres!$A$1:$I$89,3,0)*VLOOKUP('Données projet'!$B$9,Paramètres!$A$1:$I$89,5,0)</f>
        <v>399.20400000000006</v>
      </c>
      <c r="P89" s="13">
        <f t="shared" si="87"/>
        <v>91.615269732888521</v>
      </c>
      <c r="Q89" s="20">
        <f t="shared" si="54"/>
        <v>854.8435614514475</v>
      </c>
      <c r="R89" s="59">
        <f t="shared" si="55"/>
        <v>1148.1768947847809</v>
      </c>
      <c r="S89" s="59">
        <f ca="1">AVERAGE(OFFSET($R$3,0,0,'Données projet'!$E$9+1,1))-AVERAGE(OFFSET($H$3,0,0,'Données projet'!$E$9+1,1))</f>
        <v>414.8063171894658</v>
      </c>
      <c r="T89" s="59">
        <f t="shared" si="88"/>
        <v>354.21555670988619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123.06503537114942</v>
      </c>
      <c r="AA89" s="21">
        <f>EXP(-LN(2)/25)*AA88+(1-EXP(-LN(2)/25))/(LN(2)/25)*Calculateur!V89*Calculateur!X89*VLOOKUP('Données projet'!$B$9,Paramètres!$A$1:$I$89,3,0)*0.475*44/12</f>
        <v>10.369946790073419</v>
      </c>
      <c r="AB89" s="21">
        <f>EXP(-LN(2)/2)*AB88+(1-EXP(-LN(2)/2))/(LN(2)/2)*V89*Y89*VLOOKUP('Données projet'!$B$9,Paramètres!$A$1:$I$89,3,0)*0.475*44/12</f>
        <v>3.0226482831496878E-9</v>
      </c>
      <c r="AC89" s="22">
        <f t="shared" si="57"/>
        <v>133.4349821642455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392.48436003609055</v>
      </c>
      <c r="AO89" s="59">
        <f t="shared" si="90"/>
        <v>236.3312446580419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212.42519999999985</v>
      </c>
      <c r="BF89" s="13">
        <f t="shared" si="91"/>
        <v>52.465198231787184</v>
      </c>
      <c r="BG89" s="20">
        <f t="shared" si="61"/>
        <v>461.35077692036231</v>
      </c>
      <c r="BH89" s="59">
        <f t="shared" si="62"/>
        <v>754.68411025369562</v>
      </c>
      <c r="BI89" s="59">
        <f ca="1">AVERAGE(OFFSET($BH$3,0,0,'Données projet'!$E$11+1,1))-AVERAGE(OFFSET($H$3,0,0,'Données projet'!$E$11+1,1))</f>
        <v>225.2323446080772</v>
      </c>
      <c r="BJ89" s="59">
        <f t="shared" si="92"/>
        <v>222.29030402759292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38.525851521428457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38.525851521428457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258.24239999999986</v>
      </c>
      <c r="CA89" s="13">
        <f t="shared" si="93"/>
        <v>62.347580891234152</v>
      </c>
      <c r="CB89" s="20">
        <f t="shared" si="64"/>
        <v>558.3608833855659</v>
      </c>
      <c r="CC89" s="59">
        <f t="shared" si="65"/>
        <v>851.69421671889927</v>
      </c>
      <c r="CD89" s="59">
        <f ca="1">AVERAGE(OFFSET($CC$3,0,0,'Données projet'!$E$12+1,1))-AVERAGE(OFFSET($H$3,0,0,'Données projet'!$E$12+1,1))</f>
        <v>281.84871057356037</v>
      </c>
      <c r="CE89" s="59">
        <f t="shared" si="94"/>
        <v>276.02211904126887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37.998490623798858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37.998490623798858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853.00000000000011</v>
      </c>
      <c r="O90" s="13">
        <f>N90*VLOOKUP('Données projet'!$B$9,Paramètres!$A$1:$I$89,3,0)*VLOOKUP('Données projet'!$B$9,Paramètres!$A$1:$I$89,5,0)</f>
        <v>399.20400000000006</v>
      </c>
      <c r="P90" s="13">
        <f t="shared" si="87"/>
        <v>91.615269732888521</v>
      </c>
      <c r="Q90" s="20">
        <f t="shared" si="54"/>
        <v>854.8435614514475</v>
      </c>
      <c r="R90" s="59">
        <f t="shared" si="55"/>
        <v>1148.1768947847809</v>
      </c>
      <c r="S90" s="59">
        <f ca="1">AVERAGE(OFFSET($R$3,0,0,'Données projet'!$E$9+1,1))-AVERAGE(OFFSET($H$3,0,0,'Données projet'!$E$9+1,1))</f>
        <v>414.8063171894658</v>
      </c>
      <c r="T90" s="59">
        <f t="shared" si="88"/>
        <v>354.21555670988619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120.65180508978098</v>
      </c>
      <c r="AA90" s="21">
        <f>EXP(-LN(2)/25)*AA89+(1-EXP(-LN(2)/25))/(LN(2)/25)*Calculateur!V90*Calculateur!X90*VLOOKUP('Données projet'!$B$9,Paramètres!$A$1:$I$89,3,0)*0.475*44/12</f>
        <v>10.08638004976706</v>
      </c>
      <c r="AB90" s="21">
        <f>EXP(-LN(2)/2)*AB89+(1-EXP(-LN(2)/2))/(LN(2)/2)*V90*Y90*VLOOKUP('Données projet'!$B$9,Paramètres!$A$1:$I$89,3,0)*0.475*44/12</f>
        <v>2.1373350981570198E-9</v>
      </c>
      <c r="AC90" s="22">
        <f t="shared" si="57"/>
        <v>130.73818514168539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392.48436003609055</v>
      </c>
      <c r="AO90" s="59">
        <f t="shared" si="90"/>
        <v>236.3312446580419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212.42519999999985</v>
      </c>
      <c r="BF90" s="13">
        <f t="shared" si="91"/>
        <v>52.465198231787184</v>
      </c>
      <c r="BG90" s="20">
        <f t="shared" si="61"/>
        <v>461.35077692036231</v>
      </c>
      <c r="BH90" s="59">
        <f t="shared" si="62"/>
        <v>754.68411025369562</v>
      </c>
      <c r="BI90" s="59">
        <f ca="1">AVERAGE(OFFSET($BH$3,0,0,'Données projet'!$E$11+1,1))-AVERAGE(OFFSET($H$3,0,0,'Données projet'!$E$11+1,1))</f>
        <v>225.2323446080772</v>
      </c>
      <c r="BJ90" s="59">
        <f t="shared" si="92"/>
        <v>222.29030402759292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37.77038307154239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37.77038307154239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258.24239999999986</v>
      </c>
      <c r="CA90" s="13">
        <f t="shared" si="93"/>
        <v>62.347580891234152</v>
      </c>
      <c r="CB90" s="20">
        <f t="shared" si="64"/>
        <v>558.3608833855659</v>
      </c>
      <c r="CC90" s="59">
        <f t="shared" si="65"/>
        <v>851.69421671889927</v>
      </c>
      <c r="CD90" s="59">
        <f ca="1">AVERAGE(OFFSET($CC$3,0,0,'Données projet'!$E$12+1,1))-AVERAGE(OFFSET($H$3,0,0,'Données projet'!$E$12+1,1))</f>
        <v>281.84871057356037</v>
      </c>
      <c r="CE90" s="59">
        <f t="shared" si="94"/>
        <v>276.02211904126887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37.253363399456923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37.253363399456923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853.00000000000011</v>
      </c>
      <c r="O91" s="13">
        <f>N91*VLOOKUP('Données projet'!$B$9,Paramètres!$A$1:$I$89,3,0)*VLOOKUP('Données projet'!$B$9,Paramètres!$A$1:$I$89,5,0)</f>
        <v>399.20400000000006</v>
      </c>
      <c r="P91" s="13">
        <f t="shared" si="87"/>
        <v>91.615269732888521</v>
      </c>
      <c r="Q91" s="20">
        <f t="shared" si="54"/>
        <v>854.8435614514475</v>
      </c>
      <c r="R91" s="59">
        <f t="shared" si="55"/>
        <v>1148.1768947847809</v>
      </c>
      <c r="S91" s="59">
        <f ca="1">AVERAGE(OFFSET($R$3,0,0,'Données projet'!$E$9+1,1))-AVERAGE(OFFSET($H$3,0,0,'Données projet'!$E$9+1,1))</f>
        <v>414.8063171894658</v>
      </c>
      <c r="T91" s="59">
        <f t="shared" si="88"/>
        <v>354.21555670988619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118.28589678230503</v>
      </c>
      <c r="AA91" s="21">
        <f>EXP(-LN(2)/25)*AA90+(1-EXP(-LN(2)/25))/(LN(2)/25)*Calculateur!V91*Calculateur!X91*VLOOKUP('Données projet'!$B$9,Paramètres!$A$1:$I$89,3,0)*0.475*44/12</f>
        <v>9.8105674568865062</v>
      </c>
      <c r="AB91" s="21">
        <f>EXP(-LN(2)/2)*AB90+(1-EXP(-LN(2)/2))/(LN(2)/2)*V91*Y91*VLOOKUP('Données projet'!$B$9,Paramètres!$A$1:$I$89,3,0)*0.475*44/12</f>
        <v>1.5113241415748439E-9</v>
      </c>
      <c r="AC91" s="22">
        <f t="shared" si="57"/>
        <v>128.09646424070286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392.48436003609055</v>
      </c>
      <c r="AO91" s="59">
        <f t="shared" si="90"/>
        <v>236.3312446580419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212.42519999999985</v>
      </c>
      <c r="BF91" s="13">
        <f t="shared" si="91"/>
        <v>52.465198231787184</v>
      </c>
      <c r="BG91" s="20">
        <f t="shared" si="61"/>
        <v>461.35077692036231</v>
      </c>
      <c r="BH91" s="59">
        <f t="shared" si="62"/>
        <v>754.68411025369562</v>
      </c>
      <c r="BI91" s="59">
        <f ca="1">AVERAGE(OFFSET($BH$3,0,0,'Données projet'!$E$11+1,1))-AVERAGE(OFFSET($H$3,0,0,'Données projet'!$E$11+1,1))</f>
        <v>225.2323446080772</v>
      </c>
      <c r="BJ91" s="59">
        <f t="shared" si="92"/>
        <v>222.29030402759292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37.02972889716834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37.02972889716834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258.24239999999986</v>
      </c>
      <c r="CA91" s="13">
        <f t="shared" si="93"/>
        <v>62.347580891234152</v>
      </c>
      <c r="CB91" s="20">
        <f t="shared" si="64"/>
        <v>558.3608833855659</v>
      </c>
      <c r="CC91" s="59">
        <f t="shared" si="65"/>
        <v>851.69421671889927</v>
      </c>
      <c r="CD91" s="59">
        <f ca="1">AVERAGE(OFFSET($CC$3,0,0,'Données projet'!$E$12+1,1))-AVERAGE(OFFSET($H$3,0,0,'Données projet'!$E$12+1,1))</f>
        <v>281.84871057356037</v>
      </c>
      <c r="CE91" s="59">
        <f t="shared" si="94"/>
        <v>276.02211904126887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36.522847665501608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36.522847665501608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853.00000000000011</v>
      </c>
      <c r="O92" s="13">
        <f>N92*VLOOKUP('Données projet'!$B$9,Paramètres!$A$1:$I$89,3,0)*VLOOKUP('Données projet'!$B$9,Paramètres!$A$1:$I$89,5,0)</f>
        <v>399.20400000000006</v>
      </c>
      <c r="P92" s="13">
        <f t="shared" si="87"/>
        <v>91.615269732888521</v>
      </c>
      <c r="Q92" s="20">
        <f t="shared" si="54"/>
        <v>854.8435614514475</v>
      </c>
      <c r="R92" s="59">
        <f t="shared" si="55"/>
        <v>1148.1768947847809</v>
      </c>
      <c r="S92" s="59">
        <f ca="1">AVERAGE(OFFSET($R$3,0,0,'Données projet'!$E$9+1,1))-AVERAGE(OFFSET($H$3,0,0,'Données projet'!$E$9+1,1))</f>
        <v>414.8063171894658</v>
      </c>
      <c r="T92" s="59">
        <f t="shared" si="88"/>
        <v>354.21555670988619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115.96638249367712</v>
      </c>
      <c r="AA92" s="21">
        <f>EXP(-LN(2)/25)*AA91+(1-EXP(-LN(2)/25))/(LN(2)/25)*Calculateur!V92*Calculateur!X92*VLOOKUP('Données projet'!$B$9,Paramètres!$A$1:$I$89,3,0)*0.475*44/12</f>
        <v>9.5422969738626247</v>
      </c>
      <c r="AB92" s="21">
        <f>EXP(-LN(2)/2)*AB91+(1-EXP(-LN(2)/2))/(LN(2)/2)*V92*Y92*VLOOKUP('Données projet'!$B$9,Paramètres!$A$1:$I$89,3,0)*0.475*44/12</f>
        <v>1.0686675490785099E-9</v>
      </c>
      <c r="AC92" s="22">
        <f t="shared" si="57"/>
        <v>125.50867946860841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392.48436003609055</v>
      </c>
      <c r="AO92" s="59">
        <f t="shared" si="90"/>
        <v>236.3312446580419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212.42519999999985</v>
      </c>
      <c r="BF92" s="13">
        <f t="shared" si="91"/>
        <v>52.465198231787184</v>
      </c>
      <c r="BG92" s="20">
        <f t="shared" si="61"/>
        <v>461.35077692036231</v>
      </c>
      <c r="BH92" s="59">
        <f t="shared" si="62"/>
        <v>754.68411025369562</v>
      </c>
      <c r="BI92" s="59">
        <f ca="1">AVERAGE(OFFSET($BH$3,0,0,'Données projet'!$E$11+1,1))-AVERAGE(OFFSET($H$3,0,0,'Données projet'!$E$11+1,1))</f>
        <v>225.2323446080772</v>
      </c>
      <c r="BJ92" s="59">
        <f t="shared" si="92"/>
        <v>222.29030402759292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36.303598499399321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36.303598499399321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258.24239999999986</v>
      </c>
      <c r="CA92" s="13">
        <f t="shared" si="93"/>
        <v>62.347580891234152</v>
      </c>
      <c r="CB92" s="20">
        <f t="shared" si="64"/>
        <v>558.3608833855659</v>
      </c>
      <c r="CC92" s="59">
        <f t="shared" si="65"/>
        <v>851.69421671889927</v>
      </c>
      <c r="CD92" s="59">
        <f ca="1">AVERAGE(OFFSET($CC$3,0,0,'Données projet'!$E$12+1,1))-AVERAGE(OFFSET($H$3,0,0,'Données projet'!$E$12+1,1))</f>
        <v>281.84871057356037</v>
      </c>
      <c r="CE92" s="59">
        <f t="shared" si="94"/>
        <v>276.02211904126887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35.806656899518551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35.806656899518551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853.00000000000011</v>
      </c>
      <c r="O93" s="13">
        <f>N93*VLOOKUP('Données projet'!$B$9,Paramètres!$A$1:$I$89,3,0)*VLOOKUP('Données projet'!$B$9,Paramètres!$A$1:$I$89,5,0)</f>
        <v>399.20400000000006</v>
      </c>
      <c r="P93" s="13">
        <f t="shared" si="87"/>
        <v>91.615269732888521</v>
      </c>
      <c r="Q93" s="20">
        <f t="shared" si="54"/>
        <v>854.8435614514475</v>
      </c>
      <c r="R93" s="59">
        <f t="shared" si="55"/>
        <v>1148.1768947847809</v>
      </c>
      <c r="S93" s="59">
        <f ca="1">AVERAGE(OFFSET($R$3,0,0,'Données projet'!$E$9+1,1))-AVERAGE(OFFSET($H$3,0,0,'Données projet'!$E$9+1,1))</f>
        <v>414.8063171894658</v>
      </c>
      <c r="T93" s="59">
        <f t="shared" si="88"/>
        <v>354.21555670988619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113.69235246548517</v>
      </c>
      <c r="AA93" s="21">
        <f>EXP(-LN(2)/25)*AA92+(1-EXP(-LN(2)/25))/(LN(2)/25)*Calculateur!V93*Calculateur!X93*VLOOKUP('Données projet'!$B$9,Paramètres!$A$1:$I$89,3,0)*0.475*44/12</f>
        <v>9.2813623613047618</v>
      </c>
      <c r="AB93" s="21">
        <f>EXP(-LN(2)/2)*AB92+(1-EXP(-LN(2)/2))/(LN(2)/2)*V93*Y93*VLOOKUP('Données projet'!$B$9,Paramètres!$A$1:$I$89,3,0)*0.475*44/12</f>
        <v>7.5566207078742194E-10</v>
      </c>
      <c r="AC93" s="22">
        <f t="shared" si="57"/>
        <v>122.97371482754559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392.48436003609055</v>
      </c>
      <c r="AO93" s="59">
        <f t="shared" si="90"/>
        <v>236.3312446580419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212.42519999999985</v>
      </c>
      <c r="BF93" s="13">
        <f t="shared" si="91"/>
        <v>52.465198231787184</v>
      </c>
      <c r="BG93" s="20">
        <f t="shared" si="61"/>
        <v>461.35077692036231</v>
      </c>
      <c r="BH93" s="59">
        <f t="shared" si="62"/>
        <v>754.68411025369562</v>
      </c>
      <c r="BI93" s="59">
        <f ca="1">AVERAGE(OFFSET($BH$3,0,0,'Données projet'!$E$11+1,1))-AVERAGE(OFFSET($H$3,0,0,'Données projet'!$E$11+1,1))</f>
        <v>225.2323446080772</v>
      </c>
      <c r="BJ93" s="59">
        <f t="shared" si="92"/>
        <v>222.29030402759292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35.591707075834748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35.591707075834748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258.24239999999986</v>
      </c>
      <c r="CA93" s="13">
        <f t="shared" si="93"/>
        <v>62.347580891234152</v>
      </c>
      <c r="CB93" s="20">
        <f t="shared" si="64"/>
        <v>558.3608833855659</v>
      </c>
      <c r="CC93" s="59">
        <f t="shared" si="65"/>
        <v>851.69421671889927</v>
      </c>
      <c r="CD93" s="59">
        <f ca="1">AVERAGE(OFFSET($CC$3,0,0,'Données projet'!$E$12+1,1))-AVERAGE(OFFSET($H$3,0,0,'Données projet'!$E$12+1,1))</f>
        <v>281.84871057356037</v>
      </c>
      <c r="CE93" s="59">
        <f t="shared" si="94"/>
        <v>276.02211904126887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35.104510197623192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35.104510197623192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853.00000000000011</v>
      </c>
      <c r="O94" s="13">
        <f>N94*VLOOKUP('Données projet'!$B$9,Paramètres!$A$1:$I$89,3,0)*VLOOKUP('Données projet'!$B$9,Paramètres!$A$1:$I$89,5,0)</f>
        <v>399.20400000000006</v>
      </c>
      <c r="P94" s="13">
        <f t="shared" si="87"/>
        <v>91.615269732888521</v>
      </c>
      <c r="Q94" s="20">
        <f t="shared" si="54"/>
        <v>854.8435614514475</v>
      </c>
      <c r="R94" s="59">
        <f t="shared" si="55"/>
        <v>1148.1768947847809</v>
      </c>
      <c r="S94" s="59">
        <f ca="1">AVERAGE(OFFSET($R$3,0,0,'Données projet'!$E$9+1,1))-AVERAGE(OFFSET($H$3,0,0,'Données projet'!$E$9+1,1))</f>
        <v>414.8063171894658</v>
      </c>
      <c r="T94" s="59">
        <f t="shared" si="88"/>
        <v>354.21555670988619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111.46291477912472</v>
      </c>
      <c r="AA94" s="21">
        <f>EXP(-LN(2)/25)*AA93+(1-EXP(-LN(2)/25))/(LN(2)/25)*Calculateur!V94*Calculateur!X94*VLOOKUP('Données projet'!$B$9,Paramètres!$A$1:$I$89,3,0)*0.475*44/12</f>
        <v>9.02756301944925</v>
      </c>
      <c r="AB94" s="21">
        <f>EXP(-LN(2)/2)*AB93+(1-EXP(-LN(2)/2))/(LN(2)/2)*V94*Y94*VLOOKUP('Données projet'!$B$9,Paramètres!$A$1:$I$89,3,0)*0.475*44/12</f>
        <v>5.3433377453925494E-10</v>
      </c>
      <c r="AC94" s="22">
        <f t="shared" si="57"/>
        <v>120.49047779910829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966.15409847838509</v>
      </c>
      <c r="AN94" s="59">
        <f ca="1">AVERAGE(OFFSET($AM$3,0,0,'Données projet'!$E$10+1,1))-AVERAGE(OFFSET($H$3,0,0,'Données projet'!$E$10+1,1))</f>
        <v>392.48436003609055</v>
      </c>
      <c r="AO94" s="59">
        <f t="shared" si="90"/>
        <v>236.3312446580419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212.42519999999985</v>
      </c>
      <c r="BF94" s="13">
        <f t="shared" si="91"/>
        <v>52.465198231787184</v>
      </c>
      <c r="BG94" s="20">
        <f t="shared" si="61"/>
        <v>461.35077692036231</v>
      </c>
      <c r="BH94" s="59">
        <f t="shared" si="62"/>
        <v>754.68411025369562</v>
      </c>
      <c r="BI94" s="59">
        <f ca="1">AVERAGE(OFFSET($BH$3,0,0,'Données projet'!$E$11+1,1))-AVERAGE(OFFSET($H$3,0,0,'Données projet'!$E$11+1,1))</f>
        <v>225.2323446080772</v>
      </c>
      <c r="BJ94" s="59">
        <f t="shared" si="92"/>
        <v>222.29030402759292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34.893775408875378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34.893775408875378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258.24239999999986</v>
      </c>
      <c r="CA94" s="13">
        <f t="shared" si="93"/>
        <v>62.347580891234152</v>
      </c>
      <c r="CB94" s="20">
        <f t="shared" si="64"/>
        <v>558.3608833855659</v>
      </c>
      <c r="CC94" s="59">
        <f t="shared" si="65"/>
        <v>851.69421671889927</v>
      </c>
      <c r="CD94" s="59">
        <f ca="1">AVERAGE(OFFSET($CC$3,0,0,'Données projet'!$E$12+1,1))-AVERAGE(OFFSET($H$3,0,0,'Données projet'!$E$12+1,1))</f>
        <v>281.84871057356037</v>
      </c>
      <c r="CE94" s="59">
        <f t="shared" si="94"/>
        <v>276.02211904126887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34.416132164284797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34.416132164284797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853.00000000000011</v>
      </c>
      <c r="O95" s="13">
        <f>N95*VLOOKUP('Données projet'!$B$9,Paramètres!$A$1:$I$89,3,0)*VLOOKUP('Données projet'!$B$9,Paramètres!$A$1:$I$89,5,0)</f>
        <v>399.20400000000006</v>
      </c>
      <c r="P95" s="13">
        <f t="shared" si="87"/>
        <v>91.615269732888521</v>
      </c>
      <c r="Q95" s="20">
        <f t="shared" si="54"/>
        <v>854.8435614514475</v>
      </c>
      <c r="R95" s="59">
        <f t="shared" si="55"/>
        <v>1148.1768947847809</v>
      </c>
      <c r="S95" s="59">
        <f ca="1">AVERAGE(OFFSET($R$3,0,0,'Données projet'!$E$9+1,1))-AVERAGE(OFFSET($H$3,0,0,'Données projet'!$E$9+1,1))</f>
        <v>414.8063171894658</v>
      </c>
      <c r="T95" s="59">
        <f t="shared" si="88"/>
        <v>354.21555670988619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109.27719500597107</v>
      </c>
      <c r="AA95" s="21">
        <f>EXP(-LN(2)/25)*AA94+(1-EXP(-LN(2)/25))/(LN(2)/25)*Calculateur!V95*Calculateur!X95*VLOOKUP('Données projet'!$B$9,Paramètres!$A$1:$I$89,3,0)*0.475*44/12</f>
        <v>8.7807038339435035</v>
      </c>
      <c r="AB95" s="21">
        <f>EXP(-LN(2)/2)*AB94+(1-EXP(-LN(2)/2))/(LN(2)/2)*V95*Y95*VLOOKUP('Données projet'!$B$9,Paramètres!$A$1:$I$89,3,0)*0.475*44/12</f>
        <v>3.7783103539371097E-10</v>
      </c>
      <c r="AC95" s="22">
        <f t="shared" si="57"/>
        <v>118.0578988402924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979.38549751514233</v>
      </c>
      <c r="AN95" s="59">
        <f ca="1">AVERAGE(OFFSET($AM$3,0,0,'Données projet'!$E$10+1,1))-AVERAGE(OFFSET($H$3,0,0,'Données projet'!$E$10+1,1))</f>
        <v>392.48436003609055</v>
      </c>
      <c r="AO95" s="59">
        <f t="shared" si="90"/>
        <v>236.3312446580419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212.42519999999985</v>
      </c>
      <c r="BF95" s="13">
        <f t="shared" si="91"/>
        <v>52.465198231787184</v>
      </c>
      <c r="BG95" s="20">
        <f t="shared" si="61"/>
        <v>461.35077692036231</v>
      </c>
      <c r="BH95" s="59">
        <f t="shared" si="62"/>
        <v>754.68411025369562</v>
      </c>
      <c r="BI95" s="59">
        <f ca="1">AVERAGE(OFFSET($BH$3,0,0,'Données projet'!$E$11+1,1))-AVERAGE(OFFSET($H$3,0,0,'Données projet'!$E$11+1,1))</f>
        <v>225.2323446080772</v>
      </c>
      <c r="BJ95" s="59">
        <f t="shared" si="92"/>
        <v>222.29030402759292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34.209529756208802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34.209529756208802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258.24239999999986</v>
      </c>
      <c r="CA95" s="13">
        <f t="shared" si="93"/>
        <v>62.347580891234152</v>
      </c>
      <c r="CB95" s="20">
        <f t="shared" si="64"/>
        <v>558.3608833855659</v>
      </c>
      <c r="CC95" s="59">
        <f t="shared" si="65"/>
        <v>851.69421671889927</v>
      </c>
      <c r="CD95" s="59">
        <f ca="1">AVERAGE(OFFSET($CC$3,0,0,'Données projet'!$E$12+1,1))-AVERAGE(OFFSET($H$3,0,0,'Données projet'!$E$12+1,1))</f>
        <v>281.84871057356037</v>
      </c>
      <c r="CE95" s="59">
        <f t="shared" si="94"/>
        <v>276.02211904126887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33.741252804311024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33.741252804311024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853.00000000000011</v>
      </c>
      <c r="O96" s="13">
        <f>N96*VLOOKUP('Données projet'!$B$9,Paramètres!$A$1:$I$89,3,0)*VLOOKUP('Données projet'!$B$9,Paramètres!$A$1:$I$89,5,0)</f>
        <v>399.20400000000006</v>
      </c>
      <c r="P96" s="13">
        <f t="shared" si="87"/>
        <v>91.615269732888521</v>
      </c>
      <c r="Q96" s="20">
        <f t="shared" si="54"/>
        <v>854.8435614514475</v>
      </c>
      <c r="R96" s="59">
        <f t="shared" si="55"/>
        <v>1148.1768947847809</v>
      </c>
      <c r="S96" s="59">
        <f ca="1">AVERAGE(OFFSET($R$3,0,0,'Données projet'!$E$9+1,1))-AVERAGE(OFFSET($H$3,0,0,'Données projet'!$E$9+1,1))</f>
        <v>414.8063171894658</v>
      </c>
      <c r="T96" s="59">
        <f t="shared" si="88"/>
        <v>354.21555670988619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107.13433586441154</v>
      </c>
      <c r="AA96" s="21">
        <f>EXP(-LN(2)/25)*AA95+(1-EXP(-LN(2)/25))/(LN(2)/25)*Calculateur!V96*Calculateur!X96*VLOOKUP('Données projet'!$B$9,Paramètres!$A$1:$I$89,3,0)*0.475*44/12</f>
        <v>8.540595025847173</v>
      </c>
      <c r="AB96" s="21">
        <f>EXP(-LN(2)/2)*AB95+(1-EXP(-LN(2)/2))/(LN(2)/2)*V96*Y96*VLOOKUP('Données projet'!$B$9,Paramètres!$A$1:$I$89,3,0)*0.475*44/12</f>
        <v>2.6716688726962747E-10</v>
      </c>
      <c r="AC96" s="22">
        <f t="shared" si="57"/>
        <v>115.67493089052587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992.61166430702065</v>
      </c>
      <c r="AN96" s="59">
        <f ca="1">AVERAGE(OFFSET($AM$3,0,0,'Données projet'!$E$10+1,1))-AVERAGE(OFFSET($H$3,0,0,'Données projet'!$E$10+1,1))</f>
        <v>392.48436003609055</v>
      </c>
      <c r="AO96" s="59">
        <f t="shared" si="90"/>
        <v>236.3312446580419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212.42519999999985</v>
      </c>
      <c r="BF96" s="13">
        <f t="shared" si="91"/>
        <v>52.465198231787184</v>
      </c>
      <c r="BG96" s="20">
        <f t="shared" si="61"/>
        <v>461.35077692036231</v>
      </c>
      <c r="BH96" s="59">
        <f t="shared" si="62"/>
        <v>754.68411025369562</v>
      </c>
      <c r="BI96" s="59">
        <f ca="1">AVERAGE(OFFSET($BH$3,0,0,'Données projet'!$E$11+1,1))-AVERAGE(OFFSET($H$3,0,0,'Données projet'!$E$11+1,1))</f>
        <v>225.2323446080772</v>
      </c>
      <c r="BJ96" s="59">
        <f t="shared" si="92"/>
        <v>222.29030402759292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33.538701743442374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33.538701743442374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258.24239999999986</v>
      </c>
      <c r="CA96" s="13">
        <f t="shared" si="93"/>
        <v>62.347580891234152</v>
      </c>
      <c r="CB96" s="20">
        <f t="shared" si="64"/>
        <v>558.3608833855659</v>
      </c>
      <c r="CC96" s="59">
        <f t="shared" si="65"/>
        <v>851.69421671889927</v>
      </c>
      <c r="CD96" s="59">
        <f ca="1">AVERAGE(OFFSET($CC$3,0,0,'Données projet'!$E$12+1,1))-AVERAGE(OFFSET($H$3,0,0,'Données projet'!$E$12+1,1))</f>
        <v>281.84871057356037</v>
      </c>
      <c r="CE96" s="59">
        <f t="shared" si="94"/>
        <v>276.02211904126887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33.079607416950573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33.079607416950573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853.00000000000011</v>
      </c>
      <c r="O97" s="13">
        <f>N97*VLOOKUP('Données projet'!$B$9,Paramètres!$A$1:$I$89,3,0)*VLOOKUP('Données projet'!$B$9,Paramètres!$A$1:$I$89,5,0)</f>
        <v>399.20400000000006</v>
      </c>
      <c r="P97" s="13">
        <f t="shared" si="87"/>
        <v>91.615269732888521</v>
      </c>
      <c r="Q97" s="20">
        <f t="shared" si="54"/>
        <v>854.8435614514475</v>
      </c>
      <c r="R97" s="59">
        <f t="shared" si="55"/>
        <v>1148.1768947847809</v>
      </c>
      <c r="S97" s="59">
        <f ca="1">AVERAGE(OFFSET($R$3,0,0,'Données projet'!$E$9+1,1))-AVERAGE(OFFSET($H$3,0,0,'Données projet'!$E$9+1,1))</f>
        <v>414.8063171894658</v>
      </c>
      <c r="T97" s="59">
        <f t="shared" si="88"/>
        <v>354.21555670988619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105.03349688360298</v>
      </c>
      <c r="AA97" s="21">
        <f>EXP(-LN(2)/25)*AA96+(1-EXP(-LN(2)/25))/(LN(2)/25)*Calculateur!V97*Calculateur!X97*VLOOKUP('Données projet'!$B$9,Paramètres!$A$1:$I$89,3,0)*0.475*44/12</f>
        <v>8.3070520057350095</v>
      </c>
      <c r="AB97" s="21">
        <f>EXP(-LN(2)/2)*AB96+(1-EXP(-LN(2)/2))/(LN(2)/2)*V97*Y97*VLOOKUP('Données projet'!$B$9,Paramètres!$A$1:$I$89,3,0)*0.475*44/12</f>
        <v>1.8891551769685549E-10</v>
      </c>
      <c r="AC97" s="22">
        <f t="shared" si="57"/>
        <v>113.3405488895269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1005.8327117041242</v>
      </c>
      <c r="AN97" s="59">
        <f ca="1">AVERAGE(OFFSET($AM$3,0,0,'Données projet'!$E$10+1,1))-AVERAGE(OFFSET($H$3,0,0,'Données projet'!$E$10+1,1))</f>
        <v>392.48436003609055</v>
      </c>
      <c r="AO97" s="59">
        <f t="shared" si="90"/>
        <v>236.3312446580419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212.42519999999985</v>
      </c>
      <c r="BF97" s="13">
        <f t="shared" si="91"/>
        <v>52.465198231787184</v>
      </c>
      <c r="BG97" s="20">
        <f t="shared" si="61"/>
        <v>461.35077692036231</v>
      </c>
      <c r="BH97" s="59">
        <f t="shared" si="62"/>
        <v>754.68411025369562</v>
      </c>
      <c r="BI97" s="59">
        <f ca="1">AVERAGE(OFFSET($BH$3,0,0,'Données projet'!$E$11+1,1))-AVERAGE(OFFSET($H$3,0,0,'Données projet'!$E$11+1,1))</f>
        <v>225.2323446080772</v>
      </c>
      <c r="BJ97" s="59">
        <f t="shared" si="92"/>
        <v>222.29030402759292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32.88102825884161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32.88102825884161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258.24239999999986</v>
      </c>
      <c r="CA97" s="13">
        <f t="shared" si="93"/>
        <v>62.347580891234152</v>
      </c>
      <c r="CB97" s="20">
        <f t="shared" si="64"/>
        <v>558.3608833855659</v>
      </c>
      <c r="CC97" s="59">
        <f t="shared" si="65"/>
        <v>851.69421671889927</v>
      </c>
      <c r="CD97" s="59">
        <f ca="1">AVERAGE(OFFSET($CC$3,0,0,'Données projet'!$E$12+1,1))-AVERAGE(OFFSET($H$3,0,0,'Données projet'!$E$12+1,1))</f>
        <v>281.84871057356037</v>
      </c>
      <c r="CE97" s="59">
        <f t="shared" si="94"/>
        <v>276.02211904126887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32.430936492072426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32.430936492072426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853.00000000000011</v>
      </c>
      <c r="O98" s="13">
        <f>N98*VLOOKUP('Données projet'!$B$9,Paramètres!$A$1:$I$89,3,0)*VLOOKUP('Données projet'!$B$9,Paramètres!$A$1:$I$89,5,0)</f>
        <v>399.20400000000006</v>
      </c>
      <c r="P98" s="13">
        <f t="shared" si="87"/>
        <v>91.615269732888521</v>
      </c>
      <c r="Q98" s="20">
        <f t="shared" si="54"/>
        <v>854.8435614514475</v>
      </c>
      <c r="R98" s="59">
        <f t="shared" si="55"/>
        <v>1148.1768947847809</v>
      </c>
      <c r="S98" s="59">
        <f ca="1">AVERAGE(OFFSET($R$3,0,0,'Données projet'!$E$9+1,1))-AVERAGE(OFFSET($H$3,0,0,'Données projet'!$E$9+1,1))</f>
        <v>414.8063171894658</v>
      </c>
      <c r="T98" s="59">
        <f t="shared" si="88"/>
        <v>354.21555670988619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102.97385407382282</v>
      </c>
      <c r="AA98" s="21">
        <f>EXP(-LN(2)/25)*AA97+(1-EXP(-LN(2)/25))/(LN(2)/25)*Calculateur!V98*Calculateur!X98*VLOOKUP('Données projet'!$B$9,Paramètres!$A$1:$I$89,3,0)*0.475*44/12</f>
        <v>8.0798952317893065</v>
      </c>
      <c r="AB98" s="21">
        <f>EXP(-LN(2)/2)*AB97+(1-EXP(-LN(2)/2))/(LN(2)/2)*V98*Y98*VLOOKUP('Données projet'!$B$9,Paramètres!$A$1:$I$89,3,0)*0.475*44/12</f>
        <v>1.3358344363481373E-10</v>
      </c>
      <c r="AC98" s="22">
        <f t="shared" si="57"/>
        <v>111.05374930574571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1019.0487480295851</v>
      </c>
      <c r="AN98" s="59">
        <f ca="1">AVERAGE(OFFSET($AM$3,0,0,'Données projet'!$E$10+1,1))-AVERAGE(OFFSET($H$3,0,0,'Données projet'!$E$10+1,1))</f>
        <v>392.48436003609055</v>
      </c>
      <c r="AO98" s="59">
        <f t="shared" si="90"/>
        <v>236.3312446580419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212.42519999999985</v>
      </c>
      <c r="BF98" s="13">
        <f t="shared" si="91"/>
        <v>52.465198231787184</v>
      </c>
      <c r="BG98" s="20">
        <f t="shared" si="61"/>
        <v>461.35077692036231</v>
      </c>
      <c r="BH98" s="59">
        <f t="shared" si="62"/>
        <v>754.68411025369562</v>
      </c>
      <c r="BI98" s="59">
        <f ca="1">AVERAGE(OFFSET($BH$3,0,0,'Données projet'!$E$11+1,1))-AVERAGE(OFFSET($H$3,0,0,'Données projet'!$E$11+1,1))</f>
        <v>225.2323446080772</v>
      </c>
      <c r="BJ98" s="59">
        <f t="shared" si="92"/>
        <v>222.29030402759292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32.236251350132655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32.236251350132655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258.24239999999986</v>
      </c>
      <c r="CA98" s="13">
        <f t="shared" si="93"/>
        <v>62.347580891234152</v>
      </c>
      <c r="CB98" s="20">
        <f t="shared" si="64"/>
        <v>558.3608833855659</v>
      </c>
      <c r="CC98" s="59">
        <f t="shared" si="65"/>
        <v>851.69421671889927</v>
      </c>
      <c r="CD98" s="59">
        <f ca="1">AVERAGE(OFFSET($CC$3,0,0,'Données projet'!$E$12+1,1))-AVERAGE(OFFSET($H$3,0,0,'Données projet'!$E$12+1,1))</f>
        <v>281.84871057356037</v>
      </c>
      <c r="CE98" s="59">
        <f t="shared" si="94"/>
        <v>276.02211904126887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31.794985608380944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31.794985608380944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853.00000000000011</v>
      </c>
      <c r="O99" s="13">
        <f>N99*VLOOKUP('Données projet'!$B$9,Paramètres!$A$1:$I$89,3,0)*VLOOKUP('Données projet'!$B$9,Paramètres!$A$1:$I$89,5,0)</f>
        <v>399.20400000000006</v>
      </c>
      <c r="P99" s="13">
        <f t="shared" si="87"/>
        <v>91.615269732888521</v>
      </c>
      <c r="Q99" s="20">
        <f t="shared" ref="Q99:Q130" si="107">(O99+P99)*0.475*44/12</f>
        <v>854.8435614514475</v>
      </c>
      <c r="R99" s="59">
        <f t="shared" si="55"/>
        <v>1148.1768947847809</v>
      </c>
      <c r="S99" s="59">
        <f ca="1">AVERAGE(OFFSET($R$3,0,0,'Données projet'!$E$9+1,1))-AVERAGE(OFFSET($H$3,0,0,'Données projet'!$E$9+1,1))</f>
        <v>414.8063171894658</v>
      </c>
      <c r="T99" s="59">
        <f t="shared" si="88"/>
        <v>354.21555670988619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100.95459960328438</v>
      </c>
      <c r="AA99" s="21">
        <f>EXP(-LN(2)/25)*AA98+(1-EXP(-LN(2)/25))/(LN(2)/25)*Calculateur!V99*Calculateur!X99*VLOOKUP('Données projet'!$B$9,Paramètres!$A$1:$I$89,3,0)*0.475*44/12</f>
        <v>7.8589500717728047</v>
      </c>
      <c r="AB99" s="21">
        <f>EXP(-LN(2)/2)*AB98+(1-EXP(-LN(2)/2))/(LN(2)/2)*V99*Y99*VLOOKUP('Données projet'!$B$9,Paramètres!$A$1:$I$89,3,0)*0.475*44/12</f>
        <v>9.4457758848427743E-11</v>
      </c>
      <c r="AC99" s="22">
        <f t="shared" si="57"/>
        <v>108.81354967515165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971.27655844042465</v>
      </c>
      <c r="AN99" s="59">
        <f ca="1">AVERAGE(OFFSET($AM$3,0,0,'Données projet'!$E$10+1,1))-AVERAGE(OFFSET($H$3,0,0,'Données projet'!$E$10+1,1))</f>
        <v>392.48436003609055</v>
      </c>
      <c r="AO99" s="59">
        <f t="shared" si="90"/>
        <v>236.3312446580419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212.42519999999985</v>
      </c>
      <c r="BF99" s="13">
        <f t="shared" si="91"/>
        <v>52.465198231787184</v>
      </c>
      <c r="BG99" s="20">
        <f t="shared" si="61"/>
        <v>461.35077692036231</v>
      </c>
      <c r="BH99" s="59">
        <f t="shared" si="62"/>
        <v>754.68411025369562</v>
      </c>
      <c r="BI99" s="59">
        <f ca="1">AVERAGE(OFFSET($BH$3,0,0,'Données projet'!$E$11+1,1))-AVERAGE(OFFSET($H$3,0,0,'Données projet'!$E$11+1,1))</f>
        <v>225.2323446080772</v>
      </c>
      <c r="BJ99" s="59">
        <f t="shared" si="92"/>
        <v>222.29030402759292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31.604118123328398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31.604118123328398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258.24239999999986</v>
      </c>
      <c r="CA99" s="13">
        <f t="shared" si="93"/>
        <v>62.347580891234152</v>
      </c>
      <c r="CB99" s="20">
        <f t="shared" si="64"/>
        <v>558.3608833855659</v>
      </c>
      <c r="CC99" s="59">
        <f t="shared" si="65"/>
        <v>851.69421671889927</v>
      </c>
      <c r="CD99" s="59">
        <f ca="1">AVERAGE(OFFSET($CC$3,0,0,'Données projet'!$E$12+1,1))-AVERAGE(OFFSET($H$3,0,0,'Données projet'!$E$12+1,1))</f>
        <v>281.84871057356037</v>
      </c>
      <c r="CE99" s="59">
        <f t="shared" si="94"/>
        <v>276.02211904126887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31.171505333626914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31.171505333626914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853.00000000000011</v>
      </c>
      <c r="O100" s="13">
        <f>N100*VLOOKUP('Données projet'!$B$9,Paramètres!$A$1:$I$89,3,0)*VLOOKUP('Données projet'!$B$9,Paramètres!$A$1:$I$89,5,0)</f>
        <v>399.20400000000006</v>
      </c>
      <c r="P100" s="13">
        <f t="shared" si="87"/>
        <v>91.615269732888521</v>
      </c>
      <c r="Q100" s="20">
        <f t="shared" si="107"/>
        <v>854.8435614514475</v>
      </c>
      <c r="R100" s="59">
        <f t="shared" si="55"/>
        <v>1148.1768947847809</v>
      </c>
      <c r="S100" s="59">
        <f ca="1">AVERAGE(OFFSET($R$3,0,0,'Données projet'!$E$9+1,1))-AVERAGE(OFFSET($H$3,0,0,'Données projet'!$E$9+1,1))</f>
        <v>414.8063171894658</v>
      </c>
      <c r="T100" s="59">
        <f t="shared" si="88"/>
        <v>354.21555670988619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98.974941481289576</v>
      </c>
      <c r="AA100" s="21">
        <f>EXP(-LN(2)/25)*AA99+(1-EXP(-LN(2)/25))/(LN(2)/25)*Calculateur!V100*Calculateur!X100*VLOOKUP('Données projet'!$B$9,Paramètres!$A$1:$I$89,3,0)*0.475*44/12</f>
        <v>7.644046668775955</v>
      </c>
      <c r="AB100" s="21">
        <f>EXP(-LN(2)/2)*AB99+(1-EXP(-LN(2)/2))/(LN(2)/2)*V100*Y100*VLOOKUP('Données projet'!$B$9,Paramètres!$A$1:$I$89,3,0)*0.475*44/12</f>
        <v>6.6791721817406867E-11</v>
      </c>
      <c r="AC100" s="22">
        <f t="shared" si="57"/>
        <v>106.61898815013232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983.22588631518397</v>
      </c>
      <c r="AN100" s="59">
        <f ca="1">AVERAGE(OFFSET($AM$3,0,0,'Données projet'!$E$10+1,1))-AVERAGE(OFFSET($H$3,0,0,'Données projet'!$E$10+1,1))</f>
        <v>392.48436003609055</v>
      </c>
      <c r="AO100" s="59">
        <f t="shared" si="90"/>
        <v>236.3312446580419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212.42519999999985</v>
      </c>
      <c r="BF100" s="13">
        <f t="shared" si="91"/>
        <v>52.465198231787184</v>
      </c>
      <c r="BG100" s="20">
        <f t="shared" si="61"/>
        <v>461.35077692036231</v>
      </c>
      <c r="BH100" s="59">
        <f t="shared" si="62"/>
        <v>754.68411025369562</v>
      </c>
      <c r="BI100" s="59">
        <f ca="1">AVERAGE(OFFSET($BH$3,0,0,'Données projet'!$E$11+1,1))-AVERAGE(OFFSET($H$3,0,0,'Données projet'!$E$11+1,1))</f>
        <v>225.2323446080772</v>
      </c>
      <c r="BJ100" s="59">
        <f t="shared" si="92"/>
        <v>222.29030402759292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30.984380643538575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30.984380643538575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258.24239999999986</v>
      </c>
      <c r="CA100" s="13">
        <f t="shared" si="93"/>
        <v>62.347580891234152</v>
      </c>
      <c r="CB100" s="20">
        <f t="shared" si="64"/>
        <v>558.3608833855659</v>
      </c>
      <c r="CC100" s="59">
        <f t="shared" si="65"/>
        <v>851.69421671889927</v>
      </c>
      <c r="CD100" s="59">
        <f ca="1">AVERAGE(OFFSET($CC$3,0,0,'Données projet'!$E$12+1,1))-AVERAGE(OFFSET($H$3,0,0,'Données projet'!$E$12+1,1))</f>
        <v>281.84871057356037</v>
      </c>
      <c r="CE100" s="59">
        <f t="shared" si="94"/>
        <v>276.02211904126887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30.560251126775391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30.560251126775391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853.00000000000011</v>
      </c>
      <c r="O101" s="13">
        <f>N101*VLOOKUP('Données projet'!$B$9,Paramètres!$A$1:$I$89,3,0)*VLOOKUP('Données projet'!$B$9,Paramètres!$A$1:$I$89,5,0)</f>
        <v>399.20400000000006</v>
      </c>
      <c r="P101" s="13">
        <f t="shared" si="87"/>
        <v>91.615269732888521</v>
      </c>
      <c r="Q101" s="20">
        <f t="shared" si="107"/>
        <v>854.8435614514475</v>
      </c>
      <c r="R101" s="59">
        <f t="shared" si="55"/>
        <v>1148.1768947847809</v>
      </c>
      <c r="S101" s="59">
        <f ca="1">AVERAGE(OFFSET($R$3,0,0,'Données projet'!$E$9+1,1))-AVERAGE(OFFSET($H$3,0,0,'Données projet'!$E$9+1,1))</f>
        <v>414.8063171894658</v>
      </c>
      <c r="T101" s="59">
        <f t="shared" si="88"/>
        <v>354.21555670988619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97.034103247594871</v>
      </c>
      <c r="AA101" s="21">
        <f>EXP(-LN(2)/25)*AA100+(1-EXP(-LN(2)/25))/(LN(2)/25)*Calculateur!V101*Calculateur!X101*VLOOKUP('Données projet'!$B$9,Paramètres!$A$1:$I$89,3,0)*0.475*44/12</f>
        <v>7.4350198106353327</v>
      </c>
      <c r="AB101" s="21">
        <f>EXP(-LN(2)/2)*AB100+(1-EXP(-LN(2)/2))/(LN(2)/2)*V101*Y101*VLOOKUP('Données projet'!$B$9,Paramètres!$A$1:$I$89,3,0)*0.475*44/12</f>
        <v>4.7228879424213871E-11</v>
      </c>
      <c r="AC101" s="22">
        <f t="shared" si="57"/>
        <v>104.46912305827743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995.1709728177932</v>
      </c>
      <c r="AN101" s="59">
        <f ca="1">AVERAGE(OFFSET($AM$3,0,0,'Données projet'!$E$10+1,1))-AVERAGE(OFFSET($H$3,0,0,'Données projet'!$E$10+1,1))</f>
        <v>392.48436003609055</v>
      </c>
      <c r="AO101" s="59">
        <f t="shared" si="90"/>
        <v>236.3312446580419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212.42519999999985</v>
      </c>
      <c r="BF101" s="13">
        <f t="shared" si="91"/>
        <v>52.465198231787184</v>
      </c>
      <c r="BG101" s="20">
        <f t="shared" si="61"/>
        <v>461.35077692036231</v>
      </c>
      <c r="BH101" s="59">
        <f t="shared" si="62"/>
        <v>754.68411025369562</v>
      </c>
      <c r="BI101" s="59">
        <f ca="1">AVERAGE(OFFSET($BH$3,0,0,'Données projet'!$E$11+1,1))-AVERAGE(OFFSET($H$3,0,0,'Données projet'!$E$11+1,1))</f>
        <v>225.2323446080772</v>
      </c>
      <c r="BJ101" s="59">
        <f t="shared" si="92"/>
        <v>222.29030402759292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30.376795837724895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30.376795837724895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258.24239999999986</v>
      </c>
      <c r="CA101" s="13">
        <f t="shared" si="93"/>
        <v>62.347580891234152</v>
      </c>
      <c r="CB101" s="20">
        <f t="shared" si="64"/>
        <v>558.3608833855659</v>
      </c>
      <c r="CC101" s="59">
        <f t="shared" si="65"/>
        <v>851.69421671889927</v>
      </c>
      <c r="CD101" s="59">
        <f ca="1">AVERAGE(OFFSET($CC$3,0,0,'Données projet'!$E$12+1,1))-AVERAGE(OFFSET($H$3,0,0,'Données projet'!$E$12+1,1))</f>
        <v>281.84871057356037</v>
      </c>
      <c r="CE101" s="59">
        <f t="shared" si="94"/>
        <v>276.02211904126887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29.960983242091974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29.960983242091974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853.00000000000011</v>
      </c>
      <c r="O102" s="13">
        <f>N102*VLOOKUP('Données projet'!$B$9,Paramètres!$A$1:$I$89,3,0)*VLOOKUP('Données projet'!$B$9,Paramètres!$A$1:$I$89,5,0)</f>
        <v>399.20400000000006</v>
      </c>
      <c r="P102" s="13">
        <f t="shared" si="87"/>
        <v>91.615269732888521</v>
      </c>
      <c r="Q102" s="20">
        <f t="shared" si="107"/>
        <v>854.8435614514475</v>
      </c>
      <c r="R102" s="59">
        <f t="shared" si="55"/>
        <v>1148.1768947847809</v>
      </c>
      <c r="S102" s="59">
        <f ca="1">AVERAGE(OFFSET($R$3,0,0,'Données projet'!$E$9+1,1))-AVERAGE(OFFSET($H$3,0,0,'Données projet'!$E$9+1,1))</f>
        <v>414.8063171894658</v>
      </c>
      <c r="T102" s="59">
        <f t="shared" si="88"/>
        <v>354.21555670988619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95.131323667868486</v>
      </c>
      <c r="AA102" s="21">
        <f>EXP(-LN(2)/25)*AA101+(1-EXP(-LN(2)/25))/(LN(2)/25)*Calculateur!V102*Calculateur!X102*VLOOKUP('Données projet'!$B$9,Paramètres!$A$1:$I$89,3,0)*0.475*44/12</f>
        <v>7.2317088029228103</v>
      </c>
      <c r="AB102" s="21">
        <f>EXP(-LN(2)/2)*AB101+(1-EXP(-LN(2)/2))/(LN(2)/2)*V102*Y102*VLOOKUP('Données projet'!$B$9,Paramètres!$A$1:$I$89,3,0)*0.475*44/12</f>
        <v>3.3395860908703434E-11</v>
      </c>
      <c r="AC102" s="22">
        <f t="shared" si="57"/>
        <v>102.36303247082469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1007.111900273416</v>
      </c>
      <c r="AN102" s="59">
        <f ca="1">AVERAGE(OFFSET($AM$3,0,0,'Données projet'!$E$10+1,1))-AVERAGE(OFFSET($H$3,0,0,'Données projet'!$E$10+1,1))</f>
        <v>392.48436003609055</v>
      </c>
      <c r="AO102" s="59">
        <f t="shared" si="90"/>
        <v>236.3312446580419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212.42519999999985</v>
      </c>
      <c r="BF102" s="13">
        <f t="shared" si="91"/>
        <v>52.465198231787184</v>
      </c>
      <c r="BG102" s="20">
        <f t="shared" si="61"/>
        <v>461.35077692036231</v>
      </c>
      <c r="BH102" s="59">
        <f t="shared" si="62"/>
        <v>754.68411025369562</v>
      </c>
      <c r="BI102" s="59">
        <f ca="1">AVERAGE(OFFSET($BH$3,0,0,'Données projet'!$E$11+1,1))-AVERAGE(OFFSET($H$3,0,0,'Données projet'!$E$11+1,1))</f>
        <v>225.2323446080772</v>
      </c>
      <c r="BJ102" s="59">
        <f t="shared" si="92"/>
        <v>222.29030402759292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29.781125399363081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29.781125399363081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258.24239999999986</v>
      </c>
      <c r="CA102" s="13">
        <f t="shared" si="93"/>
        <v>62.347580891234152</v>
      </c>
      <c r="CB102" s="20">
        <f t="shared" si="64"/>
        <v>558.3608833855659</v>
      </c>
      <c r="CC102" s="59">
        <f t="shared" si="65"/>
        <v>851.69421671889927</v>
      </c>
      <c r="CD102" s="59">
        <f ca="1">AVERAGE(OFFSET($CC$3,0,0,'Données projet'!$E$12+1,1))-AVERAGE(OFFSET($H$3,0,0,'Données projet'!$E$12+1,1))</f>
        <v>281.84871057356037</v>
      </c>
      <c r="CE102" s="59">
        <f t="shared" si="94"/>
        <v>276.02211904126887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29.373466635109882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29.373466635109882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853.00000000000011</v>
      </c>
      <c r="O103" s="13">
        <f>N103*VLOOKUP('Données projet'!$B$9,Paramètres!$A$1:$I$89,3,0)*VLOOKUP('Données projet'!$B$9,Paramètres!$A$1:$I$89,5,0)</f>
        <v>399.20400000000006</v>
      </c>
      <c r="P103" s="13">
        <f t="shared" si="87"/>
        <v>91.615269732888521</v>
      </c>
      <c r="Q103" s="20">
        <f t="shared" si="107"/>
        <v>854.8435614514475</v>
      </c>
      <c r="R103" s="59">
        <f t="shared" si="55"/>
        <v>1148.1768947847809</v>
      </c>
      <c r="S103" s="59">
        <f ca="1">AVERAGE(OFFSET($R$3,0,0,'Données projet'!$E$9+1,1))-AVERAGE(OFFSET($H$3,0,0,'Données projet'!$E$9+1,1))</f>
        <v>414.8063171894658</v>
      </c>
      <c r="T103" s="59">
        <f t="shared" si="88"/>
        <v>354.21555670988619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93.265856435119588</v>
      </c>
      <c r="AA103" s="21">
        <f>EXP(-LN(2)/25)*AA102+(1-EXP(-LN(2)/25))/(LN(2)/25)*Calculateur!V103*Calculateur!X103*VLOOKUP('Données projet'!$B$9,Paramètres!$A$1:$I$89,3,0)*0.475*44/12</f>
        <v>7.0339573454078481</v>
      </c>
      <c r="AB103" s="21">
        <f>EXP(-LN(2)/2)*AB102+(1-EXP(-LN(2)/2))/(LN(2)/2)*V103*Y103*VLOOKUP('Données projet'!$B$9,Paramètres!$A$1:$I$89,3,0)*0.475*44/12</f>
        <v>2.3614439712106936E-11</v>
      </c>
      <c r="AC103" s="22">
        <f t="shared" si="57"/>
        <v>100.29981378055105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392.48436003609055</v>
      </c>
      <c r="AO103" s="59">
        <f t="shared" si="90"/>
        <v>236.3312446580419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212.42519999999985</v>
      </c>
      <c r="BF103" s="13">
        <f t="shared" si="91"/>
        <v>52.465198231787184</v>
      </c>
      <c r="BG103" s="20">
        <f t="shared" si="61"/>
        <v>461.35077692036231</v>
      </c>
      <c r="BH103" s="59">
        <f t="shared" si="62"/>
        <v>754.68411025369562</v>
      </c>
      <c r="BI103" s="59">
        <f ca="1">AVERAGE(OFFSET($BH$3,0,0,'Données projet'!$E$11+1,1))-AVERAGE(OFFSET($H$3,0,0,'Données projet'!$E$11+1,1))</f>
        <v>225.2323446080772</v>
      </c>
      <c r="BJ103" s="59">
        <f t="shared" si="92"/>
        <v>222.29030402759292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29.197135694974449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29.197135694974449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258.24239999999986</v>
      </c>
      <c r="CA103" s="13">
        <f t="shared" si="93"/>
        <v>62.347580891234152</v>
      </c>
      <c r="CB103" s="20">
        <f t="shared" si="64"/>
        <v>558.3608833855659</v>
      </c>
      <c r="CC103" s="59">
        <f t="shared" si="65"/>
        <v>851.69421671889927</v>
      </c>
      <c r="CD103" s="59">
        <f ca="1">AVERAGE(OFFSET($CC$3,0,0,'Données projet'!$E$12+1,1))-AVERAGE(OFFSET($H$3,0,0,'Données projet'!$E$12+1,1))</f>
        <v>281.84871057356037</v>
      </c>
      <c r="CE103" s="59">
        <f t="shared" si="94"/>
        <v>276.02211904126887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28.797470870440961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28.797470870440961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853.00000000000011</v>
      </c>
      <c r="O104" s="13">
        <f>N104*VLOOKUP('Données projet'!$B$9,Paramètres!$A$1:$I$89,3,0)*VLOOKUP('Données projet'!$B$9,Paramètres!$A$1:$I$89,5,0)</f>
        <v>399.20400000000006</v>
      </c>
      <c r="P104" s="13">
        <f t="shared" si="87"/>
        <v>91.615269732888521</v>
      </c>
      <c r="Q104" s="20">
        <f t="shared" si="107"/>
        <v>854.8435614514475</v>
      </c>
      <c r="R104" s="59">
        <f t="shared" si="55"/>
        <v>1148.1768947847809</v>
      </c>
      <c r="S104" s="59">
        <f ca="1">AVERAGE(OFFSET($R$3,0,0,'Données projet'!$E$9+1,1))-AVERAGE(OFFSET($H$3,0,0,'Données projet'!$E$9+1,1))</f>
        <v>414.8063171894658</v>
      </c>
      <c r="T104" s="59">
        <f t="shared" si="88"/>
        <v>354.21555670988619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91.436969876982232</v>
      </c>
      <c r="AA104" s="21">
        <f>EXP(-LN(2)/25)*AA103+(1-EXP(-LN(2)/25))/(LN(2)/25)*Calculateur!V104*Calculateur!X104*VLOOKUP('Données projet'!$B$9,Paramètres!$A$1:$I$89,3,0)*0.475*44/12</f>
        <v>6.8416134118979297</v>
      </c>
      <c r="AB104" s="21">
        <f>EXP(-LN(2)/2)*AB103+(1-EXP(-LN(2)/2))/(LN(2)/2)*V104*Y104*VLOOKUP('Données projet'!$B$9,Paramètres!$A$1:$I$89,3,0)*0.475*44/12</f>
        <v>1.6697930454351717E-11</v>
      </c>
      <c r="AC104" s="22">
        <f t="shared" si="57"/>
        <v>98.278583288896854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392.48436003609055</v>
      </c>
      <c r="AO104" s="59">
        <f t="shared" si="90"/>
        <v>236.3312446580419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212.42519999999985</v>
      </c>
      <c r="BF104" s="13">
        <f t="shared" si="91"/>
        <v>52.465198231787184</v>
      </c>
      <c r="BG104" s="20">
        <f t="shared" si="61"/>
        <v>461.35077692036231</v>
      </c>
      <c r="BH104" s="59">
        <f t="shared" si="62"/>
        <v>754.68411025369562</v>
      </c>
      <c r="BI104" s="59">
        <f ca="1">AVERAGE(OFFSET($BH$3,0,0,'Données projet'!$E$11+1,1))-AVERAGE(OFFSET($H$3,0,0,'Données projet'!$E$11+1,1))</f>
        <v>225.2323446080772</v>
      </c>
      <c r="BJ104" s="59">
        <f t="shared" si="92"/>
        <v>222.29030402759292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28.624597672490331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28.624597672490331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258.24239999999986</v>
      </c>
      <c r="CA104" s="13">
        <f t="shared" si="93"/>
        <v>62.347580891234152</v>
      </c>
      <c r="CB104" s="20">
        <f t="shared" si="64"/>
        <v>558.3608833855659</v>
      </c>
      <c r="CC104" s="59">
        <f t="shared" si="65"/>
        <v>851.69421671889927</v>
      </c>
      <c r="CD104" s="59">
        <f ca="1">AVERAGE(OFFSET($CC$3,0,0,'Données projet'!$E$12+1,1))-AVERAGE(OFFSET($H$3,0,0,'Données projet'!$E$12+1,1))</f>
        <v>281.84871057356037</v>
      </c>
      <c r="CE104" s="59">
        <f t="shared" si="94"/>
        <v>276.02211904126887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28.232770031394473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28.232770031394473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853.00000000000011</v>
      </c>
      <c r="O105" s="13">
        <f>N105*VLOOKUP('Données projet'!$B$9,Paramètres!$A$1:$I$89,3,0)*VLOOKUP('Données projet'!$B$9,Paramètres!$A$1:$I$89,5,0)</f>
        <v>399.20400000000006</v>
      </c>
      <c r="P105" s="13">
        <f t="shared" si="87"/>
        <v>91.615269732888521</v>
      </c>
      <c r="Q105" s="20">
        <f t="shared" si="107"/>
        <v>854.8435614514475</v>
      </c>
      <c r="R105" s="59">
        <f t="shared" si="55"/>
        <v>1148.1768947847809</v>
      </c>
      <c r="S105" s="59">
        <f ca="1">AVERAGE(OFFSET($R$3,0,0,'Données projet'!$E$9+1,1))-AVERAGE(OFFSET($H$3,0,0,'Données projet'!$E$9+1,1))</f>
        <v>414.8063171894658</v>
      </c>
      <c r="T105" s="59">
        <f t="shared" si="88"/>
        <v>354.21555670988619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89.643946668739304</v>
      </c>
      <c r="AA105" s="21">
        <f>EXP(-LN(2)/25)*AA104+(1-EXP(-LN(2)/25))/(LN(2)/25)*Calculateur!V105*Calculateur!X105*VLOOKUP('Données projet'!$B$9,Paramètres!$A$1:$I$89,3,0)*0.475*44/12</f>
        <v>6.6545291333647683</v>
      </c>
      <c r="AB105" s="21">
        <f>EXP(-LN(2)/2)*AB104+(1-EXP(-LN(2)/2))/(LN(2)/2)*V105*Y105*VLOOKUP('Données projet'!$B$9,Paramètres!$A$1:$I$89,3,0)*0.475*44/12</f>
        <v>1.1807219856053468E-11</v>
      </c>
      <c r="AC105" s="22">
        <f t="shared" si="57"/>
        <v>96.298475802115874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392.48436003609055</v>
      </c>
      <c r="AO105" s="59">
        <f t="shared" si="90"/>
        <v>236.3312446580419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212.42519999999985</v>
      </c>
      <c r="BF105" s="13">
        <f t="shared" si="91"/>
        <v>52.465198231787184</v>
      </c>
      <c r="BG105" s="20">
        <f t="shared" si="61"/>
        <v>461.35077692036231</v>
      </c>
      <c r="BH105" s="59">
        <f t="shared" si="62"/>
        <v>754.68411025369562</v>
      </c>
      <c r="BI105" s="59">
        <f ca="1">AVERAGE(OFFSET($BH$3,0,0,'Données projet'!$E$11+1,1))-AVERAGE(OFFSET($H$3,0,0,'Données projet'!$E$11+1,1))</f>
        <v>225.2323446080772</v>
      </c>
      <c r="BJ105" s="59">
        <f t="shared" si="92"/>
        <v>222.29030402759292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28.063286771413416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28.063286771413416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258.24239999999986</v>
      </c>
      <c r="CA105" s="13">
        <f t="shared" si="93"/>
        <v>62.347580891234152</v>
      </c>
      <c r="CB105" s="20">
        <f t="shared" si="64"/>
        <v>558.3608833855659</v>
      </c>
      <c r="CC105" s="59">
        <f t="shared" si="65"/>
        <v>851.69421671889927</v>
      </c>
      <c r="CD105" s="59">
        <f ca="1">AVERAGE(OFFSET($CC$3,0,0,'Données projet'!$E$12+1,1))-AVERAGE(OFFSET($H$3,0,0,'Données projet'!$E$12+1,1))</f>
        <v>281.84871057356037</v>
      </c>
      <c r="CE105" s="59">
        <f t="shared" si="94"/>
        <v>276.02211904126887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27.679142631368183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27.679142631368183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853.00000000000011</v>
      </c>
      <c r="O106" s="13">
        <f>N106*VLOOKUP('Données projet'!$B$9,Paramètres!$A$1:$I$89,3,0)*VLOOKUP('Données projet'!$B$9,Paramètres!$A$1:$I$89,5,0)</f>
        <v>399.20400000000006</v>
      </c>
      <c r="P106" s="13">
        <f t="shared" si="87"/>
        <v>91.615269732888521</v>
      </c>
      <c r="Q106" s="20">
        <f t="shared" si="107"/>
        <v>854.8435614514475</v>
      </c>
      <c r="R106" s="59">
        <f t="shared" si="55"/>
        <v>1148.1768947847809</v>
      </c>
      <c r="S106" s="59">
        <f ca="1">AVERAGE(OFFSET($R$3,0,0,'Données projet'!$E$9+1,1))-AVERAGE(OFFSET($H$3,0,0,'Données projet'!$E$9+1,1))</f>
        <v>414.8063171894658</v>
      </c>
      <c r="T106" s="59">
        <f t="shared" si="88"/>
        <v>354.21555670988619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87.886083551973854</v>
      </c>
      <c r="AA106" s="21">
        <f>EXP(-LN(2)/25)*AA105+(1-EXP(-LN(2)/25))/(LN(2)/25)*Calculateur!V106*Calculateur!X106*VLOOKUP('Données projet'!$B$9,Paramètres!$A$1:$I$89,3,0)*0.475*44/12</f>
        <v>6.4725606842664307</v>
      </c>
      <c r="AB106" s="21">
        <f>EXP(-LN(2)/2)*AB105+(1-EXP(-LN(2)/2))/(LN(2)/2)*V106*Y106*VLOOKUP('Données projet'!$B$9,Paramètres!$A$1:$I$89,3,0)*0.475*44/12</f>
        <v>8.3489652271758584E-12</v>
      </c>
      <c r="AC106" s="22">
        <f t="shared" si="57"/>
        <v>94.358644236248637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392.48436003609055</v>
      </c>
      <c r="AO106" s="59">
        <f t="shared" si="90"/>
        <v>236.3312446580419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212.42519999999985</v>
      </c>
      <c r="BF106" s="13">
        <f t="shared" si="91"/>
        <v>52.465198231787184</v>
      </c>
      <c r="BG106" s="20">
        <f t="shared" si="61"/>
        <v>461.35077692036231</v>
      </c>
      <c r="BH106" s="59">
        <f t="shared" si="62"/>
        <v>754.68411025369562</v>
      </c>
      <c r="BI106" s="59">
        <f ca="1">AVERAGE(OFFSET($BH$3,0,0,'Données projet'!$E$11+1,1))-AVERAGE(OFFSET($H$3,0,0,'Données projet'!$E$11+1,1))</f>
        <v>225.2323446080772</v>
      </c>
      <c r="BJ106" s="59">
        <f t="shared" si="92"/>
        <v>222.29030402759292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27.512982834740775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27.512982834740775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258.24239999999986</v>
      </c>
      <c r="CA106" s="13">
        <f t="shared" si="93"/>
        <v>62.347580891234152</v>
      </c>
      <c r="CB106" s="20">
        <f t="shared" si="64"/>
        <v>558.3608833855659</v>
      </c>
      <c r="CC106" s="59">
        <f t="shared" si="65"/>
        <v>851.69421671889927</v>
      </c>
      <c r="CD106" s="59">
        <f ca="1">AVERAGE(OFFSET($CC$3,0,0,'Données projet'!$E$12+1,1))-AVERAGE(OFFSET($H$3,0,0,'Données projet'!$E$12+1,1))</f>
        <v>281.84871057356037</v>
      </c>
      <c r="CE106" s="59">
        <f t="shared" si="94"/>
        <v>276.02211904126887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27.13637152697704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27.13637152697704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853.00000000000011</v>
      </c>
      <c r="O107" s="13">
        <f>N107*VLOOKUP('Données projet'!$B$9,Paramètres!$A$1:$I$89,3,0)*VLOOKUP('Données projet'!$B$9,Paramètres!$A$1:$I$89,5,0)</f>
        <v>399.20400000000006</v>
      </c>
      <c r="P107" s="13">
        <f t="shared" si="87"/>
        <v>91.615269732888521</v>
      </c>
      <c r="Q107" s="20">
        <f t="shared" si="107"/>
        <v>854.8435614514475</v>
      </c>
      <c r="R107" s="59">
        <f t="shared" si="55"/>
        <v>1148.1768947847809</v>
      </c>
      <c r="S107" s="59">
        <f ca="1">AVERAGE(OFFSET($R$3,0,0,'Données projet'!$E$9+1,1))-AVERAGE(OFFSET($H$3,0,0,'Données projet'!$E$9+1,1))</f>
        <v>414.8063171894658</v>
      </c>
      <c r="T107" s="59">
        <f t="shared" si="88"/>
        <v>354.21555670988619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86.162691058737536</v>
      </c>
      <c r="AA107" s="21">
        <f>EXP(-LN(2)/25)*AA106+(1-EXP(-LN(2)/25))/(LN(2)/25)*Calculateur!V107*Calculateur!X107*VLOOKUP('Données projet'!$B$9,Paramètres!$A$1:$I$89,3,0)*0.475*44/12</f>
        <v>6.2955681719779921</v>
      </c>
      <c r="AB107" s="21">
        <f>EXP(-LN(2)/2)*AB106+(1-EXP(-LN(2)/2))/(LN(2)/2)*V107*Y107*VLOOKUP('Données projet'!$B$9,Paramètres!$A$1:$I$89,3,0)*0.475*44/12</f>
        <v>5.9036099280267339E-12</v>
      </c>
      <c r="AC107" s="22">
        <f t="shared" si="57"/>
        <v>92.458259230721424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392.48436003609055</v>
      </c>
      <c r="AO107" s="59">
        <f t="shared" si="90"/>
        <v>236.3312446580419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212.42519999999985</v>
      </c>
      <c r="BF107" s="13">
        <f t="shared" si="91"/>
        <v>52.465198231787184</v>
      </c>
      <c r="BG107" s="20">
        <f t="shared" si="61"/>
        <v>461.35077692036231</v>
      </c>
      <c r="BH107" s="59">
        <f t="shared" si="62"/>
        <v>754.68411025369562</v>
      </c>
      <c r="BI107" s="59">
        <f ca="1">AVERAGE(OFFSET($BH$3,0,0,'Données projet'!$E$11+1,1))-AVERAGE(OFFSET($H$3,0,0,'Données projet'!$E$11+1,1))</f>
        <v>225.2323446080772</v>
      </c>
      <c r="BJ107" s="59">
        <f t="shared" si="92"/>
        <v>222.29030402759292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26.973470022614027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26.973470022614027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258.24239999999986</v>
      </c>
      <c r="CA107" s="13">
        <f t="shared" si="93"/>
        <v>62.347580891234152</v>
      </c>
      <c r="CB107" s="20">
        <f t="shared" si="64"/>
        <v>558.3608833855659</v>
      </c>
      <c r="CC107" s="59">
        <f t="shared" si="65"/>
        <v>851.69421671889927</v>
      </c>
      <c r="CD107" s="59">
        <f ca="1">AVERAGE(OFFSET($CC$3,0,0,'Données projet'!$E$12+1,1))-AVERAGE(OFFSET($H$3,0,0,'Données projet'!$E$12+1,1))</f>
        <v>281.84871057356037</v>
      </c>
      <c r="CE107" s="59">
        <f t="shared" si="94"/>
        <v>276.02211904126887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26.60424383288532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26.60424383288532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853.00000000000011</v>
      </c>
      <c r="O108" s="13">
        <f>N108*VLOOKUP('Données projet'!$B$9,Paramètres!$A$1:$I$89,3,0)*VLOOKUP('Données projet'!$B$9,Paramètres!$A$1:$I$89,5,0)</f>
        <v>399.20400000000006</v>
      </c>
      <c r="P108" s="13">
        <f t="shared" si="87"/>
        <v>91.615269732888521</v>
      </c>
      <c r="Q108" s="20">
        <f t="shared" si="107"/>
        <v>854.8435614514475</v>
      </c>
      <c r="R108" s="59">
        <f t="shared" si="55"/>
        <v>1148.1768947847809</v>
      </c>
      <c r="S108" s="59">
        <f ca="1">AVERAGE(OFFSET($R$3,0,0,'Données projet'!$E$9+1,1))-AVERAGE(OFFSET($H$3,0,0,'Données projet'!$E$9+1,1))</f>
        <v>414.8063171894658</v>
      </c>
      <c r="T108" s="59">
        <f t="shared" si="88"/>
        <v>354.21555670988619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84.473093241127955</v>
      </c>
      <c r="AA108" s="21">
        <f>EXP(-LN(2)/25)*AA107+(1-EXP(-LN(2)/25))/(LN(2)/25)*Calculateur!V108*Calculateur!X108*VLOOKUP('Données projet'!$B$9,Paramètres!$A$1:$I$89,3,0)*0.475*44/12</f>
        <v>6.1234155292457126</v>
      </c>
      <c r="AB108" s="21">
        <f>EXP(-LN(2)/2)*AB107+(1-EXP(-LN(2)/2))/(LN(2)/2)*V108*Y108*VLOOKUP('Données projet'!$B$9,Paramètres!$A$1:$I$89,3,0)*0.475*44/12</f>
        <v>4.1744826135879292E-12</v>
      </c>
      <c r="AC108" s="22">
        <f t="shared" si="57"/>
        <v>90.596508770377852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392.48436003609055</v>
      </c>
      <c r="AO108" s="59">
        <f t="shared" si="90"/>
        <v>236.3312446580419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212.42519999999985</v>
      </c>
      <c r="BF108" s="13">
        <f t="shared" si="91"/>
        <v>52.465198231787184</v>
      </c>
      <c r="BG108" s="20">
        <f t="shared" si="61"/>
        <v>461.35077692036231</v>
      </c>
      <c r="BH108" s="59">
        <f t="shared" si="62"/>
        <v>754.68411025369562</v>
      </c>
      <c r="BI108" s="59">
        <f ca="1">AVERAGE(OFFSET($BH$3,0,0,'Données projet'!$E$11+1,1))-AVERAGE(OFFSET($H$3,0,0,'Données projet'!$E$11+1,1))</f>
        <v>225.2323446080772</v>
      </c>
      <c r="BJ108" s="59">
        <f t="shared" si="92"/>
        <v>222.29030402759292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26.444536727662761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26.444536727662761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258.24239999999986</v>
      </c>
      <c r="CA108" s="13">
        <f t="shared" si="93"/>
        <v>62.347580891234152</v>
      </c>
      <c r="CB108" s="20">
        <f t="shared" si="64"/>
        <v>558.3608833855659</v>
      </c>
      <c r="CC108" s="59">
        <f t="shared" si="65"/>
        <v>851.69421671889927</v>
      </c>
      <c r="CD108" s="59">
        <f ca="1">AVERAGE(OFFSET($CC$3,0,0,'Données projet'!$E$12+1,1))-AVERAGE(OFFSET($H$3,0,0,'Données projet'!$E$12+1,1))</f>
        <v>281.84871057356037</v>
      </c>
      <c r="CE108" s="59">
        <f t="shared" si="94"/>
        <v>276.02211904126887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26.082550838308894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26.082550838308894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853.00000000000011</v>
      </c>
      <c r="O109" s="13">
        <f>N109*VLOOKUP('Données projet'!$B$9,Paramètres!$A$1:$I$89,3,0)*VLOOKUP('Données projet'!$B$9,Paramètres!$A$1:$I$89,5,0)</f>
        <v>399.20400000000006</v>
      </c>
      <c r="P109" s="13">
        <f t="shared" si="87"/>
        <v>91.615269732888521</v>
      </c>
      <c r="Q109" s="20">
        <f t="shared" si="107"/>
        <v>854.8435614514475</v>
      </c>
      <c r="R109" s="59">
        <f t="shared" si="55"/>
        <v>1148.1768947847809</v>
      </c>
      <c r="S109" s="59">
        <f ca="1">AVERAGE(OFFSET($R$3,0,0,'Données projet'!$E$9+1,1))-AVERAGE(OFFSET($H$3,0,0,'Données projet'!$E$9+1,1))</f>
        <v>414.8063171894658</v>
      </c>
      <c r="T109" s="59">
        <f t="shared" si="88"/>
        <v>354.21555670988619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82.816627406168791</v>
      </c>
      <c r="AA109" s="21">
        <f>EXP(-LN(2)/25)*AA108+(1-EXP(-LN(2)/25))/(LN(2)/25)*Calculateur!V109*Calculateur!X109*VLOOKUP('Données projet'!$B$9,Paramètres!$A$1:$I$89,3,0)*0.475*44/12</f>
        <v>5.9559704095820614</v>
      </c>
      <c r="AB109" s="21">
        <f>EXP(-LN(2)/2)*AB108+(1-EXP(-LN(2)/2))/(LN(2)/2)*V109*Y109*VLOOKUP('Données projet'!$B$9,Paramètres!$A$1:$I$89,3,0)*0.475*44/12</f>
        <v>2.951804964013367E-12</v>
      </c>
      <c r="AC109" s="22">
        <f t="shared" si="57"/>
        <v>88.772597815753812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392.48436003609055</v>
      </c>
      <c r="AO109" s="59">
        <f t="shared" si="90"/>
        <v>236.3312446580419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212.42519999999985</v>
      </c>
      <c r="BF109" s="13">
        <f t="shared" si="91"/>
        <v>52.465198231787184</v>
      </c>
      <c r="BG109" s="20">
        <f t="shared" si="61"/>
        <v>461.35077692036231</v>
      </c>
      <c r="BH109" s="59">
        <f t="shared" si="62"/>
        <v>754.68411025369562</v>
      </c>
      <c r="BI109" s="59">
        <f ca="1">AVERAGE(OFFSET($BH$3,0,0,'Données projet'!$E$11+1,1))-AVERAGE(OFFSET($H$3,0,0,'Données projet'!$E$11+1,1))</f>
        <v>225.2323446080772</v>
      </c>
      <c r="BJ109" s="59">
        <f t="shared" si="92"/>
        <v>222.29030402759292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25.925975492008035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25.925975492008035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258.24239999999986</v>
      </c>
      <c r="CA109" s="13">
        <f t="shared" si="93"/>
        <v>62.347580891234152</v>
      </c>
      <c r="CB109" s="20">
        <f t="shared" si="64"/>
        <v>558.3608833855659</v>
      </c>
      <c r="CC109" s="59">
        <f t="shared" si="65"/>
        <v>851.69421671889927</v>
      </c>
      <c r="CD109" s="59">
        <f ca="1">AVERAGE(OFFSET($CC$3,0,0,'Données projet'!$E$12+1,1))-AVERAGE(OFFSET($H$3,0,0,'Données projet'!$E$12+1,1))</f>
        <v>281.84871057356037</v>
      </c>
      <c r="CE109" s="59">
        <f t="shared" si="94"/>
        <v>276.02211904126887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25.571087925154806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25.571087925154806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853.00000000000011</v>
      </c>
      <c r="O110" s="13">
        <f>N110*VLOOKUP('Données projet'!$B$9,Paramètres!$A$1:$I$89,3,0)*VLOOKUP('Données projet'!$B$9,Paramètres!$A$1:$I$89,5,0)</f>
        <v>399.20400000000006</v>
      </c>
      <c r="P110" s="13">
        <f t="shared" si="87"/>
        <v>91.615269732888521</v>
      </c>
      <c r="Q110" s="20">
        <f t="shared" si="107"/>
        <v>854.8435614514475</v>
      </c>
      <c r="R110" s="59">
        <f t="shared" si="55"/>
        <v>1148.1768947847809</v>
      </c>
      <c r="S110" s="59">
        <f ca="1">AVERAGE(OFFSET($R$3,0,0,'Données projet'!$E$9+1,1))-AVERAGE(OFFSET($H$3,0,0,'Données projet'!$E$9+1,1))</f>
        <v>414.8063171894658</v>
      </c>
      <c r="T110" s="59">
        <f t="shared" si="88"/>
        <v>354.21555670988619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81.192643855888775</v>
      </c>
      <c r="AA110" s="21">
        <f>EXP(-LN(2)/25)*AA109+(1-EXP(-LN(2)/25))/(LN(2)/25)*Calculateur!V110*Calculateur!X110*VLOOKUP('Données projet'!$B$9,Paramètres!$A$1:$I$89,3,0)*0.475*44/12</f>
        <v>5.7931040855211684</v>
      </c>
      <c r="AB110" s="21">
        <f>EXP(-LN(2)/2)*AB109+(1-EXP(-LN(2)/2))/(LN(2)/2)*V110*Y110*VLOOKUP('Données projet'!$B$9,Paramètres!$A$1:$I$89,3,0)*0.475*44/12</f>
        <v>2.0872413067939646E-12</v>
      </c>
      <c r="AC110" s="22">
        <f t="shared" si="57"/>
        <v>86.985747941412029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392.48436003609055</v>
      </c>
      <c r="AO110" s="59">
        <f t="shared" si="90"/>
        <v>236.3312446580419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212.42519999999985</v>
      </c>
      <c r="BF110" s="13">
        <f t="shared" si="91"/>
        <v>52.465198231787184</v>
      </c>
      <c r="BG110" s="20">
        <f t="shared" si="61"/>
        <v>461.35077692036231</v>
      </c>
      <c r="BH110" s="59">
        <f t="shared" si="62"/>
        <v>754.68411025369562</v>
      </c>
      <c r="BI110" s="59">
        <f ca="1">AVERAGE(OFFSET($BH$3,0,0,'Données projet'!$E$11+1,1))-AVERAGE(OFFSET($H$3,0,0,'Données projet'!$E$11+1,1))</f>
        <v>225.2323446080772</v>
      </c>
      <c r="BJ110" s="59">
        <f t="shared" si="92"/>
        <v>222.29030402759292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25.417582925893377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25.417582925893377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258.24239999999986</v>
      </c>
      <c r="CA110" s="13">
        <f t="shared" si="93"/>
        <v>62.347580891234152</v>
      </c>
      <c r="CB110" s="20">
        <f t="shared" si="64"/>
        <v>558.3608833855659</v>
      </c>
      <c r="CC110" s="59">
        <f t="shared" si="65"/>
        <v>851.69421671889927</v>
      </c>
      <c r="CD110" s="59">
        <f ca="1">AVERAGE(OFFSET($CC$3,0,0,'Données projet'!$E$12+1,1))-AVERAGE(OFFSET($H$3,0,0,'Données projet'!$E$12+1,1))</f>
        <v>281.84871057356037</v>
      </c>
      <c r="CE110" s="59">
        <f t="shared" si="94"/>
        <v>276.02211904126887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25.069654487766098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25.069654487766098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853.00000000000011</v>
      </c>
      <c r="O111" s="13">
        <f>N111*VLOOKUP('Données projet'!$B$9,Paramètres!$A$1:$I$89,3,0)*VLOOKUP('Données projet'!$B$9,Paramètres!$A$1:$I$89,5,0)</f>
        <v>399.20400000000006</v>
      </c>
      <c r="P111" s="13">
        <f t="shared" si="87"/>
        <v>91.615269732888521</v>
      </c>
      <c r="Q111" s="20">
        <f t="shared" si="107"/>
        <v>854.8435614514475</v>
      </c>
      <c r="R111" s="59">
        <f t="shared" si="55"/>
        <v>1148.1768947847809</v>
      </c>
      <c r="S111" s="59">
        <f ca="1">AVERAGE(OFFSET($R$3,0,0,'Données projet'!$E$9+1,1))-AVERAGE(OFFSET($H$3,0,0,'Données projet'!$E$9+1,1))</f>
        <v>414.8063171894658</v>
      </c>
      <c r="T111" s="59">
        <f t="shared" si="88"/>
        <v>354.21555670988619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79.600505632497601</v>
      </c>
      <c r="AA111" s="21">
        <f>EXP(-LN(2)/25)*AA110+(1-EXP(-LN(2)/25))/(LN(2)/25)*Calculateur!V111*Calculateur!X111*VLOOKUP('Données projet'!$B$9,Paramètres!$A$1:$I$89,3,0)*0.475*44/12</f>
        <v>5.6346913496564888</v>
      </c>
      <c r="AB111" s="21">
        <f>EXP(-LN(2)/2)*AB110+(1-EXP(-LN(2)/2))/(LN(2)/2)*V111*Y111*VLOOKUP('Données projet'!$B$9,Paramètres!$A$1:$I$89,3,0)*0.475*44/12</f>
        <v>1.4759024820066835E-12</v>
      </c>
      <c r="AC111" s="22">
        <f t="shared" si="57"/>
        <v>85.235196982155571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392.48436003609055</v>
      </c>
      <c r="AO111" s="59">
        <f t="shared" si="90"/>
        <v>236.3312446580419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212.42519999999985</v>
      </c>
      <c r="BF111" s="13">
        <f t="shared" si="91"/>
        <v>52.465198231787184</v>
      </c>
      <c r="BG111" s="20">
        <f t="shared" si="61"/>
        <v>461.35077692036231</v>
      </c>
      <c r="BH111" s="59">
        <f t="shared" si="62"/>
        <v>754.68411025369562</v>
      </c>
      <c r="BI111" s="59">
        <f ca="1">AVERAGE(OFFSET($BH$3,0,0,'Données projet'!$E$11+1,1))-AVERAGE(OFFSET($H$3,0,0,'Données projet'!$E$11+1,1))</f>
        <v>225.2323446080772</v>
      </c>
      <c r="BJ111" s="59">
        <f t="shared" si="92"/>
        <v>222.29030402759292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24.91915962791138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24.91915962791138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258.24239999999986</v>
      </c>
      <c r="CA111" s="13">
        <f t="shared" si="93"/>
        <v>62.347580891234152</v>
      </c>
      <c r="CB111" s="20">
        <f t="shared" si="64"/>
        <v>558.3608833855659</v>
      </c>
      <c r="CC111" s="59">
        <f t="shared" si="65"/>
        <v>851.69421671889927</v>
      </c>
      <c r="CD111" s="59">
        <f ca="1">AVERAGE(OFFSET($CC$3,0,0,'Données projet'!$E$12+1,1))-AVERAGE(OFFSET($H$3,0,0,'Données projet'!$E$12+1,1))</f>
        <v>281.84871057356037</v>
      </c>
      <c r="CE111" s="59">
        <f t="shared" si="94"/>
        <v>276.02211904126887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24.578053854240384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24.578053854240384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853.00000000000011</v>
      </c>
      <c r="O112" s="13">
        <f>N112*VLOOKUP('Données projet'!$B$9,Paramètres!$A$1:$I$89,3,0)*VLOOKUP('Données projet'!$B$9,Paramètres!$A$1:$I$89,5,0)</f>
        <v>399.20400000000006</v>
      </c>
      <c r="P112" s="13">
        <f t="shared" si="87"/>
        <v>91.615269732888521</v>
      </c>
      <c r="Q112" s="20">
        <f t="shared" si="107"/>
        <v>854.8435614514475</v>
      </c>
      <c r="R112" s="59">
        <f t="shared" si="55"/>
        <v>1148.1768947847809</v>
      </c>
      <c r="S112" s="59">
        <f ca="1">AVERAGE(OFFSET($R$3,0,0,'Données projet'!$E$9+1,1))-AVERAGE(OFFSET($H$3,0,0,'Données projet'!$E$9+1,1))</f>
        <v>414.8063171894658</v>
      </c>
      <c r="T112" s="59">
        <f t="shared" si="88"/>
        <v>354.21555670988619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78.039588268558688</v>
      </c>
      <c r="AA112" s="21">
        <f>EXP(-LN(2)/25)*AA111+(1-EXP(-LN(2)/25))/(LN(2)/25)*Calculateur!V112*Calculateur!X112*VLOOKUP('Données projet'!$B$9,Paramètres!$A$1:$I$89,3,0)*0.475*44/12</f>
        <v>5.4806104183845923</v>
      </c>
      <c r="AB112" s="21">
        <f>EXP(-LN(2)/2)*AB111+(1-EXP(-LN(2)/2))/(LN(2)/2)*V112*Y112*VLOOKUP('Données projet'!$B$9,Paramètres!$A$1:$I$89,3,0)*0.475*44/12</f>
        <v>1.0436206533969823E-12</v>
      </c>
      <c r="AC112" s="22">
        <f t="shared" si="57"/>
        <v>83.520198686944312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392.48436003609055</v>
      </c>
      <c r="AO112" s="59">
        <f t="shared" si="90"/>
        <v>236.3312446580419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212.42519999999985</v>
      </c>
      <c r="BF112" s="13">
        <f t="shared" si="91"/>
        <v>52.465198231787184</v>
      </c>
      <c r="BG112" s="20">
        <f t="shared" si="61"/>
        <v>461.35077692036231</v>
      </c>
      <c r="BH112" s="59">
        <f t="shared" si="62"/>
        <v>754.68411025369562</v>
      </c>
      <c r="BI112" s="59">
        <f ca="1">AVERAGE(OFFSET($BH$3,0,0,'Données projet'!$E$11+1,1))-AVERAGE(OFFSET($H$3,0,0,'Données projet'!$E$11+1,1))</f>
        <v>225.2323446080772</v>
      </c>
      <c r="BJ112" s="59">
        <f t="shared" si="92"/>
        <v>222.29030402759292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24.430510106794618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24.430510106794618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258.24239999999986</v>
      </c>
      <c r="CA112" s="13">
        <f t="shared" si="93"/>
        <v>62.347580891234152</v>
      </c>
      <c r="CB112" s="20">
        <f t="shared" si="64"/>
        <v>558.3608833855659</v>
      </c>
      <c r="CC112" s="59">
        <f t="shared" si="65"/>
        <v>851.69421671889927</v>
      </c>
      <c r="CD112" s="59">
        <f ca="1">AVERAGE(OFFSET($CC$3,0,0,'Données projet'!$E$12+1,1))-AVERAGE(OFFSET($H$3,0,0,'Données projet'!$E$12+1,1))</f>
        <v>281.84871057356037</v>
      </c>
      <c r="CE112" s="59">
        <f t="shared" si="94"/>
        <v>276.02211904126887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24.096093209291329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24.096093209291329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853.00000000000011</v>
      </c>
      <c r="O113" s="13">
        <f>N113*VLOOKUP('Données projet'!$B$9,Paramètres!$A$1:$I$89,3,0)*VLOOKUP('Données projet'!$B$9,Paramètres!$A$1:$I$89,5,0)</f>
        <v>399.20400000000006</v>
      </c>
      <c r="P113" s="13">
        <f t="shared" si="87"/>
        <v>91.615269732888521</v>
      </c>
      <c r="Q113" s="20">
        <f t="shared" si="107"/>
        <v>854.8435614514475</v>
      </c>
      <c r="R113" s="59">
        <f t="shared" si="55"/>
        <v>1148.1768947847809</v>
      </c>
      <c r="S113" s="59">
        <f ca="1">AVERAGE(OFFSET($R$3,0,0,'Données projet'!$E$9+1,1))-AVERAGE(OFFSET($H$3,0,0,'Données projet'!$E$9+1,1))</f>
        <v>414.8063171894658</v>
      </c>
      <c r="T113" s="59">
        <f t="shared" si="88"/>
        <v>354.21555670988619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76.509279542061037</v>
      </c>
      <c r="AA113" s="21">
        <f>EXP(-LN(2)/25)*AA112+(1-EXP(-LN(2)/25))/(LN(2)/25)*Calculateur!V113*Calculateur!X113*VLOOKUP('Données projet'!$B$9,Paramètres!$A$1:$I$89,3,0)*0.475*44/12</f>
        <v>5.3307428382810897</v>
      </c>
      <c r="AB113" s="21">
        <f>EXP(-LN(2)/2)*AB112+(1-EXP(-LN(2)/2))/(LN(2)/2)*V113*Y113*VLOOKUP('Données projet'!$B$9,Paramètres!$A$1:$I$89,3,0)*0.475*44/12</f>
        <v>7.3795124100334174E-13</v>
      </c>
      <c r="AC113" s="22">
        <f t="shared" si="57"/>
        <v>81.840022380342873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392.48436003609055</v>
      </c>
      <c r="AO113" s="59">
        <f t="shared" si="90"/>
        <v>236.3312446580419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212.42519999999985</v>
      </c>
      <c r="BF113" s="13">
        <f t="shared" si="91"/>
        <v>52.465198231787184</v>
      </c>
      <c r="BG113" s="20">
        <f t="shared" si="61"/>
        <v>461.35077692036231</v>
      </c>
      <c r="BH113" s="59">
        <f t="shared" si="62"/>
        <v>754.68411025369562</v>
      </c>
      <c r="BI113" s="59">
        <f ca="1">AVERAGE(OFFSET($BH$3,0,0,'Données projet'!$E$11+1,1))-AVERAGE(OFFSET($H$3,0,0,'Données projet'!$E$11+1,1))</f>
        <v>225.2323446080772</v>
      </c>
      <c r="BJ113" s="59">
        <f t="shared" si="92"/>
        <v>222.29030402759292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23.951442704740174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23.951442704740174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258.24239999999986</v>
      </c>
      <c r="CA113" s="13">
        <f t="shared" si="93"/>
        <v>62.347580891234152</v>
      </c>
      <c r="CB113" s="20">
        <f t="shared" si="64"/>
        <v>558.3608833855659</v>
      </c>
      <c r="CC113" s="59">
        <f t="shared" si="65"/>
        <v>851.69421671889927</v>
      </c>
      <c r="CD113" s="59">
        <f ca="1">AVERAGE(OFFSET($CC$3,0,0,'Données projet'!$E$12+1,1))-AVERAGE(OFFSET($H$3,0,0,'Données projet'!$E$12+1,1))</f>
        <v>281.84871057356037</v>
      </c>
      <c r="CE113" s="59">
        <f t="shared" si="94"/>
        <v>276.02211904126887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23.623583518622759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23.623583518622759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853.00000000000011</v>
      </c>
      <c r="O114" s="13">
        <f>N114*VLOOKUP('Données projet'!$B$9,Paramètres!$A$1:$I$89,3,0)*VLOOKUP('Données projet'!$B$9,Paramètres!$A$1:$I$89,5,0)</f>
        <v>399.20400000000006</v>
      </c>
      <c r="P114" s="13">
        <f t="shared" si="87"/>
        <v>91.615269732888521</v>
      </c>
      <c r="Q114" s="20">
        <f t="shared" si="107"/>
        <v>854.8435614514475</v>
      </c>
      <c r="R114" s="59">
        <f t="shared" si="55"/>
        <v>1148.1768947847809</v>
      </c>
      <c r="S114" s="59">
        <f ca="1">AVERAGE(OFFSET($R$3,0,0,'Données projet'!$E$9+1,1))-AVERAGE(OFFSET($H$3,0,0,'Données projet'!$E$9+1,1))</f>
        <v>414.8063171894658</v>
      </c>
      <c r="T114" s="59">
        <f t="shared" si="88"/>
        <v>354.21555670988619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75.008979236293854</v>
      </c>
      <c r="AA114" s="21">
        <f>EXP(-LN(2)/25)*AA113+(1-EXP(-LN(2)/25))/(LN(2)/25)*Calculateur!V114*Calculateur!X114*VLOOKUP('Données projet'!$B$9,Paramètres!$A$1:$I$89,3,0)*0.475*44/12</f>
        <v>5.1849733950367112</v>
      </c>
      <c r="AB114" s="21">
        <f>EXP(-LN(2)/2)*AB113+(1-EXP(-LN(2)/2))/(LN(2)/2)*V114*Y114*VLOOKUP('Données projet'!$B$9,Paramètres!$A$1:$I$89,3,0)*0.475*44/12</f>
        <v>5.2181032669849115E-13</v>
      </c>
      <c r="AC114" s="22">
        <f t="shared" si="57"/>
        <v>80.193952631331086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973.83748998712099</v>
      </c>
      <c r="AN114" s="59">
        <f ca="1">AVERAGE(OFFSET($AM$3,0,0,'Données projet'!$E$10+1,1))-AVERAGE(OFFSET($H$3,0,0,'Données projet'!$E$10+1,1))</f>
        <v>392.48436003609055</v>
      </c>
      <c r="AO114" s="59">
        <f t="shared" si="90"/>
        <v>236.3312446580419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212.42519999999985</v>
      </c>
      <c r="BF114" s="13">
        <f t="shared" si="91"/>
        <v>52.465198231787184</v>
      </c>
      <c r="BG114" s="20">
        <f t="shared" si="61"/>
        <v>461.35077692036231</v>
      </c>
      <c r="BH114" s="59">
        <f t="shared" si="62"/>
        <v>754.68411025369562</v>
      </c>
      <c r="BI114" s="59">
        <f ca="1">AVERAGE(OFFSET($BH$3,0,0,'Données projet'!$E$11+1,1))-AVERAGE(OFFSET($H$3,0,0,'Données projet'!$E$11+1,1))</f>
        <v>225.2323446080772</v>
      </c>
      <c r="BJ114" s="59">
        <f t="shared" si="92"/>
        <v>222.29030402759292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23.481769522237755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23.481769522237755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258.24239999999986</v>
      </c>
      <c r="CA114" s="13">
        <f t="shared" si="93"/>
        <v>62.347580891234152</v>
      </c>
      <c r="CB114" s="20">
        <f t="shared" si="64"/>
        <v>558.3608833855659</v>
      </c>
      <c r="CC114" s="59">
        <f t="shared" si="65"/>
        <v>851.69421671889927</v>
      </c>
      <c r="CD114" s="59">
        <f ca="1">AVERAGE(OFFSET($CC$3,0,0,'Données projet'!$E$12+1,1))-AVERAGE(OFFSET($H$3,0,0,'Données projet'!$E$12+1,1))</f>
        <v>281.84871057356037</v>
      </c>
      <c r="CE114" s="59">
        <f t="shared" si="94"/>
        <v>276.02211904126887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23.160339454785746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23.160339454785746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853.00000000000011</v>
      </c>
      <c r="O115" s="13">
        <f>N115*VLOOKUP('Données projet'!$B$9,Paramètres!$A$1:$I$89,3,0)*VLOOKUP('Données projet'!$B$9,Paramètres!$A$1:$I$89,5,0)</f>
        <v>399.20400000000006</v>
      </c>
      <c r="P115" s="13">
        <f t="shared" si="87"/>
        <v>91.615269732888521</v>
      </c>
      <c r="Q115" s="20">
        <f t="shared" si="107"/>
        <v>854.8435614514475</v>
      </c>
      <c r="R115" s="59">
        <f t="shared" si="55"/>
        <v>1148.1768947847809</v>
      </c>
      <c r="S115" s="59">
        <f ca="1">AVERAGE(OFFSET($R$3,0,0,'Données projet'!$E$9+1,1))-AVERAGE(OFFSET($H$3,0,0,'Données projet'!$E$9+1,1))</f>
        <v>414.8063171894658</v>
      </c>
      <c r="T115" s="59">
        <f t="shared" si="88"/>
        <v>354.21555670988619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73.53809890442993</v>
      </c>
      <c r="AA115" s="21">
        <f>EXP(-LN(2)/25)*AA114+(1-EXP(-LN(2)/25))/(LN(2)/25)*Calculateur!V115*Calculateur!X115*VLOOKUP('Données projet'!$B$9,Paramètres!$A$1:$I$89,3,0)*0.475*44/12</f>
        <v>5.0431900248835317</v>
      </c>
      <c r="AB115" s="21">
        <f>EXP(-LN(2)/2)*AB114+(1-EXP(-LN(2)/2))/(LN(2)/2)*V115*Y115*VLOOKUP('Données projet'!$B$9,Paramètres!$A$1:$I$89,3,0)*0.475*44/12</f>
        <v>3.6897562050167087E-13</v>
      </c>
      <c r="AC115" s="22">
        <f t="shared" si="57"/>
        <v>78.581288929313828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984.07924644479476</v>
      </c>
      <c r="AN115" s="59">
        <f ca="1">AVERAGE(OFFSET($AM$3,0,0,'Données projet'!$E$10+1,1))-AVERAGE(OFFSET($H$3,0,0,'Données projet'!$E$10+1,1))</f>
        <v>392.48436003609055</v>
      </c>
      <c r="AO115" s="59">
        <f t="shared" si="90"/>
        <v>236.3312446580419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212.42519999999985</v>
      </c>
      <c r="BF115" s="13">
        <f t="shared" si="91"/>
        <v>52.465198231787184</v>
      </c>
      <c r="BG115" s="20">
        <f t="shared" si="61"/>
        <v>461.35077692036231</v>
      </c>
      <c r="BH115" s="59">
        <f t="shared" si="62"/>
        <v>754.68411025369562</v>
      </c>
      <c r="BI115" s="59">
        <f ca="1">AVERAGE(OFFSET($BH$3,0,0,'Données projet'!$E$11+1,1))-AVERAGE(OFFSET($H$3,0,0,'Données projet'!$E$11+1,1))</f>
        <v>225.2323446080772</v>
      </c>
      <c r="BJ115" s="59">
        <f t="shared" si="92"/>
        <v>222.29030402759292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23.021306344371855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23.021306344371855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258.24239999999986</v>
      </c>
      <c r="CA115" s="13">
        <f t="shared" si="93"/>
        <v>62.347580891234152</v>
      </c>
      <c r="CB115" s="20">
        <f t="shared" si="64"/>
        <v>558.3608833855659</v>
      </c>
      <c r="CC115" s="59">
        <f t="shared" si="65"/>
        <v>851.69421671889927</v>
      </c>
      <c r="CD115" s="59">
        <f ca="1">AVERAGE(OFFSET($CC$3,0,0,'Données projet'!$E$12+1,1))-AVERAGE(OFFSET($H$3,0,0,'Données projet'!$E$12+1,1))</f>
        <v>281.84871057356037</v>
      </c>
      <c r="CE115" s="59">
        <f t="shared" si="94"/>
        <v>276.02211904126887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22.706179324489597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22.706179324489597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853.00000000000011</v>
      </c>
      <c r="O116" s="13">
        <f>N116*VLOOKUP('Données projet'!$B$9,Paramètres!$A$1:$I$89,3,0)*VLOOKUP('Données projet'!$B$9,Paramètres!$A$1:$I$89,5,0)</f>
        <v>399.20400000000006</v>
      </c>
      <c r="P116" s="13">
        <f t="shared" si="87"/>
        <v>91.615269732888521</v>
      </c>
      <c r="Q116" s="20">
        <f t="shared" si="107"/>
        <v>854.8435614514475</v>
      </c>
      <c r="R116" s="59">
        <f t="shared" si="55"/>
        <v>1148.1768947847809</v>
      </c>
      <c r="S116" s="59">
        <f ca="1">AVERAGE(OFFSET($R$3,0,0,'Données projet'!$E$9+1,1))-AVERAGE(OFFSET($H$3,0,0,'Données projet'!$E$9+1,1))</f>
        <v>414.8063171894658</v>
      </c>
      <c r="T116" s="59">
        <f t="shared" si="88"/>
        <v>354.21555670988619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72.096061638725445</v>
      </c>
      <c r="AA116" s="21">
        <f>EXP(-LN(2)/25)*AA115+(1-EXP(-LN(2)/25))/(LN(2)/25)*Calculateur!V116*Calculateur!X116*VLOOKUP('Données projet'!$B$9,Paramètres!$A$1:$I$89,3,0)*0.475*44/12</f>
        <v>4.9052837284432549</v>
      </c>
      <c r="AB116" s="21">
        <f>EXP(-LN(2)/2)*AB115+(1-EXP(-LN(2)/2))/(LN(2)/2)*V116*Y116*VLOOKUP('Données projet'!$B$9,Paramètres!$A$1:$I$89,3,0)*0.475*44/12</f>
        <v>2.6090516334924558E-13</v>
      </c>
      <c r="AC116" s="22">
        <f t="shared" si="57"/>
        <v>77.001345367168952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994.3178912385747</v>
      </c>
      <c r="AN116" s="59">
        <f ca="1">AVERAGE(OFFSET($AM$3,0,0,'Données projet'!$E$10+1,1))-AVERAGE(OFFSET($H$3,0,0,'Données projet'!$E$10+1,1))</f>
        <v>392.48436003609055</v>
      </c>
      <c r="AO116" s="59">
        <f t="shared" si="90"/>
        <v>236.3312446580419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212.42519999999985</v>
      </c>
      <c r="BF116" s="13">
        <f t="shared" si="91"/>
        <v>52.465198231787184</v>
      </c>
      <c r="BG116" s="20">
        <f t="shared" si="61"/>
        <v>461.35077692036231</v>
      </c>
      <c r="BH116" s="59">
        <f t="shared" si="62"/>
        <v>754.68411025369562</v>
      </c>
      <c r="BI116" s="59">
        <f ca="1">AVERAGE(OFFSET($BH$3,0,0,'Données projet'!$E$11+1,1))-AVERAGE(OFFSET($H$3,0,0,'Données projet'!$E$11+1,1))</f>
        <v>225.2323446080772</v>
      </c>
      <c r="BJ116" s="59">
        <f t="shared" si="92"/>
        <v>222.29030402759292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22.5698725685691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22.5698725685691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258.24239999999986</v>
      </c>
      <c r="CA116" s="13">
        <f t="shared" si="93"/>
        <v>62.347580891234152</v>
      </c>
      <c r="CB116" s="20">
        <f t="shared" si="64"/>
        <v>558.3608833855659</v>
      </c>
      <c r="CC116" s="59">
        <f t="shared" si="65"/>
        <v>851.69421671889927</v>
      </c>
      <c r="CD116" s="59">
        <f ca="1">AVERAGE(OFFSET($CC$3,0,0,'Données projet'!$E$12+1,1))-AVERAGE(OFFSET($H$3,0,0,'Données projet'!$E$12+1,1))</f>
        <v>281.84871057356037</v>
      </c>
      <c r="CE116" s="59">
        <f t="shared" si="94"/>
        <v>276.02211904126887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22.260924997338229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22.260924997338229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853.00000000000011</v>
      </c>
      <c r="O117" s="13">
        <f>N117*VLOOKUP('Données projet'!$B$9,Paramètres!$A$1:$I$89,3,0)*VLOOKUP('Données projet'!$B$9,Paramètres!$A$1:$I$89,5,0)</f>
        <v>399.20400000000006</v>
      </c>
      <c r="P117" s="13">
        <f t="shared" si="87"/>
        <v>91.615269732888521</v>
      </c>
      <c r="Q117" s="20">
        <f t="shared" si="107"/>
        <v>854.8435614514475</v>
      </c>
      <c r="R117" s="59">
        <f t="shared" si="55"/>
        <v>1148.1768947847809</v>
      </c>
      <c r="S117" s="59">
        <f ca="1">AVERAGE(OFFSET($R$3,0,0,'Données projet'!$E$9+1,1))-AVERAGE(OFFSET($H$3,0,0,'Données projet'!$E$9+1,1))</f>
        <v>414.8063171894658</v>
      </c>
      <c r="T117" s="59">
        <f t="shared" si="88"/>
        <v>354.21555670988619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70.682301844245544</v>
      </c>
      <c r="AA117" s="21">
        <f>EXP(-LN(2)/25)*AA116+(1-EXP(-LN(2)/25))/(LN(2)/25)*Calculateur!V117*Calculateur!X117*VLOOKUP('Données projet'!$B$9,Paramètres!$A$1:$I$89,3,0)*0.475*44/12</f>
        <v>4.7711484869313141</v>
      </c>
      <c r="AB117" s="21">
        <f>EXP(-LN(2)/2)*AB116+(1-EXP(-LN(2)/2))/(LN(2)/2)*V117*Y117*VLOOKUP('Données projet'!$B$9,Paramètres!$A$1:$I$89,3,0)*0.475*44/12</f>
        <v>1.8448781025083543E-13</v>
      </c>
      <c r="AC117" s="22">
        <f t="shared" si="57"/>
        <v>75.453450331177038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1004.5534762082168</v>
      </c>
      <c r="AN117" s="59">
        <f ca="1">AVERAGE(OFFSET($AM$3,0,0,'Données projet'!$E$10+1,1))-AVERAGE(OFFSET($H$3,0,0,'Données projet'!$E$10+1,1))</f>
        <v>392.48436003609055</v>
      </c>
      <c r="AO117" s="59">
        <f t="shared" si="90"/>
        <v>236.3312446580419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212.42519999999985</v>
      </c>
      <c r="BF117" s="13">
        <f t="shared" si="91"/>
        <v>52.465198231787184</v>
      </c>
      <c r="BG117" s="20">
        <f t="shared" si="61"/>
        <v>461.35077692036231</v>
      </c>
      <c r="BH117" s="59">
        <f t="shared" si="62"/>
        <v>754.68411025369562</v>
      </c>
      <c r="BI117" s="59">
        <f ca="1">AVERAGE(OFFSET($BH$3,0,0,'Données projet'!$E$11+1,1))-AVERAGE(OFFSET($H$3,0,0,'Données projet'!$E$11+1,1))</f>
        <v>225.2323446080772</v>
      </c>
      <c r="BJ117" s="59">
        <f t="shared" si="92"/>
        <v>222.29030402759292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22.127291133762419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22.127291133762419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258.24239999999986</v>
      </c>
      <c r="CA117" s="13">
        <f t="shared" si="93"/>
        <v>62.347580891234152</v>
      </c>
      <c r="CB117" s="20">
        <f t="shared" si="64"/>
        <v>558.3608833855659</v>
      </c>
      <c r="CC117" s="59">
        <f t="shared" si="65"/>
        <v>851.69421671889927</v>
      </c>
      <c r="CD117" s="59">
        <f ca="1">AVERAGE(OFFSET($CC$3,0,0,'Données projet'!$E$12+1,1))-AVERAGE(OFFSET($H$3,0,0,'Données projet'!$E$12+1,1))</f>
        <v>281.84871057356037</v>
      </c>
      <c r="CE117" s="59">
        <f t="shared" si="94"/>
        <v>276.02211904126887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21.824401835963975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21.824401835963975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853.00000000000011</v>
      </c>
      <c r="O118" s="13">
        <f>N118*VLOOKUP('Données projet'!$B$9,Paramètres!$A$1:$I$89,3,0)*VLOOKUP('Données projet'!$B$9,Paramètres!$A$1:$I$89,5,0)</f>
        <v>399.20400000000006</v>
      </c>
      <c r="P118" s="13">
        <f t="shared" si="87"/>
        <v>91.615269732888521</v>
      </c>
      <c r="Q118" s="20">
        <f t="shared" si="107"/>
        <v>854.8435614514475</v>
      </c>
      <c r="R118" s="59">
        <f t="shared" si="55"/>
        <v>1148.1768947847809</v>
      </c>
      <c r="S118" s="59">
        <f ca="1">AVERAGE(OFFSET($R$3,0,0,'Données projet'!$E$9+1,1))-AVERAGE(OFFSET($H$3,0,0,'Données projet'!$E$9+1,1))</f>
        <v>414.8063171894658</v>
      </c>
      <c r="T118" s="59">
        <f t="shared" si="88"/>
        <v>354.21555670988619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69.296265017027068</v>
      </c>
      <c r="AA118" s="21">
        <f>EXP(-LN(2)/25)*AA117+(1-EXP(-LN(2)/25))/(LN(2)/25)*Calculateur!V118*Calculateur!X118*VLOOKUP('Données projet'!$B$9,Paramètres!$A$1:$I$89,3,0)*0.475*44/12</f>
        <v>4.6406811806523827</v>
      </c>
      <c r="AB118" s="21">
        <f>EXP(-LN(2)/2)*AB117+(1-EXP(-LN(2)/2))/(LN(2)/2)*V118*Y118*VLOOKUP('Données projet'!$B$9,Paramètres!$A$1:$I$89,3,0)*0.475*44/12</f>
        <v>1.3045258167462279E-13</v>
      </c>
      <c r="AC118" s="22">
        <f t="shared" si="57"/>
        <v>73.936946197679575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1014.7860515802593</v>
      </c>
      <c r="AN118" s="59">
        <f ca="1">AVERAGE(OFFSET($AM$3,0,0,'Données projet'!$E$10+1,1))-AVERAGE(OFFSET($H$3,0,0,'Données projet'!$E$10+1,1))</f>
        <v>392.48436003609055</v>
      </c>
      <c r="AO118" s="59">
        <f t="shared" si="90"/>
        <v>236.3312446580419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212.42519999999985</v>
      </c>
      <c r="BF118" s="13">
        <f t="shared" si="91"/>
        <v>52.465198231787184</v>
      </c>
      <c r="BG118" s="20">
        <f t="shared" si="61"/>
        <v>461.35077692036231</v>
      </c>
      <c r="BH118" s="59">
        <f t="shared" si="62"/>
        <v>754.68411025369562</v>
      </c>
      <c r="BI118" s="59">
        <f ca="1">AVERAGE(OFFSET($BH$3,0,0,'Données projet'!$E$11+1,1))-AVERAGE(OFFSET($H$3,0,0,'Données projet'!$E$11+1,1))</f>
        <v>225.2323446080772</v>
      </c>
      <c r="BJ118" s="59">
        <f t="shared" si="92"/>
        <v>222.29030402759292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21.69338845094428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21.69338845094428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258.24239999999986</v>
      </c>
      <c r="CA118" s="13">
        <f t="shared" si="93"/>
        <v>62.347580891234152</v>
      </c>
      <c r="CB118" s="20">
        <f t="shared" si="64"/>
        <v>558.3608833855659</v>
      </c>
      <c r="CC118" s="59">
        <f t="shared" si="65"/>
        <v>851.69421671889927</v>
      </c>
      <c r="CD118" s="59">
        <f ca="1">AVERAGE(OFFSET($CC$3,0,0,'Données projet'!$E$12+1,1))-AVERAGE(OFFSET($H$3,0,0,'Données projet'!$E$12+1,1))</f>
        <v>281.84871057356037</v>
      </c>
      <c r="CE118" s="59">
        <f t="shared" si="94"/>
        <v>276.02211904126887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21.396438627531435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21.396438627531435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853.00000000000011</v>
      </c>
      <c r="O119" s="13">
        <f>N119*VLOOKUP('Données projet'!$B$9,Paramètres!$A$1:$I$89,3,0)*VLOOKUP('Données projet'!$B$9,Paramètres!$A$1:$I$89,5,0)</f>
        <v>399.20400000000006</v>
      </c>
      <c r="P119" s="13">
        <f t="shared" si="87"/>
        <v>91.615269732888521</v>
      </c>
      <c r="Q119" s="20">
        <f t="shared" si="107"/>
        <v>854.8435614514475</v>
      </c>
      <c r="R119" s="59">
        <f t="shared" si="55"/>
        <v>1148.1768947847809</v>
      </c>
      <c r="S119" s="59">
        <f ca="1">AVERAGE(OFFSET($R$3,0,0,'Données projet'!$E$9+1,1))-AVERAGE(OFFSET($H$3,0,0,'Données projet'!$E$9+1,1))</f>
        <v>414.8063171894658</v>
      </c>
      <c r="T119" s="59">
        <f t="shared" si="88"/>
        <v>354.21555670988619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67.937407526591358</v>
      </c>
      <c r="AA119" s="21">
        <f>EXP(-LN(2)/25)*AA118+(1-EXP(-LN(2)/25))/(LN(2)/25)*Calculateur!V119*Calculateur!X119*VLOOKUP('Données projet'!$B$9,Paramètres!$A$1:$I$89,3,0)*0.475*44/12</f>
        <v>4.5137815097246268</v>
      </c>
      <c r="AB119" s="21">
        <f>EXP(-LN(2)/2)*AB118+(1-EXP(-LN(2)/2))/(LN(2)/2)*V119*Y119*VLOOKUP('Données projet'!$B$9,Paramètres!$A$1:$I$89,3,0)*0.475*44/12</f>
        <v>9.2243905125417717E-14</v>
      </c>
      <c r="AC119" s="22">
        <f t="shared" si="57"/>
        <v>72.451189036316066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963.59256833510426</v>
      </c>
      <c r="AN119" s="59">
        <f ca="1">AVERAGE(OFFSET($AM$3,0,0,'Données projet'!$E$10+1,1))-AVERAGE(OFFSET($H$3,0,0,'Données projet'!$E$10+1,1))</f>
        <v>392.48436003609055</v>
      </c>
      <c r="AO119" s="59">
        <f t="shared" si="90"/>
        <v>236.3312446580419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212.42519999999985</v>
      </c>
      <c r="BF119" s="13">
        <f t="shared" si="91"/>
        <v>52.465198231787184</v>
      </c>
      <c r="BG119" s="20">
        <f t="shared" si="61"/>
        <v>461.35077692036231</v>
      </c>
      <c r="BH119" s="59">
        <f t="shared" si="62"/>
        <v>754.68411025369562</v>
      </c>
      <c r="BI119" s="59">
        <f ca="1">AVERAGE(OFFSET($BH$3,0,0,'Données projet'!$E$11+1,1))-AVERAGE(OFFSET($H$3,0,0,'Données projet'!$E$11+1,1))</f>
        <v>225.2323446080772</v>
      </c>
      <c r="BJ119" s="59">
        <f t="shared" si="92"/>
        <v>222.29030402759292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21.267994335081699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21.267994335081699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258.24239999999986</v>
      </c>
      <c r="CA119" s="13">
        <f t="shared" si="93"/>
        <v>62.347580891234152</v>
      </c>
      <c r="CB119" s="20">
        <f t="shared" si="64"/>
        <v>558.3608833855659</v>
      </c>
      <c r="CC119" s="59">
        <f t="shared" si="65"/>
        <v>851.69421671889927</v>
      </c>
      <c r="CD119" s="59">
        <f ca="1">AVERAGE(OFFSET($CC$3,0,0,'Données projet'!$E$12+1,1))-AVERAGE(OFFSET($H$3,0,0,'Données projet'!$E$12+1,1))</f>
        <v>281.84871057356037</v>
      </c>
      <c r="CE119" s="59">
        <f t="shared" si="94"/>
        <v>276.02211904126887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20.976867516584473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20.976867516584473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853.00000000000011</v>
      </c>
      <c r="O120" s="13">
        <f>N120*VLOOKUP('Données projet'!$B$9,Paramètres!$A$1:$I$89,3,0)*VLOOKUP('Données projet'!$B$9,Paramètres!$A$1:$I$89,5,0)</f>
        <v>399.20400000000006</v>
      </c>
      <c r="P120" s="13">
        <f t="shared" si="87"/>
        <v>91.615269732888521</v>
      </c>
      <c r="Q120" s="20">
        <f t="shared" si="107"/>
        <v>854.8435614514475</v>
      </c>
      <c r="R120" s="59">
        <f t="shared" si="55"/>
        <v>1148.1768947847809</v>
      </c>
      <c r="S120" s="59">
        <f ca="1">AVERAGE(OFFSET($R$3,0,0,'Données projet'!$E$9+1,1))-AVERAGE(OFFSET($H$3,0,0,'Données projet'!$E$9+1,1))</f>
        <v>414.8063171894658</v>
      </c>
      <c r="T120" s="59">
        <f t="shared" si="88"/>
        <v>354.21555670988619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66.605196402721859</v>
      </c>
      <c r="AA120" s="21">
        <f>EXP(-LN(2)/25)*AA119+(1-EXP(-LN(2)/25))/(LN(2)/25)*Calculateur!V120*Calculateur!X120*VLOOKUP('Données projet'!$B$9,Paramètres!$A$1:$I$89,3,0)*0.475*44/12</f>
        <v>4.3903519169717535</v>
      </c>
      <c r="AB120" s="21">
        <f>EXP(-LN(2)/2)*AB119+(1-EXP(-LN(2)/2))/(LN(2)/2)*V120*Y120*VLOOKUP('Données projet'!$B$9,Paramètres!$A$1:$I$89,3,0)*0.475*44/12</f>
        <v>6.5226290837311394E-14</v>
      </c>
      <c r="AC120" s="22">
        <f t="shared" si="57"/>
        <v>70.995548319693683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963.59256833510426</v>
      </c>
      <c r="AN120" s="59">
        <f ca="1">AVERAGE(OFFSET($AM$3,0,0,'Données projet'!$E$10+1,1))-AVERAGE(OFFSET($H$3,0,0,'Données projet'!$E$10+1,1))</f>
        <v>392.48436003609055</v>
      </c>
      <c r="AO120" s="59">
        <f t="shared" si="90"/>
        <v>236.3312446580419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212.42519999999985</v>
      </c>
      <c r="BF120" s="13">
        <f t="shared" si="91"/>
        <v>52.465198231787184</v>
      </c>
      <c r="BG120" s="20">
        <f t="shared" si="61"/>
        <v>461.35077692036231</v>
      </c>
      <c r="BH120" s="59">
        <f t="shared" si="62"/>
        <v>754.68411025369562</v>
      </c>
      <c r="BI120" s="59">
        <f ca="1">AVERAGE(OFFSET($BH$3,0,0,'Données projet'!$E$11+1,1))-AVERAGE(OFFSET($H$3,0,0,'Données projet'!$E$11+1,1))</f>
        <v>225.2323446080772</v>
      </c>
      <c r="BJ120" s="59">
        <f t="shared" si="92"/>
        <v>222.29030402759292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20.850941938366393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20.850941938366393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258.24239999999986</v>
      </c>
      <c r="CA120" s="13">
        <f t="shared" si="93"/>
        <v>62.347580891234152</v>
      </c>
      <c r="CB120" s="20">
        <f t="shared" si="64"/>
        <v>558.3608833855659</v>
      </c>
      <c r="CC120" s="59">
        <f t="shared" si="65"/>
        <v>851.69421671889927</v>
      </c>
      <c r="CD120" s="59">
        <f ca="1">AVERAGE(OFFSET($CC$3,0,0,'Données projet'!$E$12+1,1))-AVERAGE(OFFSET($H$3,0,0,'Données projet'!$E$12+1,1))</f>
        <v>281.84871057356037</v>
      </c>
      <c r="CE120" s="59">
        <f t="shared" si="94"/>
        <v>276.02211904126887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20.565523939210074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20.565523939210074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853.00000000000011</v>
      </c>
      <c r="O121" s="13">
        <f>N121*VLOOKUP('Données projet'!$B$9,Paramètres!$A$1:$I$89,3,0)*VLOOKUP('Données projet'!$B$9,Paramètres!$A$1:$I$89,5,0)</f>
        <v>399.20400000000006</v>
      </c>
      <c r="P121" s="13">
        <f t="shared" si="87"/>
        <v>91.615269732888521</v>
      </c>
      <c r="Q121" s="20">
        <f t="shared" si="107"/>
        <v>854.8435614514475</v>
      </c>
      <c r="R121" s="59">
        <f t="shared" si="55"/>
        <v>1148.1768947847809</v>
      </c>
      <c r="S121" s="59">
        <f ca="1">AVERAGE(OFFSET($R$3,0,0,'Données projet'!$E$9+1,1))-AVERAGE(OFFSET($H$3,0,0,'Données projet'!$E$9+1,1))</f>
        <v>414.8063171894658</v>
      </c>
      <c r="T121" s="59">
        <f t="shared" si="88"/>
        <v>354.21555670988619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65.299109126422891</v>
      </c>
      <c r="AA121" s="21">
        <f>EXP(-LN(2)/25)*AA120+(1-EXP(-LN(2)/25))/(LN(2)/25)*Calculateur!V121*Calculateur!X121*VLOOKUP('Données projet'!$B$9,Paramètres!$A$1:$I$89,3,0)*0.475*44/12</f>
        <v>4.2702975129235883</v>
      </c>
      <c r="AB121" s="21">
        <f>EXP(-LN(2)/2)*AB120+(1-EXP(-LN(2)/2))/(LN(2)/2)*V121*Y121*VLOOKUP('Données projet'!$B$9,Paramètres!$A$1:$I$89,3,0)*0.475*44/12</f>
        <v>4.6121952562708859E-14</v>
      </c>
      <c r="AC121" s="22">
        <f t="shared" si="57"/>
        <v>69.569406639346525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963.59256833510426</v>
      </c>
      <c r="AN121" s="59">
        <f ca="1">AVERAGE(OFFSET($AM$3,0,0,'Données projet'!$E$10+1,1))-AVERAGE(OFFSET($H$3,0,0,'Données projet'!$E$10+1,1))</f>
        <v>392.48436003609055</v>
      </c>
      <c r="AO121" s="59">
        <f t="shared" si="90"/>
        <v>236.3312446580419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212.42519999999985</v>
      </c>
      <c r="BF121" s="13">
        <f t="shared" si="91"/>
        <v>52.465198231787184</v>
      </c>
      <c r="BG121" s="20">
        <f t="shared" si="61"/>
        <v>461.35077692036231</v>
      </c>
      <c r="BH121" s="59">
        <f t="shared" si="62"/>
        <v>754.68411025369562</v>
      </c>
      <c r="BI121" s="59">
        <f ca="1">AVERAGE(OFFSET($BH$3,0,0,'Données projet'!$E$11+1,1))-AVERAGE(OFFSET($H$3,0,0,'Données projet'!$E$11+1,1))</f>
        <v>225.2323446080772</v>
      </c>
      <c r="BJ121" s="59">
        <f t="shared" si="92"/>
        <v>222.29030402759292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20.442067684773832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20.442067684773832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258.24239999999986</v>
      </c>
      <c r="CA121" s="13">
        <f t="shared" si="93"/>
        <v>62.347580891234152</v>
      </c>
      <c r="CB121" s="20">
        <f t="shared" si="64"/>
        <v>558.3608833855659</v>
      </c>
      <c r="CC121" s="59">
        <f t="shared" si="65"/>
        <v>851.69421671889927</v>
      </c>
      <c r="CD121" s="59">
        <f ca="1">AVERAGE(OFFSET($CC$3,0,0,'Données projet'!$E$12+1,1))-AVERAGE(OFFSET($H$3,0,0,'Données projet'!$E$12+1,1))</f>
        <v>281.84871057356037</v>
      </c>
      <c r="CE121" s="59">
        <f t="shared" si="94"/>
        <v>276.02211904126887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20.162246558493177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20.162246558493177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853.00000000000011</v>
      </c>
      <c r="O122" s="13">
        <f>N122*VLOOKUP('Données projet'!$B$9,Paramètres!$A$1:$I$89,3,0)*VLOOKUP('Données projet'!$B$9,Paramètres!$A$1:$I$89,5,0)</f>
        <v>399.20400000000006</v>
      </c>
      <c r="P122" s="13">
        <f t="shared" si="87"/>
        <v>91.615269732888521</v>
      </c>
      <c r="Q122" s="20">
        <f t="shared" si="107"/>
        <v>854.8435614514475</v>
      </c>
      <c r="R122" s="59">
        <f t="shared" si="55"/>
        <v>1148.1768947847809</v>
      </c>
      <c r="S122" s="59">
        <f ca="1">AVERAGE(OFFSET($R$3,0,0,'Données projet'!$E$9+1,1))-AVERAGE(OFFSET($H$3,0,0,'Données projet'!$E$9+1,1))</f>
        <v>414.8063171894658</v>
      </c>
      <c r="T122" s="59">
        <f t="shared" si="88"/>
        <v>354.21555670988619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64.018633424977565</v>
      </c>
      <c r="AA122" s="21">
        <f>EXP(-LN(2)/25)*AA121+(1-EXP(-LN(2)/25))/(LN(2)/25)*Calculateur!V122*Calculateur!X122*VLOOKUP('Données projet'!$B$9,Paramètres!$A$1:$I$89,3,0)*0.475*44/12</f>
        <v>4.1535260028675065</v>
      </c>
      <c r="AB122" s="21">
        <f>EXP(-LN(2)/2)*AB121+(1-EXP(-LN(2)/2))/(LN(2)/2)*V122*Y122*VLOOKUP('Données projet'!$B$9,Paramètres!$A$1:$I$89,3,0)*0.475*44/12</f>
        <v>3.2613145418655697E-14</v>
      </c>
      <c r="AC122" s="22">
        <f t="shared" si="57"/>
        <v>68.172159427845102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963.59256833510426</v>
      </c>
      <c r="AN122" s="59">
        <f ca="1">AVERAGE(OFFSET($AM$3,0,0,'Données projet'!$E$10+1,1))-AVERAGE(OFFSET($H$3,0,0,'Données projet'!$E$10+1,1))</f>
        <v>392.48436003609055</v>
      </c>
      <c r="AO122" s="59">
        <f t="shared" si="90"/>
        <v>236.3312446580419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212.42519999999985</v>
      </c>
      <c r="BF122" s="13">
        <f t="shared" si="91"/>
        <v>52.465198231787184</v>
      </c>
      <c r="BG122" s="20">
        <f t="shared" si="61"/>
        <v>461.35077692036231</v>
      </c>
      <c r="BH122" s="59">
        <f t="shared" si="62"/>
        <v>754.68411025369562</v>
      </c>
      <c r="BI122" s="59">
        <f ca="1">AVERAGE(OFFSET($BH$3,0,0,'Données projet'!$E$11+1,1))-AVERAGE(OFFSET($H$3,0,0,'Données projet'!$E$11+1,1))</f>
        <v>225.2323446080772</v>
      </c>
      <c r="BJ122" s="59">
        <f t="shared" si="92"/>
        <v>222.29030402759292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20.041211205905551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20.041211205905551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258.24239999999986</v>
      </c>
      <c r="CA122" s="13">
        <f t="shared" si="93"/>
        <v>62.347580891234152</v>
      </c>
      <c r="CB122" s="20">
        <f t="shared" si="64"/>
        <v>558.3608833855659</v>
      </c>
      <c r="CC122" s="59">
        <f t="shared" si="65"/>
        <v>851.69421671889927</v>
      </c>
      <c r="CD122" s="59">
        <f ca="1">AVERAGE(OFFSET($CC$3,0,0,'Données projet'!$E$12+1,1))-AVERAGE(OFFSET($H$3,0,0,'Données projet'!$E$12+1,1))</f>
        <v>281.84871057356037</v>
      </c>
      <c r="CE122" s="59">
        <f t="shared" si="94"/>
        <v>276.02211904126887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19.766877201237225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19.766877201237225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853.00000000000011</v>
      </c>
      <c r="O123" s="13">
        <f>N123*VLOOKUP('Données projet'!$B$9,Paramètres!$A$1:$I$89,3,0)*VLOOKUP('Données projet'!$B$9,Paramètres!$A$1:$I$89,5,0)</f>
        <v>399.20400000000006</v>
      </c>
      <c r="P123" s="13">
        <f t="shared" si="87"/>
        <v>91.615269732888521</v>
      </c>
      <c r="Q123" s="20">
        <f t="shared" si="107"/>
        <v>854.8435614514475</v>
      </c>
      <c r="R123" s="59">
        <f t="shared" si="55"/>
        <v>1148.1768947847809</v>
      </c>
      <c r="S123" s="59">
        <f ca="1">AVERAGE(OFFSET($R$3,0,0,'Données projet'!$E$9+1,1))-AVERAGE(OFFSET($H$3,0,0,'Données projet'!$E$9+1,1))</f>
        <v>414.8063171894658</v>
      </c>
      <c r="T123" s="59">
        <f t="shared" si="88"/>
        <v>354.21555670988619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62.763267071024522</v>
      </c>
      <c r="AA123" s="21">
        <f>EXP(-LN(2)/25)*AA122+(1-EXP(-LN(2)/25))/(LN(2)/25)*Calculateur!V123*Calculateur!X123*VLOOKUP('Données projet'!$B$9,Paramètres!$A$1:$I$89,3,0)*0.475*44/12</f>
        <v>4.039947615894655</v>
      </c>
      <c r="AB123" s="21">
        <f>EXP(-LN(2)/2)*AB122+(1-EXP(-LN(2)/2))/(LN(2)/2)*V123*Y123*VLOOKUP('Données projet'!$B$9,Paramètres!$A$1:$I$89,3,0)*0.475*44/12</f>
        <v>2.3060976281354429E-14</v>
      </c>
      <c r="AC123" s="22">
        <f t="shared" si="57"/>
        <v>66.803214686919205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963.59256833510426</v>
      </c>
      <c r="AN123" s="59">
        <f ca="1">AVERAGE(OFFSET($AM$3,0,0,'Données projet'!$E$10+1,1))-AVERAGE(OFFSET($H$3,0,0,'Données projet'!$E$10+1,1))</f>
        <v>392.48436003609055</v>
      </c>
      <c r="AO123" s="59">
        <f t="shared" si="90"/>
        <v>236.3312446580419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212.42519999999985</v>
      </c>
      <c r="BF123" s="13">
        <f t="shared" si="91"/>
        <v>52.465198231787184</v>
      </c>
      <c r="BG123" s="20">
        <f t="shared" si="61"/>
        <v>461.35077692036231</v>
      </c>
      <c r="BH123" s="59">
        <f t="shared" si="62"/>
        <v>754.68411025369562</v>
      </c>
      <c r="BI123" s="59">
        <f ca="1">AVERAGE(OFFSET($BH$3,0,0,'Données projet'!$E$11+1,1))-AVERAGE(OFFSET($H$3,0,0,'Données projet'!$E$11+1,1))</f>
        <v>225.2323446080772</v>
      </c>
      <c r="BJ123" s="59">
        <f t="shared" si="92"/>
        <v>222.29030402759292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19.648215278089566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19.648215278089566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258.24239999999986</v>
      </c>
      <c r="CA123" s="13">
        <f t="shared" si="93"/>
        <v>62.347580891234152</v>
      </c>
      <c r="CB123" s="20">
        <f t="shared" si="64"/>
        <v>558.3608833855659</v>
      </c>
      <c r="CC123" s="59">
        <f t="shared" si="65"/>
        <v>851.69421671889927</v>
      </c>
      <c r="CD123" s="59">
        <f ca="1">AVERAGE(OFFSET($CC$3,0,0,'Données projet'!$E$12+1,1))-AVERAGE(OFFSET($H$3,0,0,'Données projet'!$E$12+1,1))</f>
        <v>281.84871057356037</v>
      </c>
      <c r="CE123" s="59">
        <f t="shared" si="94"/>
        <v>276.02211904126887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19.379260795925564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19.379260795925564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853.00000000000011</v>
      </c>
      <c r="O124" s="13">
        <f>N124*VLOOKUP('Données projet'!$B$9,Paramètres!$A$1:$I$89,3,0)*VLOOKUP('Données projet'!$B$9,Paramètres!$A$1:$I$89,5,0)</f>
        <v>399.20400000000006</v>
      </c>
      <c r="P124" s="13">
        <f t="shared" si="87"/>
        <v>91.615269732888521</v>
      </c>
      <c r="Q124" s="20">
        <f t="shared" si="107"/>
        <v>854.8435614514475</v>
      </c>
      <c r="R124" s="59">
        <f t="shared" si="55"/>
        <v>1148.1768947847809</v>
      </c>
      <c r="S124" s="59">
        <f ca="1">AVERAGE(OFFSET($R$3,0,0,'Données projet'!$E$9+1,1))-AVERAGE(OFFSET($H$3,0,0,'Données projet'!$E$9+1,1))</f>
        <v>414.8063171894658</v>
      </c>
      <c r="T124" s="59">
        <f t="shared" si="88"/>
        <v>354.21555670988619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61.532517685574632</v>
      </c>
      <c r="AA124" s="21">
        <f>EXP(-LN(2)/25)*AA123+(1-EXP(-LN(2)/25))/(LN(2)/25)*Calculateur!V124*Calculateur!X124*VLOOKUP('Données projet'!$B$9,Paramètres!$A$1:$I$89,3,0)*0.475*44/12</f>
        <v>3.9294750358864041</v>
      </c>
      <c r="AB124" s="21">
        <f>EXP(-LN(2)/2)*AB123+(1-EXP(-LN(2)/2))/(LN(2)/2)*V124*Y124*VLOOKUP('Données projet'!$B$9,Paramètres!$A$1:$I$89,3,0)*0.475*44/12</f>
        <v>1.6306572709327848E-14</v>
      </c>
      <c r="AC124" s="22">
        <f t="shared" si="57"/>
        <v>65.461992721461044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963.59256833510426</v>
      </c>
      <c r="AN124" s="59">
        <f ca="1">AVERAGE(OFFSET($AM$3,0,0,'Données projet'!$E$10+1,1))-AVERAGE(OFFSET($H$3,0,0,'Données projet'!$E$10+1,1))</f>
        <v>392.48436003609055</v>
      </c>
      <c r="AO124" s="59">
        <f t="shared" si="90"/>
        <v>236.3312446580419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212.42519999999985</v>
      </c>
      <c r="BF124" s="13">
        <f t="shared" si="91"/>
        <v>52.465198231787184</v>
      </c>
      <c r="BG124" s="20">
        <f t="shared" si="61"/>
        <v>461.35077692036231</v>
      </c>
      <c r="BH124" s="59">
        <f t="shared" si="62"/>
        <v>754.68411025369562</v>
      </c>
      <c r="BI124" s="59">
        <f ca="1">AVERAGE(OFFSET($BH$3,0,0,'Données projet'!$E$11+1,1))-AVERAGE(OFFSET($H$3,0,0,'Données projet'!$E$11+1,1))</f>
        <v>225.2323446080772</v>
      </c>
      <c r="BJ124" s="59">
        <f t="shared" si="92"/>
        <v>222.29030402759292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19.262925760714204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19.262925760714204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258.24239999999986</v>
      </c>
      <c r="CA124" s="13">
        <f t="shared" si="93"/>
        <v>62.347580891234152</v>
      </c>
      <c r="CB124" s="20">
        <f t="shared" si="64"/>
        <v>558.3608833855659</v>
      </c>
      <c r="CC124" s="59">
        <f t="shared" si="65"/>
        <v>851.69421671889927</v>
      </c>
      <c r="CD124" s="59">
        <f ca="1">AVERAGE(OFFSET($CC$3,0,0,'Données projet'!$E$12+1,1))-AVERAGE(OFFSET($H$3,0,0,'Données projet'!$E$12+1,1))</f>
        <v>281.84871057356037</v>
      </c>
      <c r="CE124" s="59">
        <f t="shared" si="94"/>
        <v>276.02211904126887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18.999245311899404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18.999245311899404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853.00000000000011</v>
      </c>
      <c r="O125" s="13">
        <f>N125*VLOOKUP('Données projet'!$B$9,Paramètres!$A$1:$I$89,3,0)*VLOOKUP('Données projet'!$B$9,Paramètres!$A$1:$I$89,5,0)</f>
        <v>399.20400000000006</v>
      </c>
      <c r="P125" s="13">
        <f t="shared" si="87"/>
        <v>91.615269732888521</v>
      </c>
      <c r="Q125" s="20">
        <f t="shared" si="107"/>
        <v>854.8435614514475</v>
      </c>
      <c r="R125" s="59">
        <f t="shared" si="55"/>
        <v>1148.1768947847809</v>
      </c>
      <c r="S125" s="59">
        <f ca="1">AVERAGE(OFFSET($R$3,0,0,'Données projet'!$E$9+1,1))-AVERAGE(OFFSET($H$3,0,0,'Données projet'!$E$9+1,1))</f>
        <v>414.8063171894658</v>
      </c>
      <c r="T125" s="59">
        <f t="shared" si="88"/>
        <v>354.21555670988619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60.325902544890411</v>
      </c>
      <c r="AA125" s="21">
        <f>EXP(-LN(2)/25)*AA124+(1-EXP(-LN(2)/25))/(LN(2)/25)*Calculateur!V125*Calculateur!X125*VLOOKUP('Données projet'!$B$9,Paramètres!$A$1:$I$89,3,0)*0.475*44/12</f>
        <v>3.8220233343879793</v>
      </c>
      <c r="AB125" s="21">
        <f>EXP(-LN(2)/2)*AB124+(1-EXP(-LN(2)/2))/(LN(2)/2)*V125*Y125*VLOOKUP('Données projet'!$B$9,Paramètres!$A$1:$I$89,3,0)*0.475*44/12</f>
        <v>1.1530488140677215E-14</v>
      </c>
      <c r="AC125" s="22">
        <f t="shared" si="57"/>
        <v>64.147925879278404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963.59256833510426</v>
      </c>
      <c r="AN125" s="59">
        <f ca="1">AVERAGE(OFFSET($AM$3,0,0,'Données projet'!$E$10+1,1))-AVERAGE(OFFSET($H$3,0,0,'Données projet'!$E$10+1,1))</f>
        <v>392.48436003609055</v>
      </c>
      <c r="AO125" s="59">
        <f t="shared" si="90"/>
        <v>236.3312446580419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212.42519999999985</v>
      </c>
      <c r="BF125" s="13">
        <f t="shared" si="91"/>
        <v>52.465198231787184</v>
      </c>
      <c r="BG125" s="20">
        <f t="shared" si="61"/>
        <v>461.35077692036231</v>
      </c>
      <c r="BH125" s="59">
        <f t="shared" si="62"/>
        <v>754.68411025369562</v>
      </c>
      <c r="BI125" s="59">
        <f ca="1">AVERAGE(OFFSET($BH$3,0,0,'Données projet'!$E$11+1,1))-AVERAGE(OFFSET($H$3,0,0,'Données projet'!$E$11+1,1))</f>
        <v>225.2323446080772</v>
      </c>
      <c r="BJ125" s="59">
        <f t="shared" si="92"/>
        <v>222.29030402759292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18.885191535771174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18.885191535771174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258.24239999999986</v>
      </c>
      <c r="CA125" s="13">
        <f t="shared" si="93"/>
        <v>62.347580891234152</v>
      </c>
      <c r="CB125" s="20">
        <f t="shared" si="64"/>
        <v>558.3608833855659</v>
      </c>
      <c r="CC125" s="59">
        <f t="shared" si="65"/>
        <v>851.69421671889927</v>
      </c>
      <c r="CD125" s="59">
        <f ca="1">AVERAGE(OFFSET($CC$3,0,0,'Données projet'!$E$12+1,1))-AVERAGE(OFFSET($H$3,0,0,'Données projet'!$E$12+1,1))</f>
        <v>281.84871057356037</v>
      </c>
      <c r="CE125" s="59">
        <f t="shared" si="94"/>
        <v>276.02211904126887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18.626681699728437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18.626681699728437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853.00000000000011</v>
      </c>
      <c r="O126" s="13">
        <f>N126*VLOOKUP('Données projet'!$B$9,Paramètres!$A$1:$I$89,3,0)*VLOOKUP('Données projet'!$B$9,Paramètres!$A$1:$I$89,5,0)</f>
        <v>399.20400000000006</v>
      </c>
      <c r="P126" s="13">
        <f t="shared" si="87"/>
        <v>91.615269732888521</v>
      </c>
      <c r="Q126" s="20">
        <f t="shared" si="107"/>
        <v>854.8435614514475</v>
      </c>
      <c r="R126" s="59">
        <f t="shared" si="55"/>
        <v>1148.1768947847809</v>
      </c>
      <c r="S126" s="59">
        <f ca="1">AVERAGE(OFFSET($R$3,0,0,'Données projet'!$E$9+1,1))-AVERAGE(OFFSET($H$3,0,0,'Données projet'!$E$9+1,1))</f>
        <v>414.8063171894658</v>
      </c>
      <c r="T126" s="59">
        <f t="shared" si="88"/>
        <v>354.21555670988619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59.142948391152444</v>
      </c>
      <c r="AA126" s="21">
        <f>EXP(-LN(2)/25)*AA125+(1-EXP(-LN(2)/25))/(LN(2)/25)*Calculateur!V126*Calculateur!X126*VLOOKUP('Données projet'!$B$9,Paramètres!$A$1:$I$89,3,0)*0.475*44/12</f>
        <v>3.7175099053176681</v>
      </c>
      <c r="AB126" s="21">
        <f>EXP(-LN(2)/2)*AB125+(1-EXP(-LN(2)/2))/(LN(2)/2)*V126*Y126*VLOOKUP('Données projet'!$B$9,Paramètres!$A$1:$I$89,3,0)*0.475*44/12</f>
        <v>8.1532863546639242E-15</v>
      </c>
      <c r="AC126" s="22">
        <f t="shared" si="57"/>
        <v>62.860458296470121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963.59256833510426</v>
      </c>
      <c r="AN126" s="59">
        <f ca="1">AVERAGE(OFFSET($AM$3,0,0,'Données projet'!$E$10+1,1))-AVERAGE(OFFSET($H$3,0,0,'Données projet'!$E$10+1,1))</f>
        <v>392.48436003609055</v>
      </c>
      <c r="AO126" s="59">
        <f t="shared" si="90"/>
        <v>236.3312446580419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212.42519999999985</v>
      </c>
      <c r="BF126" s="13">
        <f t="shared" si="91"/>
        <v>52.465198231787184</v>
      </c>
      <c r="BG126" s="20">
        <f t="shared" si="61"/>
        <v>461.35077692036231</v>
      </c>
      <c r="BH126" s="59">
        <f t="shared" si="62"/>
        <v>754.68411025369562</v>
      </c>
      <c r="BI126" s="59">
        <f ca="1">AVERAGE(OFFSET($BH$3,0,0,'Données projet'!$E$11+1,1))-AVERAGE(OFFSET($H$3,0,0,'Données projet'!$E$11+1,1))</f>
        <v>225.2323446080772</v>
      </c>
      <c r="BJ126" s="59">
        <f t="shared" si="92"/>
        <v>222.29030402759292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18.514864448584149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18.514864448584149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258.24239999999986</v>
      </c>
      <c r="CA126" s="13">
        <f t="shared" si="93"/>
        <v>62.347580891234152</v>
      </c>
      <c r="CB126" s="20">
        <f t="shared" si="64"/>
        <v>558.3608833855659</v>
      </c>
      <c r="CC126" s="59">
        <f t="shared" si="65"/>
        <v>851.69421671889927</v>
      </c>
      <c r="CD126" s="59">
        <f ca="1">AVERAGE(OFFSET($CC$3,0,0,'Données projet'!$E$12+1,1))-AVERAGE(OFFSET($H$3,0,0,'Données projet'!$E$12+1,1))</f>
        <v>281.84871057356037</v>
      </c>
      <c r="CE126" s="59">
        <f t="shared" si="94"/>
        <v>276.02211904126887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18.261423832750779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18.261423832750779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853.00000000000011</v>
      </c>
      <c r="O127" s="13">
        <f>N127*VLOOKUP('Données projet'!$B$9,Paramètres!$A$1:$I$89,3,0)*VLOOKUP('Données projet'!$B$9,Paramètres!$A$1:$I$89,5,0)</f>
        <v>399.20400000000006</v>
      </c>
      <c r="P127" s="13">
        <f t="shared" si="87"/>
        <v>91.615269732888521</v>
      </c>
      <c r="Q127" s="20">
        <f t="shared" si="107"/>
        <v>854.8435614514475</v>
      </c>
      <c r="R127" s="59">
        <f t="shared" si="55"/>
        <v>1148.1768947847809</v>
      </c>
      <c r="S127" s="59">
        <f ca="1">AVERAGE(OFFSET($R$3,0,0,'Données projet'!$E$9+1,1))-AVERAGE(OFFSET($H$3,0,0,'Données projet'!$E$9+1,1))</f>
        <v>414.8063171894658</v>
      </c>
      <c r="T127" s="59">
        <f t="shared" si="88"/>
        <v>354.21555670988619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57.983191246838487</v>
      </c>
      <c r="AA127" s="21">
        <f>EXP(-LN(2)/25)*AA126+(1-EXP(-LN(2)/25))/(LN(2)/25)*Calculateur!V127*Calculateur!X127*VLOOKUP('Données projet'!$B$9,Paramètres!$A$1:$I$89,3,0)*0.475*44/12</f>
        <v>3.6158544014614069</v>
      </c>
      <c r="AB127" s="21">
        <f>EXP(-LN(2)/2)*AB126+(1-EXP(-LN(2)/2))/(LN(2)/2)*V127*Y127*VLOOKUP('Données projet'!$B$9,Paramètres!$A$1:$I$89,3,0)*0.475*44/12</f>
        <v>5.7652440703386073E-15</v>
      </c>
      <c r="AC127" s="22">
        <f t="shared" si="57"/>
        <v>61.599045648299899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963.59256833510426</v>
      </c>
      <c r="AN127" s="59">
        <f ca="1">AVERAGE(OFFSET($AM$3,0,0,'Données projet'!$E$10+1,1))-AVERAGE(OFFSET($H$3,0,0,'Données projet'!$E$10+1,1))</f>
        <v>392.48436003609055</v>
      </c>
      <c r="AO127" s="59">
        <f t="shared" si="90"/>
        <v>236.3312446580419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212.42519999999985</v>
      </c>
      <c r="BF127" s="13">
        <f t="shared" si="91"/>
        <v>52.465198231787184</v>
      </c>
      <c r="BG127" s="20">
        <f t="shared" si="61"/>
        <v>461.35077692036231</v>
      </c>
      <c r="BH127" s="59">
        <f t="shared" si="62"/>
        <v>754.68411025369562</v>
      </c>
      <c r="BI127" s="59">
        <f ca="1">AVERAGE(OFFSET($BH$3,0,0,'Données projet'!$E$11+1,1))-AVERAGE(OFFSET($H$3,0,0,'Données projet'!$E$11+1,1))</f>
        <v>225.2323446080772</v>
      </c>
      <c r="BJ127" s="59">
        <f t="shared" si="92"/>
        <v>222.29030402759292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18.151799249699639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18.151799249699639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258.24239999999986</v>
      </c>
      <c r="CA127" s="13">
        <f t="shared" si="93"/>
        <v>62.347580891234152</v>
      </c>
      <c r="CB127" s="20">
        <f t="shared" si="64"/>
        <v>558.3608833855659</v>
      </c>
      <c r="CC127" s="59">
        <f t="shared" si="65"/>
        <v>851.69421671889927</v>
      </c>
      <c r="CD127" s="59">
        <f ca="1">AVERAGE(OFFSET($CC$3,0,0,'Données projet'!$E$12+1,1))-AVERAGE(OFFSET($H$3,0,0,'Données projet'!$E$12+1,1))</f>
        <v>281.84871057356037</v>
      </c>
      <c r="CE127" s="59">
        <f t="shared" si="94"/>
        <v>276.02211904126887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17.90332844975925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17.90332844975925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853.00000000000011</v>
      </c>
      <c r="O128" s="13">
        <f>N128*VLOOKUP('Données projet'!$B$9,Paramètres!$A$1:$I$89,3,0)*VLOOKUP('Données projet'!$B$9,Paramètres!$A$1:$I$89,5,0)</f>
        <v>399.20400000000006</v>
      </c>
      <c r="P128" s="13">
        <f t="shared" si="87"/>
        <v>91.615269732888521</v>
      </c>
      <c r="Q128" s="20">
        <f t="shared" si="107"/>
        <v>854.8435614514475</v>
      </c>
      <c r="R128" s="59">
        <f t="shared" si="55"/>
        <v>1148.1768947847809</v>
      </c>
      <c r="S128" s="59">
        <f ca="1">AVERAGE(OFFSET($R$3,0,0,'Données projet'!$E$9+1,1))-AVERAGE(OFFSET($H$3,0,0,'Données projet'!$E$9+1,1))</f>
        <v>414.8063171894658</v>
      </c>
      <c r="T128" s="59">
        <f t="shared" si="88"/>
        <v>354.21555670988619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56.846176232742515</v>
      </c>
      <c r="AA128" s="21">
        <f>EXP(-LN(2)/25)*AA127+(1-EXP(-LN(2)/25))/(LN(2)/25)*Calculateur!V128*Calculateur!X128*VLOOKUP('Données projet'!$B$9,Paramètres!$A$1:$I$89,3,0)*0.475*44/12</f>
        <v>3.5169786727039258</v>
      </c>
      <c r="AB128" s="21">
        <f>EXP(-LN(2)/2)*AB127+(1-EXP(-LN(2)/2))/(LN(2)/2)*V128*Y128*VLOOKUP('Données projet'!$B$9,Paramètres!$A$1:$I$89,3,0)*0.475*44/12</f>
        <v>4.0766431773319621E-15</v>
      </c>
      <c r="AC128" s="22">
        <f t="shared" si="57"/>
        <v>60.36315490544645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963.59256833510426</v>
      </c>
      <c r="AN128" s="59">
        <f ca="1">AVERAGE(OFFSET($AM$3,0,0,'Données projet'!$E$10+1,1))-AVERAGE(OFFSET($H$3,0,0,'Données projet'!$E$10+1,1))</f>
        <v>392.48436003609055</v>
      </c>
      <c r="AO128" s="59">
        <f t="shared" si="90"/>
        <v>236.3312446580419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212.42519999999985</v>
      </c>
      <c r="BF128" s="13">
        <f t="shared" si="91"/>
        <v>52.465198231787184</v>
      </c>
      <c r="BG128" s="20">
        <f t="shared" si="61"/>
        <v>461.35077692036231</v>
      </c>
      <c r="BH128" s="59">
        <f t="shared" si="62"/>
        <v>754.68411025369562</v>
      </c>
      <c r="BI128" s="59">
        <f ca="1">AVERAGE(OFFSET($BH$3,0,0,'Données projet'!$E$11+1,1))-AVERAGE(OFFSET($H$3,0,0,'Données projet'!$E$11+1,1))</f>
        <v>225.2323446080772</v>
      </c>
      <c r="BJ128" s="59">
        <f t="shared" si="92"/>
        <v>222.29030402759292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17.795853537917353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17.795853537917353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258.24239999999986</v>
      </c>
      <c r="CA128" s="13">
        <f t="shared" si="93"/>
        <v>62.347580891234152</v>
      </c>
      <c r="CB128" s="20">
        <f t="shared" si="64"/>
        <v>558.3608833855659</v>
      </c>
      <c r="CC128" s="59">
        <f t="shared" si="65"/>
        <v>851.69421671889927</v>
      </c>
      <c r="CD128" s="59">
        <f ca="1">AVERAGE(OFFSET($CC$3,0,0,'Données projet'!$E$12+1,1))-AVERAGE(OFFSET($H$3,0,0,'Données projet'!$E$12+1,1))</f>
        <v>281.84871057356037</v>
      </c>
      <c r="CE128" s="59">
        <f t="shared" si="94"/>
        <v>276.02211904126887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17.552255098811571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17.552255098811571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853.00000000000011</v>
      </c>
      <c r="O129" s="13">
        <f>N129*VLOOKUP('Données projet'!$B$9,Paramètres!$A$1:$I$89,3,0)*VLOOKUP('Données projet'!$B$9,Paramètres!$A$1:$I$89,5,0)</f>
        <v>399.20400000000006</v>
      </c>
      <c r="P129" s="13">
        <f t="shared" si="87"/>
        <v>91.615269732888521</v>
      </c>
      <c r="Q129" s="20">
        <f t="shared" si="107"/>
        <v>854.8435614514475</v>
      </c>
      <c r="R129" s="59">
        <f t="shared" si="55"/>
        <v>1148.1768947847809</v>
      </c>
      <c r="S129" s="59">
        <f ca="1">AVERAGE(OFFSET($R$3,0,0,'Données projet'!$E$9+1,1))-AVERAGE(OFFSET($H$3,0,0,'Données projet'!$E$9+1,1))</f>
        <v>414.8063171894658</v>
      </c>
      <c r="T129" s="59">
        <f t="shared" si="88"/>
        <v>354.21555670988619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55.731457389562287</v>
      </c>
      <c r="AA129" s="21">
        <f>EXP(-LN(2)/25)*AA128+(1-EXP(-LN(2)/25))/(LN(2)/25)*Calculateur!V129*Calculateur!X129*VLOOKUP('Données projet'!$B$9,Paramètres!$A$1:$I$89,3,0)*0.475*44/12</f>
        <v>3.4208067059489666</v>
      </c>
      <c r="AB129" s="21">
        <f>EXP(-LN(2)/2)*AB128+(1-EXP(-LN(2)/2))/(LN(2)/2)*V129*Y129*VLOOKUP('Données projet'!$B$9,Paramètres!$A$1:$I$89,3,0)*0.475*44/12</f>
        <v>2.8826220351693037E-15</v>
      </c>
      <c r="AC129" s="22">
        <f t="shared" si="57"/>
        <v>59.152264095511256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963.59256833510426</v>
      </c>
      <c r="AN129" s="59">
        <f ca="1">AVERAGE(OFFSET($AM$3,0,0,'Données projet'!$E$10+1,1))-AVERAGE(OFFSET($H$3,0,0,'Données projet'!$E$10+1,1))</f>
        <v>392.48436003609055</v>
      </c>
      <c r="AO129" s="59">
        <f t="shared" si="90"/>
        <v>236.3312446580419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212.42519999999985</v>
      </c>
      <c r="BF129" s="13">
        <f t="shared" si="91"/>
        <v>52.465198231787184</v>
      </c>
      <c r="BG129" s="20">
        <f t="shared" si="61"/>
        <v>461.35077692036231</v>
      </c>
      <c r="BH129" s="59">
        <f t="shared" si="62"/>
        <v>754.68411025369562</v>
      </c>
      <c r="BI129" s="59">
        <f ca="1">AVERAGE(OFFSET($BH$3,0,0,'Données projet'!$E$11+1,1))-AVERAGE(OFFSET($H$3,0,0,'Données projet'!$E$11+1,1))</f>
        <v>225.2323446080772</v>
      </c>
      <c r="BJ129" s="59">
        <f t="shared" si="92"/>
        <v>222.29030402759292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17.446887704437668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17.446887704437668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258.24239999999986</v>
      </c>
      <c r="CA129" s="13">
        <f t="shared" si="93"/>
        <v>62.347580891234152</v>
      </c>
      <c r="CB129" s="20">
        <f t="shared" si="64"/>
        <v>558.3608833855659</v>
      </c>
      <c r="CC129" s="59">
        <f t="shared" si="65"/>
        <v>851.69421671889927</v>
      </c>
      <c r="CD129" s="59">
        <f ca="1">AVERAGE(OFFSET($CC$3,0,0,'Données projet'!$E$12+1,1))-AVERAGE(OFFSET($H$3,0,0,'Données projet'!$E$12+1,1))</f>
        <v>281.84871057356037</v>
      </c>
      <c r="CE129" s="59">
        <f t="shared" si="94"/>
        <v>276.02211904126887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17.208066082142373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17.208066082142373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853.00000000000011</v>
      </c>
      <c r="O130" s="13">
        <f>N130*VLOOKUP('Données projet'!$B$9,Paramètres!$A$1:$I$89,3,0)*VLOOKUP('Données projet'!$B$9,Paramètres!$A$1:$I$89,5,0)</f>
        <v>399.20400000000006</v>
      </c>
      <c r="P130" s="13">
        <f t="shared" si="87"/>
        <v>91.615269732888521</v>
      </c>
      <c r="Q130" s="20">
        <f t="shared" si="107"/>
        <v>854.8435614514475</v>
      </c>
      <c r="R130" s="59">
        <f t="shared" si="55"/>
        <v>1148.1768947847809</v>
      </c>
      <c r="S130" s="59">
        <f ca="1">AVERAGE(OFFSET($R$3,0,0,'Données projet'!$E$9+1,1))-AVERAGE(OFFSET($H$3,0,0,'Données projet'!$E$9+1,1))</f>
        <v>414.8063171894658</v>
      </c>
      <c r="T130" s="59">
        <f t="shared" si="88"/>
        <v>354.21555670988619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54.638597502985462</v>
      </c>
      <c r="AA130" s="21">
        <f>EXP(-LN(2)/25)*AA129+(1-EXP(-LN(2)/25))/(LN(2)/25)*Calculateur!V130*Calculateur!X130*VLOOKUP('Données projet'!$B$9,Paramètres!$A$1:$I$89,3,0)*0.475*44/12</f>
        <v>3.3272645666823859</v>
      </c>
      <c r="AB130" s="21">
        <f>EXP(-LN(2)/2)*AB129+(1-EXP(-LN(2)/2))/(LN(2)/2)*V130*Y130*VLOOKUP('Données projet'!$B$9,Paramètres!$A$1:$I$89,3,0)*0.475*44/12</f>
        <v>2.0383215886659811E-15</v>
      </c>
      <c r="AC130" s="22">
        <f t="shared" si="57"/>
        <v>57.96586206966785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963.59256833510426</v>
      </c>
      <c r="AN130" s="59">
        <f ca="1">AVERAGE(OFFSET($AM$3,0,0,'Données projet'!$E$10+1,1))-AVERAGE(OFFSET($H$3,0,0,'Données projet'!$E$10+1,1))</f>
        <v>392.48436003609055</v>
      </c>
      <c r="AO130" s="59">
        <f t="shared" si="90"/>
        <v>236.3312446580419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212.42519999999985</v>
      </c>
      <c r="BF130" s="13">
        <f t="shared" si="91"/>
        <v>52.465198231787184</v>
      </c>
      <c r="BG130" s="20">
        <f t="shared" si="61"/>
        <v>461.35077692036231</v>
      </c>
      <c r="BH130" s="59">
        <f t="shared" si="62"/>
        <v>754.68411025369562</v>
      </c>
      <c r="BI130" s="59">
        <f ca="1">AVERAGE(OFFSET($BH$3,0,0,'Données projet'!$E$11+1,1))-AVERAGE(OFFSET($H$3,0,0,'Données projet'!$E$11+1,1))</f>
        <v>225.2323446080772</v>
      </c>
      <c r="BJ130" s="59">
        <f t="shared" si="92"/>
        <v>222.29030402759292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17.10476487810438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17.10476487810438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258.24239999999986</v>
      </c>
      <c r="CA130" s="13">
        <f t="shared" si="93"/>
        <v>62.347580891234152</v>
      </c>
      <c r="CB130" s="20">
        <f t="shared" si="64"/>
        <v>558.3608833855659</v>
      </c>
      <c r="CC130" s="59">
        <f t="shared" si="65"/>
        <v>851.69421671889927</v>
      </c>
      <c r="CD130" s="59">
        <f ca="1">AVERAGE(OFFSET($CC$3,0,0,'Données projet'!$E$12+1,1))-AVERAGE(OFFSET($H$3,0,0,'Données projet'!$E$12+1,1))</f>
        <v>281.84871057356037</v>
      </c>
      <c r="CE130" s="59">
        <f t="shared" si="94"/>
        <v>276.02211904126887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16.870626402155491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16.870626402155491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853.00000000000011</v>
      </c>
      <c r="O131" s="13">
        <f>N131*VLOOKUP('Données projet'!$B$9,Paramètres!$A$1:$I$89,3,0)*VLOOKUP('Données projet'!$B$9,Paramètres!$A$1:$I$89,5,0)</f>
        <v>399.20400000000006</v>
      </c>
      <c r="P131" s="13">
        <f t="shared" si="87"/>
        <v>91.615269732888521</v>
      </c>
      <c r="Q131" s="20">
        <f t="shared" ref="Q131:Q153" si="108">(O131+P131)*0.475*44/12</f>
        <v>854.8435614514475</v>
      </c>
      <c r="R131" s="59">
        <f t="shared" ref="R131:R194" si="109">Q131+(I131+J131)*44/12</f>
        <v>1148.1768947847809</v>
      </c>
      <c r="S131" s="59">
        <f ca="1">AVERAGE(OFFSET($R$3,0,0,'Données projet'!$E$9+1,1))-AVERAGE(OFFSET($H$3,0,0,'Données projet'!$E$9+1,1))</f>
        <v>414.8063171894658</v>
      </c>
      <c r="T131" s="59">
        <f t="shared" si="88"/>
        <v>354.21555670988619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53.567167932205699</v>
      </c>
      <c r="AA131" s="21">
        <f>EXP(-LN(2)/25)*AA130+(1-EXP(-LN(2)/25))/(LN(2)/25)*Calculateur!V131*Calculateur!X131*VLOOKUP('Données projet'!$B$9,Paramètres!$A$1:$I$89,3,0)*0.475*44/12</f>
        <v>3.2362803421332171</v>
      </c>
      <c r="AB131" s="21">
        <f>EXP(-LN(2)/2)*AB130+(1-EXP(-LN(2)/2))/(LN(2)/2)*V131*Y131*VLOOKUP('Données projet'!$B$9,Paramètres!$A$1:$I$89,3,0)*0.475*44/12</f>
        <v>1.4413110175846518E-15</v>
      </c>
      <c r="AC131" s="22">
        <f t="shared" si="57"/>
        <v>56.803448274338919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963.59256833510426</v>
      </c>
      <c r="AN131" s="59">
        <f ca="1">AVERAGE(OFFSET($AM$3,0,0,'Données projet'!$E$10+1,1))-AVERAGE(OFFSET($H$3,0,0,'Données projet'!$E$10+1,1))</f>
        <v>392.48436003609055</v>
      </c>
      <c r="AO131" s="59">
        <f t="shared" si="90"/>
        <v>236.3312446580419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212.42519999999985</v>
      </c>
      <c r="BF131" s="13">
        <f t="shared" si="91"/>
        <v>52.465198231787184</v>
      </c>
      <c r="BG131" s="20">
        <f t="shared" si="61"/>
        <v>461.35077692036231</v>
      </c>
      <c r="BH131" s="59">
        <f t="shared" si="62"/>
        <v>754.68411025369562</v>
      </c>
      <c r="BI131" s="59">
        <f ca="1">AVERAGE(OFFSET($BH$3,0,0,'Données projet'!$E$11+1,1))-AVERAGE(OFFSET($H$3,0,0,'Données projet'!$E$11+1,1))</f>
        <v>225.2323446080772</v>
      </c>
      <c r="BJ131" s="59">
        <f t="shared" si="92"/>
        <v>222.29030402759292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16.769350871721169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16.769350871721169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258.24239999999986</v>
      </c>
      <c r="CA131" s="13">
        <f t="shared" si="93"/>
        <v>62.347580891234152</v>
      </c>
      <c r="CB131" s="20">
        <f t="shared" si="64"/>
        <v>558.3608833855659</v>
      </c>
      <c r="CC131" s="59">
        <f t="shared" si="65"/>
        <v>851.69421671889927</v>
      </c>
      <c r="CD131" s="59">
        <f ca="1">AVERAGE(OFFSET($CC$3,0,0,'Données projet'!$E$12+1,1))-AVERAGE(OFFSET($H$3,0,0,'Données projet'!$E$12+1,1))</f>
        <v>281.84871057356037</v>
      </c>
      <c r="CE131" s="59">
        <f t="shared" si="94"/>
        <v>276.02211904126887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16.539803708475269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16.539803708475269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853.00000000000011</v>
      </c>
      <c r="O132" s="13">
        <f>N132*VLOOKUP('Données projet'!$B$9,Paramètres!$A$1:$I$89,3,0)*VLOOKUP('Données projet'!$B$9,Paramètres!$A$1:$I$89,5,0)</f>
        <v>399.20400000000006</v>
      </c>
      <c r="P132" s="13">
        <f t="shared" si="87"/>
        <v>91.615269732888521</v>
      </c>
      <c r="Q132" s="20">
        <f t="shared" si="108"/>
        <v>854.8435614514475</v>
      </c>
      <c r="R132" s="59">
        <f t="shared" si="109"/>
        <v>1148.1768947847809</v>
      </c>
      <c r="S132" s="59">
        <f ca="1">AVERAGE(OFFSET($R$3,0,0,'Données projet'!$E$9+1,1))-AVERAGE(OFFSET($H$3,0,0,'Données projet'!$E$9+1,1))</f>
        <v>414.8063171894658</v>
      </c>
      <c r="T132" s="59">
        <f t="shared" si="88"/>
        <v>354.21555670988619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52.516748441801418</v>
      </c>
      <c r="AA132" s="21">
        <f>EXP(-LN(2)/25)*AA131+(1-EXP(-LN(2)/25))/(LN(2)/25)*Calculateur!V132*Calculateur!X132*VLOOKUP('Données projet'!$B$9,Paramètres!$A$1:$I$89,3,0)*0.475*44/12</f>
        <v>3.1477840859889978</v>
      </c>
      <c r="AB132" s="21">
        <f>EXP(-LN(2)/2)*AB131+(1-EXP(-LN(2)/2))/(LN(2)/2)*V132*Y132*VLOOKUP('Données projet'!$B$9,Paramètres!$A$1:$I$89,3,0)*0.475*44/12</f>
        <v>1.0191607943329905E-15</v>
      </c>
      <c r="AC132" s="22">
        <f t="shared" ref="AC132:AC153" si="111">SUM(Z132:AB132)</f>
        <v>55.664532527790413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963.59256833510426</v>
      </c>
      <c r="AN132" s="59">
        <f ca="1">AVERAGE(OFFSET($AM$3,0,0,'Données projet'!$E$10+1,1))-AVERAGE(OFFSET($H$3,0,0,'Données projet'!$E$10+1,1))</f>
        <v>392.48436003609055</v>
      </c>
      <c r="AO132" s="59">
        <f t="shared" si="90"/>
        <v>236.3312446580419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212.42519999999985</v>
      </c>
      <c r="BF132" s="13">
        <f t="shared" si="91"/>
        <v>52.465198231787184</v>
      </c>
      <c r="BG132" s="20">
        <f t="shared" ref="BG132:BG153" si="115">(BE132+BF132)*0.475*44/12</f>
        <v>461.35077692036231</v>
      </c>
      <c r="BH132" s="59">
        <f t="shared" ref="BH132:BH195" si="116">BG132+(AY132+AZ132)*44/12</f>
        <v>754.68411025369562</v>
      </c>
      <c r="BI132" s="59">
        <f ca="1">AVERAGE(OFFSET($BH$3,0,0,'Données projet'!$E$11+1,1))-AVERAGE(OFFSET($H$3,0,0,'Données projet'!$E$11+1,1))</f>
        <v>225.2323446080772</v>
      </c>
      <c r="BJ132" s="59">
        <f t="shared" si="92"/>
        <v>222.29030402759292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16.440514129420787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16.440514129420787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258.24239999999986</v>
      </c>
      <c r="CA132" s="13">
        <f t="shared" si="93"/>
        <v>62.347580891234152</v>
      </c>
      <c r="CB132" s="20">
        <f t="shared" ref="CB132:CB153" si="118">(BZ132+CA132)*0.475*44/12</f>
        <v>558.3608833855659</v>
      </c>
      <c r="CC132" s="59">
        <f t="shared" ref="CC132:CC195" si="119">CB132+(BT132+BU132)*44/12</f>
        <v>851.69421671889927</v>
      </c>
      <c r="CD132" s="59">
        <f ca="1">AVERAGE(OFFSET($CC$3,0,0,'Données projet'!$E$12+1,1))-AVERAGE(OFFSET($H$3,0,0,'Données projet'!$E$12+1,1))</f>
        <v>281.84871057356037</v>
      </c>
      <c r="CE132" s="59">
        <f t="shared" si="94"/>
        <v>276.02211904126887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16.215468246036195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16.215468246036195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853.00000000000011</v>
      </c>
      <c r="O133" s="13">
        <f>N133*VLOOKUP('Données projet'!$B$9,Paramètres!$A$1:$I$89,3,0)*VLOOKUP('Données projet'!$B$9,Paramètres!$A$1:$I$89,5,0)</f>
        <v>399.20400000000006</v>
      </c>
      <c r="P133" s="13">
        <f t="shared" ref="P133:P196" si="141">EXP(-1.0587+0.8836*LN(O133)+0.284)</f>
        <v>91.615269732888521</v>
      </c>
      <c r="Q133" s="20">
        <f t="shared" si="108"/>
        <v>854.8435614514475</v>
      </c>
      <c r="R133" s="59">
        <f t="shared" si="109"/>
        <v>1148.1768947847809</v>
      </c>
      <c r="S133" s="59">
        <f ca="1">AVERAGE(OFFSET($R$3,0,0,'Données projet'!$E$9+1,1))-AVERAGE(OFFSET($H$3,0,0,'Données projet'!$E$9+1,1))</f>
        <v>414.8063171894658</v>
      </c>
      <c r="T133" s="59">
        <f t="shared" ref="T133:T196" si="142">$T$3</f>
        <v>354.21555670988619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51.486927036911339</v>
      </c>
      <c r="AA133" s="21">
        <f>EXP(-LN(2)/25)*AA132+(1-EXP(-LN(2)/25))/(LN(2)/25)*Calculateur!V133*Calculateur!X133*VLOOKUP('Données projet'!$B$9,Paramètres!$A$1:$I$89,3,0)*0.475*44/12</f>
        <v>3.0617077646228581</v>
      </c>
      <c r="AB133" s="21">
        <f>EXP(-LN(2)/2)*AB132+(1-EXP(-LN(2)/2))/(LN(2)/2)*V133*Y133*VLOOKUP('Données projet'!$B$9,Paramètres!$A$1:$I$89,3,0)*0.475*44/12</f>
        <v>7.2065550879232592E-16</v>
      </c>
      <c r="AC133" s="22">
        <f t="shared" si="111"/>
        <v>54.548634801534199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963.59256833510426</v>
      </c>
      <c r="AN133" s="59">
        <f ca="1">AVERAGE(OFFSET($AM$3,0,0,'Données projet'!$E$10+1,1))-AVERAGE(OFFSET($H$3,0,0,'Données projet'!$E$10+1,1))</f>
        <v>392.48436003609055</v>
      </c>
      <c r="AO133" s="59">
        <f t="shared" ref="AO133:AO196" si="144">$AO$3</f>
        <v>236.3312446580419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212.42519999999985</v>
      </c>
      <c r="BF133" s="13">
        <f t="shared" ref="BF133:BF153" si="145">EXP(-1.0587+0.8836*LN(BE133)+0.284)</f>
        <v>52.465198231787184</v>
      </c>
      <c r="BG133" s="20">
        <f t="shared" si="115"/>
        <v>461.35077692036231</v>
      </c>
      <c r="BH133" s="59">
        <f t="shared" si="116"/>
        <v>754.68411025369562</v>
      </c>
      <c r="BI133" s="59">
        <f ca="1">AVERAGE(OFFSET($BH$3,0,0,'Données projet'!$E$11+1,1))-AVERAGE(OFFSET($H$3,0,0,'Données projet'!$E$11+1,1))</f>
        <v>225.2323446080772</v>
      </c>
      <c r="BJ133" s="59">
        <f t="shared" ref="BJ133:BJ196" si="146">$BJ$3</f>
        <v>222.29030402759292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16.11812567506631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16.11812567506631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258.24239999999986</v>
      </c>
      <c r="CA133" s="13">
        <f t="shared" ref="CA133:CA153" si="147">EXP(-1.0587+0.8836*LN(BZ133)+0.284)</f>
        <v>62.347580891234152</v>
      </c>
      <c r="CB133" s="20">
        <f t="shared" si="118"/>
        <v>558.3608833855659</v>
      </c>
      <c r="CC133" s="59">
        <f t="shared" si="119"/>
        <v>851.69421671889927</v>
      </c>
      <c r="CD133" s="59">
        <f ca="1">AVERAGE(OFFSET($CC$3,0,0,'Données projet'!$E$12+1,1))-AVERAGE(OFFSET($H$3,0,0,'Données projet'!$E$12+1,1))</f>
        <v>281.84871057356037</v>
      </c>
      <c r="CE133" s="59">
        <f t="shared" ref="CE133:CE196" si="148">$CE$3</f>
        <v>276.02211904126887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15.897492804190454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15.897492804190454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853.00000000000011</v>
      </c>
      <c r="O134" s="13">
        <f>N134*VLOOKUP('Données projet'!$B$9,Paramètres!$A$1:$I$89,3,0)*VLOOKUP('Données projet'!$B$9,Paramètres!$A$1:$I$89,5,0)</f>
        <v>399.20400000000006</v>
      </c>
      <c r="P134" s="13">
        <f t="shared" si="141"/>
        <v>91.615269732888521</v>
      </c>
      <c r="Q134" s="20">
        <f t="shared" si="108"/>
        <v>854.8435614514475</v>
      </c>
      <c r="R134" s="59">
        <f t="shared" si="109"/>
        <v>1148.1768947847809</v>
      </c>
      <c r="S134" s="59">
        <f ca="1">AVERAGE(OFFSET($R$3,0,0,'Données projet'!$E$9+1,1))-AVERAGE(OFFSET($H$3,0,0,'Données projet'!$E$9+1,1))</f>
        <v>414.8063171894658</v>
      </c>
      <c r="T134" s="59">
        <f t="shared" si="142"/>
        <v>354.21555670988619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50.477299801642118</v>
      </c>
      <c r="AA134" s="21">
        <f>EXP(-LN(2)/25)*AA133+(1-EXP(-LN(2)/25))/(LN(2)/25)*Calculateur!V134*Calculateur!X134*VLOOKUP('Données projet'!$B$9,Paramètres!$A$1:$I$89,3,0)*0.475*44/12</f>
        <v>2.9779852047910325</v>
      </c>
      <c r="AB134" s="21">
        <f>EXP(-LN(2)/2)*AB133+(1-EXP(-LN(2)/2))/(LN(2)/2)*V134*Y134*VLOOKUP('Données projet'!$B$9,Paramètres!$A$1:$I$89,3,0)*0.475*44/12</f>
        <v>5.0958039716649526E-16</v>
      </c>
      <c r="AC134" s="22">
        <f t="shared" si="111"/>
        <v>53.455285006433151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963.59256833510426</v>
      </c>
      <c r="AN134" s="59">
        <f ca="1">AVERAGE(OFFSET($AM$3,0,0,'Données projet'!$E$10+1,1))-AVERAGE(OFFSET($H$3,0,0,'Données projet'!$E$10+1,1))</f>
        <v>392.48436003609055</v>
      </c>
      <c r="AO134" s="59">
        <f t="shared" si="144"/>
        <v>236.3312446580419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212.42519999999985</v>
      </c>
      <c r="BF134" s="13">
        <f t="shared" si="145"/>
        <v>52.465198231787184</v>
      </c>
      <c r="BG134" s="20">
        <f t="shared" si="115"/>
        <v>461.35077692036231</v>
      </c>
      <c r="BH134" s="59">
        <f t="shared" si="116"/>
        <v>754.68411025369562</v>
      </c>
      <c r="BI134" s="59">
        <f ca="1">AVERAGE(OFFSET($BH$3,0,0,'Données projet'!$E$11+1,1))-AVERAGE(OFFSET($H$3,0,0,'Données projet'!$E$11+1,1))</f>
        <v>225.2323446080772</v>
      </c>
      <c r="BJ134" s="59">
        <f t="shared" si="146"/>
        <v>222.29030402759292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15.802059061664181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15.802059061664181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258.24239999999986</v>
      </c>
      <c r="CA134" s="13">
        <f t="shared" si="147"/>
        <v>62.347580891234152</v>
      </c>
      <c r="CB134" s="20">
        <f t="shared" si="118"/>
        <v>558.3608833855659</v>
      </c>
      <c r="CC134" s="59">
        <f t="shared" si="119"/>
        <v>851.69421671889927</v>
      </c>
      <c r="CD134" s="59">
        <f ca="1">AVERAGE(OFFSET($CC$3,0,0,'Données projet'!$E$12+1,1))-AVERAGE(OFFSET($H$3,0,0,'Données projet'!$E$12+1,1))</f>
        <v>281.84871057356037</v>
      </c>
      <c r="CE134" s="59">
        <f t="shared" si="148"/>
        <v>276.02211904126887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15.585752666813439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15.585752666813439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853.00000000000011</v>
      </c>
      <c r="O135" s="13">
        <f>N135*VLOOKUP('Données projet'!$B$9,Paramètres!$A$1:$I$89,3,0)*VLOOKUP('Données projet'!$B$9,Paramètres!$A$1:$I$89,5,0)</f>
        <v>399.20400000000006</v>
      </c>
      <c r="P135" s="13">
        <f t="shared" si="141"/>
        <v>91.615269732888521</v>
      </c>
      <c r="Q135" s="20">
        <f t="shared" si="108"/>
        <v>854.8435614514475</v>
      </c>
      <c r="R135" s="59">
        <f t="shared" si="109"/>
        <v>1148.1768947847809</v>
      </c>
      <c r="S135" s="59">
        <f ca="1">AVERAGE(OFFSET($R$3,0,0,'Données projet'!$E$9+1,1))-AVERAGE(OFFSET($H$3,0,0,'Données projet'!$E$9+1,1))</f>
        <v>414.8063171894658</v>
      </c>
      <c r="T135" s="59">
        <f t="shared" si="142"/>
        <v>354.21555670988619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49.487470740644724</v>
      </c>
      <c r="AA135" s="21">
        <f>EXP(-LN(2)/25)*AA134+(1-EXP(-LN(2)/25))/(LN(2)/25)*Calculateur!V135*Calculateur!X135*VLOOKUP('Données projet'!$B$9,Paramètres!$A$1:$I$89,3,0)*0.475*44/12</f>
        <v>2.896552042760586</v>
      </c>
      <c r="AB135" s="21">
        <f>EXP(-LN(2)/2)*AB134+(1-EXP(-LN(2)/2))/(LN(2)/2)*V135*Y135*VLOOKUP('Données projet'!$B$9,Paramètres!$A$1:$I$89,3,0)*0.475*44/12</f>
        <v>3.6032775439616296E-16</v>
      </c>
      <c r="AC135" s="22">
        <f t="shared" si="111"/>
        <v>52.384022783405314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963.59256833510426</v>
      </c>
      <c r="AN135" s="59">
        <f ca="1">AVERAGE(OFFSET($AM$3,0,0,'Données projet'!$E$10+1,1))-AVERAGE(OFFSET($H$3,0,0,'Données projet'!$E$10+1,1))</f>
        <v>392.48436003609055</v>
      </c>
      <c r="AO135" s="59">
        <f t="shared" si="144"/>
        <v>236.3312446580419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212.42519999999985</v>
      </c>
      <c r="BF135" s="13">
        <f t="shared" si="145"/>
        <v>52.465198231787184</v>
      </c>
      <c r="BG135" s="20">
        <f t="shared" si="115"/>
        <v>461.35077692036231</v>
      </c>
      <c r="BH135" s="59">
        <f t="shared" si="116"/>
        <v>754.68411025369562</v>
      </c>
      <c r="BI135" s="59">
        <f ca="1">AVERAGE(OFFSET($BH$3,0,0,'Données projet'!$E$11+1,1))-AVERAGE(OFFSET($H$3,0,0,'Données projet'!$E$11+1,1))</f>
        <v>225.2323446080772</v>
      </c>
      <c r="BJ135" s="59">
        <f t="shared" si="146"/>
        <v>222.29030402759292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15.492190321769272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15.492190321769272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258.24239999999986</v>
      </c>
      <c r="CA135" s="13">
        <f t="shared" si="147"/>
        <v>62.347580891234152</v>
      </c>
      <c r="CB135" s="20">
        <f t="shared" si="118"/>
        <v>558.3608833855659</v>
      </c>
      <c r="CC135" s="59">
        <f t="shared" si="119"/>
        <v>851.69421671889927</v>
      </c>
      <c r="CD135" s="59">
        <f ca="1">AVERAGE(OFFSET($CC$3,0,0,'Données projet'!$E$12+1,1))-AVERAGE(OFFSET($H$3,0,0,'Données projet'!$E$12+1,1))</f>
        <v>281.84871057356037</v>
      </c>
      <c r="CE135" s="59">
        <f t="shared" si="148"/>
        <v>276.02211904126887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15.280125563387678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15.280125563387678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853.00000000000011</v>
      </c>
      <c r="O136" s="13">
        <f>N136*VLOOKUP('Données projet'!$B$9,Paramètres!$A$1:$I$89,3,0)*VLOOKUP('Données projet'!$B$9,Paramètres!$A$1:$I$89,5,0)</f>
        <v>399.20400000000006</v>
      </c>
      <c r="P136" s="13">
        <f t="shared" si="141"/>
        <v>91.615269732888521</v>
      </c>
      <c r="Q136" s="20">
        <f t="shared" si="108"/>
        <v>854.8435614514475</v>
      </c>
      <c r="R136" s="59">
        <f t="shared" si="109"/>
        <v>1148.1768947847809</v>
      </c>
      <c r="S136" s="59">
        <f ca="1">AVERAGE(OFFSET($R$3,0,0,'Données projet'!$E$9+1,1))-AVERAGE(OFFSET($H$3,0,0,'Données projet'!$E$9+1,1))</f>
        <v>414.8063171894658</v>
      </c>
      <c r="T136" s="59">
        <f t="shared" si="142"/>
        <v>354.21555670988619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48.517051623797371</v>
      </c>
      <c r="AA136" s="21">
        <f>EXP(-LN(2)/25)*AA135+(1-EXP(-LN(2)/25))/(LN(2)/25)*Calculateur!V136*Calculateur!X136*VLOOKUP('Données projet'!$B$9,Paramètres!$A$1:$I$89,3,0)*0.475*44/12</f>
        <v>2.8173456748282462</v>
      </c>
      <c r="AB136" s="21">
        <f>EXP(-LN(2)/2)*AB135+(1-EXP(-LN(2)/2))/(LN(2)/2)*V136*Y136*VLOOKUP('Données projet'!$B$9,Paramètres!$A$1:$I$89,3,0)*0.475*44/12</f>
        <v>2.5479019858324763E-16</v>
      </c>
      <c r="AC136" s="22">
        <f t="shared" si="111"/>
        <v>51.334397298625618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963.59256833510426</v>
      </c>
      <c r="AN136" s="59">
        <f ca="1">AVERAGE(OFFSET($AM$3,0,0,'Données projet'!$E$10+1,1))-AVERAGE(OFFSET($H$3,0,0,'Données projet'!$E$10+1,1))</f>
        <v>392.48436003609055</v>
      </c>
      <c r="AO136" s="59">
        <f t="shared" si="144"/>
        <v>236.3312446580419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212.42519999999985</v>
      </c>
      <c r="BF136" s="13">
        <f t="shared" si="145"/>
        <v>52.465198231787184</v>
      </c>
      <c r="BG136" s="20">
        <f t="shared" si="115"/>
        <v>461.35077692036231</v>
      </c>
      <c r="BH136" s="59">
        <f t="shared" si="116"/>
        <v>754.68411025369562</v>
      </c>
      <c r="BI136" s="59">
        <f ca="1">AVERAGE(OFFSET($BH$3,0,0,'Données projet'!$E$11+1,1))-AVERAGE(OFFSET($H$3,0,0,'Données projet'!$E$11+1,1))</f>
        <v>225.2323446080772</v>
      </c>
      <c r="BJ136" s="59">
        <f t="shared" si="146"/>
        <v>222.29030402759292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15.188397918862432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15.188397918862432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258.24239999999986</v>
      </c>
      <c r="CA136" s="13">
        <f t="shared" si="147"/>
        <v>62.347580891234152</v>
      </c>
      <c r="CB136" s="20">
        <f t="shared" si="118"/>
        <v>558.3608833855659</v>
      </c>
      <c r="CC136" s="59">
        <f t="shared" si="119"/>
        <v>851.69421671889927</v>
      </c>
      <c r="CD136" s="59">
        <f ca="1">AVERAGE(OFFSET($CC$3,0,0,'Données projet'!$E$12+1,1))-AVERAGE(OFFSET($H$3,0,0,'Données projet'!$E$12+1,1))</f>
        <v>281.84871057356037</v>
      </c>
      <c r="CE136" s="59">
        <f t="shared" si="148"/>
        <v>276.02211904126887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14.980491621045969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14.980491621045969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853.00000000000011</v>
      </c>
      <c r="O137" s="13">
        <f>N137*VLOOKUP('Données projet'!$B$9,Paramètres!$A$1:$I$89,3,0)*VLOOKUP('Données projet'!$B$9,Paramètres!$A$1:$I$89,5,0)</f>
        <v>399.20400000000006</v>
      </c>
      <c r="P137" s="13">
        <f t="shared" si="141"/>
        <v>91.615269732888521</v>
      </c>
      <c r="Q137" s="20">
        <f t="shared" si="108"/>
        <v>854.8435614514475</v>
      </c>
      <c r="R137" s="59">
        <f t="shared" si="109"/>
        <v>1148.1768947847809</v>
      </c>
      <c r="S137" s="59">
        <f ca="1">AVERAGE(OFFSET($R$3,0,0,'Données projet'!$E$9+1,1))-AVERAGE(OFFSET($H$3,0,0,'Données projet'!$E$9+1,1))</f>
        <v>414.8063171894658</v>
      </c>
      <c r="T137" s="59">
        <f t="shared" si="142"/>
        <v>354.21555670988619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47.565661833934179</v>
      </c>
      <c r="AA137" s="21">
        <f>EXP(-LN(2)/25)*AA136+(1-EXP(-LN(2)/25))/(LN(2)/25)*Calculateur!V137*Calculateur!X137*VLOOKUP('Données projet'!$B$9,Paramètres!$A$1:$I$89,3,0)*0.475*44/12</f>
        <v>2.7403052091922979</v>
      </c>
      <c r="AB137" s="21">
        <f>EXP(-LN(2)/2)*AB136+(1-EXP(-LN(2)/2))/(LN(2)/2)*V137*Y137*VLOOKUP('Données projet'!$B$9,Paramètres!$A$1:$I$89,3,0)*0.475*44/12</f>
        <v>1.8016387719808148E-16</v>
      </c>
      <c r="AC137" s="22">
        <f t="shared" si="111"/>
        <v>50.305967043126479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963.59256833510426</v>
      </c>
      <c r="AN137" s="59">
        <f ca="1">AVERAGE(OFFSET($AM$3,0,0,'Données projet'!$E$10+1,1))-AVERAGE(OFFSET($H$3,0,0,'Données projet'!$E$10+1,1))</f>
        <v>392.48436003609055</v>
      </c>
      <c r="AO137" s="59">
        <f t="shared" si="144"/>
        <v>236.3312446580419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212.42519999999985</v>
      </c>
      <c r="BF137" s="13">
        <f t="shared" si="145"/>
        <v>52.465198231787184</v>
      </c>
      <c r="BG137" s="20">
        <f t="shared" si="115"/>
        <v>461.35077692036231</v>
      </c>
      <c r="BH137" s="59">
        <f t="shared" si="116"/>
        <v>754.68411025369562</v>
      </c>
      <c r="BI137" s="59">
        <f ca="1">AVERAGE(OFFSET($BH$3,0,0,'Données projet'!$E$11+1,1))-AVERAGE(OFFSET($H$3,0,0,'Données projet'!$E$11+1,1))</f>
        <v>225.2323446080772</v>
      </c>
      <c r="BJ137" s="59">
        <f t="shared" si="146"/>
        <v>222.29030402759292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14.890562699681524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14.890562699681524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258.24239999999986</v>
      </c>
      <c r="CA137" s="13">
        <f t="shared" si="147"/>
        <v>62.347580891234152</v>
      </c>
      <c r="CB137" s="20">
        <f t="shared" si="118"/>
        <v>558.3608833855659</v>
      </c>
      <c r="CC137" s="59">
        <f t="shared" si="119"/>
        <v>851.69421671889927</v>
      </c>
      <c r="CD137" s="59">
        <f ca="1">AVERAGE(OFFSET($CC$3,0,0,'Données projet'!$E$12+1,1))-AVERAGE(OFFSET($H$3,0,0,'Données projet'!$E$12+1,1))</f>
        <v>281.84871057356037</v>
      </c>
      <c r="CE137" s="59">
        <f t="shared" si="148"/>
        <v>276.02211904126887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14.686733317554923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14.686733317554923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853.00000000000011</v>
      </c>
      <c r="O138" s="13">
        <f>N138*VLOOKUP('Données projet'!$B$9,Paramètres!$A$1:$I$89,3,0)*VLOOKUP('Données projet'!$B$9,Paramètres!$A$1:$I$89,5,0)</f>
        <v>399.20400000000006</v>
      </c>
      <c r="P138" s="13">
        <f t="shared" si="141"/>
        <v>91.615269732888521</v>
      </c>
      <c r="Q138" s="20">
        <f t="shared" si="108"/>
        <v>854.8435614514475</v>
      </c>
      <c r="R138" s="59">
        <f t="shared" si="109"/>
        <v>1148.1768947847809</v>
      </c>
      <c r="S138" s="59">
        <f ca="1">AVERAGE(OFFSET($R$3,0,0,'Données projet'!$E$9+1,1))-AVERAGE(OFFSET($H$3,0,0,'Données projet'!$E$9+1,1))</f>
        <v>414.8063171894658</v>
      </c>
      <c r="T138" s="59">
        <f t="shared" si="142"/>
        <v>354.21555670988619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46.63292821755973</v>
      </c>
      <c r="AA138" s="21">
        <f>EXP(-LN(2)/25)*AA137+(1-EXP(-LN(2)/25))/(LN(2)/25)*Calculateur!V138*Calculateur!X138*VLOOKUP('Données projet'!$B$9,Paramètres!$A$1:$I$89,3,0)*0.475*44/12</f>
        <v>2.6653714191405466</v>
      </c>
      <c r="AB138" s="21">
        <f>EXP(-LN(2)/2)*AB137+(1-EXP(-LN(2)/2))/(LN(2)/2)*V138*Y138*VLOOKUP('Données projet'!$B$9,Paramètres!$A$1:$I$89,3,0)*0.475*44/12</f>
        <v>1.2739509929162382E-16</v>
      </c>
      <c r="AC138" s="22">
        <f t="shared" si="111"/>
        <v>49.298299636700278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963.59256833510426</v>
      </c>
      <c r="AN138" s="59">
        <f ca="1">AVERAGE(OFFSET($AM$3,0,0,'Données projet'!$E$10+1,1))-AVERAGE(OFFSET($H$3,0,0,'Données projet'!$E$10+1,1))</f>
        <v>392.48436003609055</v>
      </c>
      <c r="AO138" s="59">
        <f t="shared" si="144"/>
        <v>236.3312446580419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212.42519999999985</v>
      </c>
      <c r="BF138" s="13">
        <f t="shared" si="145"/>
        <v>52.465198231787184</v>
      </c>
      <c r="BG138" s="20">
        <f t="shared" si="115"/>
        <v>461.35077692036231</v>
      </c>
      <c r="BH138" s="59">
        <f t="shared" si="116"/>
        <v>754.68411025369562</v>
      </c>
      <c r="BI138" s="59">
        <f ca="1">AVERAGE(OFFSET($BH$3,0,0,'Données projet'!$E$11+1,1))-AVERAGE(OFFSET($H$3,0,0,'Données projet'!$E$11+1,1))</f>
        <v>225.2323446080772</v>
      </c>
      <c r="BJ138" s="59">
        <f t="shared" si="146"/>
        <v>222.29030402759292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14.598567847487208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14.598567847487208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258.24239999999986</v>
      </c>
      <c r="CA138" s="13">
        <f t="shared" si="147"/>
        <v>62.347580891234152</v>
      </c>
      <c r="CB138" s="20">
        <f t="shared" si="118"/>
        <v>558.3608833855659</v>
      </c>
      <c r="CC138" s="59">
        <f t="shared" si="119"/>
        <v>851.69421671889927</v>
      </c>
      <c r="CD138" s="59">
        <f ca="1">AVERAGE(OFFSET($CC$3,0,0,'Données projet'!$E$12+1,1))-AVERAGE(OFFSET($H$3,0,0,'Données projet'!$E$12+1,1))</f>
        <v>281.84871057356037</v>
      </c>
      <c r="CE138" s="59">
        <f t="shared" si="148"/>
        <v>276.02211904126887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14.398735435220463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14.398735435220463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853.00000000000011</v>
      </c>
      <c r="O139" s="13">
        <f>N139*VLOOKUP('Données projet'!$B$9,Paramètres!$A$1:$I$89,3,0)*VLOOKUP('Données projet'!$B$9,Paramètres!$A$1:$I$89,5,0)</f>
        <v>399.20400000000006</v>
      </c>
      <c r="P139" s="13">
        <f t="shared" si="141"/>
        <v>91.615269732888521</v>
      </c>
      <c r="Q139" s="20">
        <f t="shared" si="108"/>
        <v>854.8435614514475</v>
      </c>
      <c r="R139" s="59">
        <f t="shared" si="109"/>
        <v>1148.1768947847809</v>
      </c>
      <c r="S139" s="59">
        <f ca="1">AVERAGE(OFFSET($R$3,0,0,'Données projet'!$E$9+1,1))-AVERAGE(OFFSET($H$3,0,0,'Données projet'!$E$9+1,1))</f>
        <v>414.8063171894658</v>
      </c>
      <c r="T139" s="59">
        <f t="shared" si="142"/>
        <v>354.21555670988619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45.718484938491059</v>
      </c>
      <c r="AA139" s="21">
        <f>EXP(-LN(2)/25)*AA138+(1-EXP(-LN(2)/25))/(LN(2)/25)*Calculateur!V139*Calculateur!X139*VLOOKUP('Données projet'!$B$9,Paramètres!$A$1:$I$89,3,0)*0.475*44/12</f>
        <v>2.5924866975183574</v>
      </c>
      <c r="AB139" s="21">
        <f>EXP(-LN(2)/2)*AB138+(1-EXP(-LN(2)/2))/(LN(2)/2)*V139*Y139*VLOOKUP('Données projet'!$B$9,Paramètres!$A$1:$I$89,3,0)*0.475*44/12</f>
        <v>9.008193859904074E-17</v>
      </c>
      <c r="AC139" s="22">
        <f t="shared" si="111"/>
        <v>48.31097163600942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963.59256833510426</v>
      </c>
      <c r="AN139" s="59">
        <f ca="1">AVERAGE(OFFSET($AM$3,0,0,'Données projet'!$E$10+1,1))-AVERAGE(OFFSET($H$3,0,0,'Données projet'!$E$10+1,1))</f>
        <v>392.48436003609055</v>
      </c>
      <c r="AO139" s="59">
        <f t="shared" si="144"/>
        <v>236.3312446580419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212.42519999999985</v>
      </c>
      <c r="BF139" s="13">
        <f t="shared" si="145"/>
        <v>52.465198231787184</v>
      </c>
      <c r="BG139" s="20">
        <f t="shared" si="115"/>
        <v>461.35077692036231</v>
      </c>
      <c r="BH139" s="59">
        <f t="shared" si="116"/>
        <v>754.68411025369562</v>
      </c>
      <c r="BI139" s="59">
        <f ca="1">AVERAGE(OFFSET($BH$3,0,0,'Données projet'!$E$11+1,1))-AVERAGE(OFFSET($H$3,0,0,'Données projet'!$E$11+1,1))</f>
        <v>225.2323446080772</v>
      </c>
      <c r="BJ139" s="59">
        <f t="shared" si="146"/>
        <v>222.29030402759292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14.31229883624515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14.31229883624515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258.24239999999986</v>
      </c>
      <c r="CA139" s="13">
        <f t="shared" si="147"/>
        <v>62.347580891234152</v>
      </c>
      <c r="CB139" s="20">
        <f t="shared" si="118"/>
        <v>558.3608833855659</v>
      </c>
      <c r="CC139" s="59">
        <f t="shared" si="119"/>
        <v>851.69421671889927</v>
      </c>
      <c r="CD139" s="59">
        <f ca="1">AVERAGE(OFFSET($CC$3,0,0,'Données projet'!$E$12+1,1))-AVERAGE(OFFSET($H$3,0,0,'Données projet'!$E$12+1,1))</f>
        <v>281.84871057356037</v>
      </c>
      <c r="CE139" s="59">
        <f t="shared" si="148"/>
        <v>276.02211904126887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14.116385015697219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14.116385015697219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853.00000000000011</v>
      </c>
      <c r="O140" s="13">
        <f>N140*VLOOKUP('Données projet'!$B$9,Paramètres!$A$1:$I$89,3,0)*VLOOKUP('Données projet'!$B$9,Paramètres!$A$1:$I$89,5,0)</f>
        <v>399.20400000000006</v>
      </c>
      <c r="P140" s="13">
        <f t="shared" si="141"/>
        <v>91.615269732888521</v>
      </c>
      <c r="Q140" s="20">
        <f t="shared" si="108"/>
        <v>854.8435614514475</v>
      </c>
      <c r="R140" s="59">
        <f t="shared" si="109"/>
        <v>1148.1768947847809</v>
      </c>
      <c r="S140" s="59">
        <f ca="1">AVERAGE(OFFSET($R$3,0,0,'Données projet'!$E$9+1,1))-AVERAGE(OFFSET($H$3,0,0,'Données projet'!$E$9+1,1))</f>
        <v>414.8063171894658</v>
      </c>
      <c r="T140" s="59">
        <f t="shared" si="142"/>
        <v>354.21555670988619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44.821973334369595</v>
      </c>
      <c r="AA140" s="21">
        <f>EXP(-LN(2)/25)*AA139+(1-EXP(-LN(2)/25))/(LN(2)/25)*Calculateur!V140*Calculateur!X140*VLOOKUP('Données projet'!$B$9,Paramètres!$A$1:$I$89,3,0)*0.475*44/12</f>
        <v>2.5215950124417676</v>
      </c>
      <c r="AB140" s="21">
        <f>EXP(-LN(2)/2)*AB139+(1-EXP(-LN(2)/2))/(LN(2)/2)*V140*Y140*VLOOKUP('Données projet'!$B$9,Paramètres!$A$1:$I$89,3,0)*0.475*44/12</f>
        <v>6.3697549645811908E-17</v>
      </c>
      <c r="AC140" s="22">
        <f t="shared" si="111"/>
        <v>47.34356834681136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963.59256833510426</v>
      </c>
      <c r="AN140" s="59">
        <f ca="1">AVERAGE(OFFSET($AM$3,0,0,'Données projet'!$E$10+1,1))-AVERAGE(OFFSET($H$3,0,0,'Données projet'!$E$10+1,1))</f>
        <v>392.48436003609055</v>
      </c>
      <c r="AO140" s="59">
        <f t="shared" si="144"/>
        <v>236.3312446580419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212.42519999999985</v>
      </c>
      <c r="BF140" s="13">
        <f t="shared" si="145"/>
        <v>52.465198231787184</v>
      </c>
      <c r="BG140" s="20">
        <f t="shared" si="115"/>
        <v>461.35077692036231</v>
      </c>
      <c r="BH140" s="59">
        <f t="shared" si="116"/>
        <v>754.68411025369562</v>
      </c>
      <c r="BI140" s="59">
        <f ca="1">AVERAGE(OFFSET($BH$3,0,0,'Données projet'!$E$11+1,1))-AVERAGE(OFFSET($H$3,0,0,'Données projet'!$E$11+1,1))</f>
        <v>225.2323446080772</v>
      </c>
      <c r="BJ140" s="59">
        <f t="shared" si="146"/>
        <v>222.29030402759292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14.031643385706692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14.031643385706692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258.24239999999986</v>
      </c>
      <c r="CA140" s="13">
        <f t="shared" si="147"/>
        <v>62.347580891234152</v>
      </c>
      <c r="CB140" s="20">
        <f t="shared" si="118"/>
        <v>558.3608833855659</v>
      </c>
      <c r="CC140" s="59">
        <f t="shared" si="119"/>
        <v>851.69421671889927</v>
      </c>
      <c r="CD140" s="59">
        <f ca="1">AVERAGE(OFFSET($CC$3,0,0,'Données projet'!$E$12+1,1))-AVERAGE(OFFSET($H$3,0,0,'Données projet'!$E$12+1,1))</f>
        <v>281.84871057356037</v>
      </c>
      <c r="CE140" s="59">
        <f t="shared" si="148"/>
        <v>276.02211904126887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13.839571315684076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13.839571315684076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853.00000000000011</v>
      </c>
      <c r="O141" s="13">
        <f>N141*VLOOKUP('Données projet'!$B$9,Paramètres!$A$1:$I$89,3,0)*VLOOKUP('Données projet'!$B$9,Paramètres!$A$1:$I$89,5,0)</f>
        <v>399.20400000000006</v>
      </c>
      <c r="P141" s="13">
        <f t="shared" si="141"/>
        <v>91.615269732888521</v>
      </c>
      <c r="Q141" s="20">
        <f t="shared" si="108"/>
        <v>854.8435614514475</v>
      </c>
      <c r="R141" s="59">
        <f t="shared" si="109"/>
        <v>1148.1768947847809</v>
      </c>
      <c r="S141" s="59">
        <f ca="1">AVERAGE(OFFSET($R$3,0,0,'Données projet'!$E$9+1,1))-AVERAGE(OFFSET($H$3,0,0,'Données projet'!$E$9+1,1))</f>
        <v>414.8063171894658</v>
      </c>
      <c r="T141" s="59">
        <f t="shared" si="142"/>
        <v>354.21555670988619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43.94304177598687</v>
      </c>
      <c r="AA141" s="21">
        <f>EXP(-LN(2)/25)*AA140+(1-EXP(-LN(2)/25))/(LN(2)/25)*Calculateur!V141*Calculateur!X141*VLOOKUP('Données projet'!$B$9,Paramètres!$A$1:$I$89,3,0)*0.475*44/12</f>
        <v>2.4526418642216288</v>
      </c>
      <c r="AB141" s="21">
        <f>EXP(-LN(2)/2)*AB140+(1-EXP(-LN(2)/2))/(LN(2)/2)*V141*Y141*VLOOKUP('Données projet'!$B$9,Paramètres!$A$1:$I$89,3,0)*0.475*44/12</f>
        <v>4.504096929952037E-17</v>
      </c>
      <c r="AC141" s="22">
        <f t="shared" si="111"/>
        <v>46.395683640208496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963.59256833510426</v>
      </c>
      <c r="AN141" s="59">
        <f ca="1">AVERAGE(OFFSET($AM$3,0,0,'Données projet'!$E$10+1,1))-AVERAGE(OFFSET($H$3,0,0,'Données projet'!$E$10+1,1))</f>
        <v>392.48436003609055</v>
      </c>
      <c r="AO141" s="59">
        <f t="shared" si="144"/>
        <v>236.3312446580419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212.42519999999985</v>
      </c>
      <c r="BF141" s="13">
        <f t="shared" si="145"/>
        <v>52.465198231787184</v>
      </c>
      <c r="BG141" s="20">
        <f t="shared" si="115"/>
        <v>461.35077692036231</v>
      </c>
      <c r="BH141" s="59">
        <f t="shared" si="116"/>
        <v>754.68411025369562</v>
      </c>
      <c r="BI141" s="59">
        <f ca="1">AVERAGE(OFFSET($BH$3,0,0,'Données projet'!$E$11+1,1))-AVERAGE(OFFSET($H$3,0,0,'Données projet'!$E$11+1,1))</f>
        <v>225.2323446080772</v>
      </c>
      <c r="BJ141" s="59">
        <f t="shared" si="146"/>
        <v>222.29030402759292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13.756491417370372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13.756491417370372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258.24239999999986</v>
      </c>
      <c r="CA141" s="13">
        <f t="shared" si="147"/>
        <v>62.347580891234152</v>
      </c>
      <c r="CB141" s="20">
        <f t="shared" si="118"/>
        <v>558.3608833855659</v>
      </c>
      <c r="CC141" s="59">
        <f t="shared" si="119"/>
        <v>851.69421671889927</v>
      </c>
      <c r="CD141" s="59">
        <f ca="1">AVERAGE(OFFSET($CC$3,0,0,'Données projet'!$E$12+1,1))-AVERAGE(OFFSET($H$3,0,0,'Données projet'!$E$12+1,1))</f>
        <v>281.84871057356037</v>
      </c>
      <c r="CE141" s="59">
        <f t="shared" si="148"/>
        <v>276.02211904126887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13.568185763488504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13.568185763488504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853.00000000000011</v>
      </c>
      <c r="O142" s="13">
        <f>N142*VLOOKUP('Données projet'!$B$9,Paramètres!$A$1:$I$89,3,0)*VLOOKUP('Données projet'!$B$9,Paramètres!$A$1:$I$89,5,0)</f>
        <v>399.20400000000006</v>
      </c>
      <c r="P142" s="13">
        <f t="shared" si="141"/>
        <v>91.615269732888521</v>
      </c>
      <c r="Q142" s="20">
        <f t="shared" si="108"/>
        <v>854.8435614514475</v>
      </c>
      <c r="R142" s="59">
        <f t="shared" si="109"/>
        <v>1148.1768947847809</v>
      </c>
      <c r="S142" s="59">
        <f ca="1">AVERAGE(OFFSET($R$3,0,0,'Données projet'!$E$9+1,1))-AVERAGE(OFFSET($H$3,0,0,'Données projet'!$E$9+1,1))</f>
        <v>414.8063171894658</v>
      </c>
      <c r="T142" s="59">
        <f t="shared" si="142"/>
        <v>354.21555670988619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43.081345529368711</v>
      </c>
      <c r="AA142" s="21">
        <f>EXP(-LN(2)/25)*AA141+(1-EXP(-LN(2)/25))/(LN(2)/25)*Calculateur!V142*Calculateur!X142*VLOOKUP('Données projet'!$B$9,Paramètres!$A$1:$I$89,3,0)*0.475*44/12</f>
        <v>2.3855742434656584</v>
      </c>
      <c r="AB142" s="21">
        <f>EXP(-LN(2)/2)*AB141+(1-EXP(-LN(2)/2))/(LN(2)/2)*V142*Y142*VLOOKUP('Données projet'!$B$9,Paramètres!$A$1:$I$89,3,0)*0.475*44/12</f>
        <v>3.1848774822905954E-17</v>
      </c>
      <c r="AC142" s="22">
        <f t="shared" si="111"/>
        <v>45.466919772834373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963.59256833510426</v>
      </c>
      <c r="AN142" s="59">
        <f ca="1">AVERAGE(OFFSET($AM$3,0,0,'Données projet'!$E$10+1,1))-AVERAGE(OFFSET($H$3,0,0,'Données projet'!$E$10+1,1))</f>
        <v>392.48436003609055</v>
      </c>
      <c r="AO142" s="59">
        <f t="shared" si="144"/>
        <v>236.3312446580419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212.42519999999985</v>
      </c>
      <c r="BF142" s="13">
        <f t="shared" si="145"/>
        <v>52.465198231787184</v>
      </c>
      <c r="BG142" s="20">
        <f t="shared" si="115"/>
        <v>461.35077692036231</v>
      </c>
      <c r="BH142" s="59">
        <f t="shared" si="116"/>
        <v>754.68411025369562</v>
      </c>
      <c r="BI142" s="59">
        <f ca="1">AVERAGE(OFFSET($BH$3,0,0,'Données projet'!$E$11+1,1))-AVERAGE(OFFSET($H$3,0,0,'Données projet'!$E$11+1,1))</f>
        <v>225.2323446080772</v>
      </c>
      <c r="BJ142" s="59">
        <f t="shared" si="146"/>
        <v>222.29030402759292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13.486735011306997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13.486735011306997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258.24239999999986</v>
      </c>
      <c r="CA142" s="13">
        <f t="shared" si="147"/>
        <v>62.347580891234152</v>
      </c>
      <c r="CB142" s="20">
        <f t="shared" si="118"/>
        <v>558.3608833855659</v>
      </c>
      <c r="CC142" s="59">
        <f t="shared" si="119"/>
        <v>851.69421671889927</v>
      </c>
      <c r="CD142" s="59">
        <f ca="1">AVERAGE(OFFSET($CC$3,0,0,'Données projet'!$E$12+1,1))-AVERAGE(OFFSET($H$3,0,0,'Données projet'!$E$12+1,1))</f>
        <v>281.84871057356037</v>
      </c>
      <c r="CE142" s="59">
        <f t="shared" si="148"/>
        <v>276.02211904126887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13.302121916442646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13.302121916442646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853.00000000000011</v>
      </c>
      <c r="O143" s="13">
        <f>N143*VLOOKUP('Données projet'!$B$9,Paramètres!$A$1:$I$89,3,0)*VLOOKUP('Données projet'!$B$9,Paramètres!$A$1:$I$89,5,0)</f>
        <v>399.20400000000006</v>
      </c>
      <c r="P143" s="13">
        <f t="shared" si="141"/>
        <v>91.615269732888521</v>
      </c>
      <c r="Q143" s="20">
        <f t="shared" si="108"/>
        <v>854.8435614514475</v>
      </c>
      <c r="R143" s="59">
        <f t="shared" si="109"/>
        <v>1148.1768947847809</v>
      </c>
      <c r="S143" s="59">
        <f ca="1">AVERAGE(OFFSET($R$3,0,0,'Données projet'!$E$9+1,1))-AVERAGE(OFFSET($H$3,0,0,'Données projet'!$E$9+1,1))</f>
        <v>414.8063171894658</v>
      </c>
      <c r="T143" s="59">
        <f t="shared" si="142"/>
        <v>354.21555670988619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42.236546620563921</v>
      </c>
      <c r="AA143" s="21">
        <f>EXP(-LN(2)/25)*AA142+(1-EXP(-LN(2)/25))/(LN(2)/25)*Calculateur!V143*Calculateur!X143*VLOOKUP('Données projet'!$B$9,Paramètres!$A$1:$I$89,3,0)*0.475*44/12</f>
        <v>2.3203405903261927</v>
      </c>
      <c r="AB143" s="21">
        <f>EXP(-LN(2)/2)*AB142+(1-EXP(-LN(2)/2))/(LN(2)/2)*V143*Y143*VLOOKUP('Données projet'!$B$9,Paramètres!$A$1:$I$89,3,0)*0.475*44/12</f>
        <v>2.2520484649760185E-17</v>
      </c>
      <c r="AC143" s="22">
        <f t="shared" si="111"/>
        <v>44.55688721089011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963.59256833510426</v>
      </c>
      <c r="AN143" s="59">
        <f ca="1">AVERAGE(OFFSET($AM$3,0,0,'Données projet'!$E$10+1,1))-AVERAGE(OFFSET($H$3,0,0,'Données projet'!$E$10+1,1))</f>
        <v>392.48436003609055</v>
      </c>
      <c r="AO143" s="59">
        <f t="shared" si="144"/>
        <v>236.3312446580419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212.42519999999985</v>
      </c>
      <c r="BF143" s="13">
        <f t="shared" si="145"/>
        <v>52.465198231787184</v>
      </c>
      <c r="BG143" s="20">
        <f t="shared" si="115"/>
        <v>461.35077692036231</v>
      </c>
      <c r="BH143" s="59">
        <f t="shared" si="116"/>
        <v>754.68411025369562</v>
      </c>
      <c r="BI143" s="59">
        <f ca="1">AVERAGE(OFFSET($BH$3,0,0,'Données projet'!$E$11+1,1))-AVERAGE(OFFSET($H$3,0,0,'Données projet'!$E$11+1,1))</f>
        <v>225.2323446080772</v>
      </c>
      <c r="BJ143" s="59">
        <f t="shared" si="146"/>
        <v>222.29030402759292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13.222268363831365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13.222268363831365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258.24239999999986</v>
      </c>
      <c r="CA143" s="13">
        <f t="shared" si="147"/>
        <v>62.347580891234152</v>
      </c>
      <c r="CB143" s="20">
        <f t="shared" si="118"/>
        <v>558.3608833855659</v>
      </c>
      <c r="CC143" s="59">
        <f t="shared" si="119"/>
        <v>851.69421671889927</v>
      </c>
      <c r="CD143" s="59">
        <f ca="1">AVERAGE(OFFSET($CC$3,0,0,'Données projet'!$E$12+1,1))-AVERAGE(OFFSET($H$3,0,0,'Données projet'!$E$12+1,1))</f>
        <v>281.84871057356037</v>
      </c>
      <c r="CE143" s="59">
        <f t="shared" si="148"/>
        <v>276.02211904126887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13.041275419154434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13.041275419154434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853.00000000000011</v>
      </c>
      <c r="O144" s="13">
        <f>N144*VLOOKUP('Données projet'!$B$9,Paramètres!$A$1:$I$89,3,0)*VLOOKUP('Données projet'!$B$9,Paramètres!$A$1:$I$89,5,0)</f>
        <v>399.20400000000006</v>
      </c>
      <c r="P144" s="13">
        <f t="shared" si="141"/>
        <v>91.615269732888521</v>
      </c>
      <c r="Q144" s="20">
        <f t="shared" si="108"/>
        <v>854.8435614514475</v>
      </c>
      <c r="R144" s="59">
        <f t="shared" si="109"/>
        <v>1148.1768947847809</v>
      </c>
      <c r="S144" s="59">
        <f ca="1">AVERAGE(OFFSET($R$3,0,0,'Données projet'!$E$9+1,1))-AVERAGE(OFFSET($H$3,0,0,'Données projet'!$E$9+1,1))</f>
        <v>414.8063171894658</v>
      </c>
      <c r="T144" s="59">
        <f t="shared" si="142"/>
        <v>354.21555670988619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41.408313703084339</v>
      </c>
      <c r="AA144" s="21">
        <f>EXP(-LN(2)/25)*AA143+(1-EXP(-LN(2)/25))/(LN(2)/25)*Calculateur!V144*Calculateur!X144*VLOOKUP('Données projet'!$B$9,Paramètres!$A$1:$I$89,3,0)*0.475*44/12</f>
        <v>2.2568907548623143</v>
      </c>
      <c r="AB144" s="21">
        <f>EXP(-LN(2)/2)*AB143+(1-EXP(-LN(2)/2))/(LN(2)/2)*V144*Y144*VLOOKUP('Données projet'!$B$9,Paramètres!$A$1:$I$89,3,0)*0.475*44/12</f>
        <v>1.5924387411452977E-17</v>
      </c>
      <c r="AC144" s="22">
        <f t="shared" si="111"/>
        <v>43.665204457946651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963.59256833510426</v>
      </c>
      <c r="AN144" s="59">
        <f ca="1">AVERAGE(OFFSET($AM$3,0,0,'Données projet'!$E$10+1,1))-AVERAGE(OFFSET($H$3,0,0,'Données projet'!$E$10+1,1))</f>
        <v>392.48436003609055</v>
      </c>
      <c r="AO144" s="59">
        <f t="shared" si="144"/>
        <v>236.3312446580419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212.42519999999985</v>
      </c>
      <c r="BF144" s="13">
        <f t="shared" si="145"/>
        <v>52.465198231787184</v>
      </c>
      <c r="BG144" s="20">
        <f t="shared" si="115"/>
        <v>461.35077692036231</v>
      </c>
      <c r="BH144" s="59">
        <f t="shared" si="116"/>
        <v>754.68411025369562</v>
      </c>
      <c r="BI144" s="59">
        <f ca="1">AVERAGE(OFFSET($BH$3,0,0,'Données projet'!$E$11+1,1))-AVERAGE(OFFSET($H$3,0,0,'Données projet'!$E$11+1,1))</f>
        <v>225.2323446080772</v>
      </c>
      <c r="BJ144" s="59">
        <f t="shared" si="146"/>
        <v>222.29030402759292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12.962987746004002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12.962987746004002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258.24239999999986</v>
      </c>
      <c r="CA144" s="13">
        <f t="shared" si="147"/>
        <v>62.347580891234152</v>
      </c>
      <c r="CB144" s="20">
        <f t="shared" si="118"/>
        <v>558.3608833855659</v>
      </c>
      <c r="CC144" s="59">
        <f t="shared" si="119"/>
        <v>851.69421671889927</v>
      </c>
      <c r="CD144" s="59">
        <f ca="1">AVERAGE(OFFSET($CC$3,0,0,'Données projet'!$E$12+1,1))-AVERAGE(OFFSET($H$3,0,0,'Données projet'!$E$12+1,1))</f>
        <v>281.84871057356037</v>
      </c>
      <c r="CE144" s="59">
        <f t="shared" si="148"/>
        <v>276.02211904126887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12.785543962577391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12.785543962577391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853.00000000000011</v>
      </c>
      <c r="O145" s="13">
        <f>N145*VLOOKUP('Données projet'!$B$9,Paramètres!$A$1:$I$89,3,0)*VLOOKUP('Données projet'!$B$9,Paramètres!$A$1:$I$89,5,0)</f>
        <v>399.20400000000006</v>
      </c>
      <c r="P145" s="13">
        <f t="shared" si="141"/>
        <v>91.615269732888521</v>
      </c>
      <c r="Q145" s="20">
        <f t="shared" si="108"/>
        <v>854.8435614514475</v>
      </c>
      <c r="R145" s="59">
        <f t="shared" si="109"/>
        <v>1148.1768947847809</v>
      </c>
      <c r="S145" s="59">
        <f ca="1">AVERAGE(OFFSET($R$3,0,0,'Données projet'!$E$9+1,1))-AVERAGE(OFFSET($H$3,0,0,'Données projet'!$E$9+1,1))</f>
        <v>414.8063171894658</v>
      </c>
      <c r="T145" s="59">
        <f t="shared" si="142"/>
        <v>354.21555670988619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40.596321927944331</v>
      </c>
      <c r="AA145" s="21">
        <f>EXP(-LN(2)/25)*AA144+(1-EXP(-LN(2)/25))/(LN(2)/25)*Calculateur!V145*Calculateur!X145*VLOOKUP('Données projet'!$B$9,Paramètres!$A$1:$I$89,3,0)*0.475*44/12</f>
        <v>2.1951759584858777</v>
      </c>
      <c r="AB145" s="21">
        <f>EXP(-LN(2)/2)*AB144+(1-EXP(-LN(2)/2))/(LN(2)/2)*V145*Y145*VLOOKUP('Données projet'!$B$9,Paramètres!$A$1:$I$89,3,0)*0.475*44/12</f>
        <v>1.1260242324880092E-17</v>
      </c>
      <c r="AC145" s="22">
        <f t="shared" si="111"/>
        <v>42.791497886430207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963.59256833510426</v>
      </c>
      <c r="AN145" s="59">
        <f ca="1">AVERAGE(OFFSET($AM$3,0,0,'Données projet'!$E$10+1,1))-AVERAGE(OFFSET($H$3,0,0,'Données projet'!$E$10+1,1))</f>
        <v>392.48436003609055</v>
      </c>
      <c r="AO145" s="59">
        <f t="shared" si="144"/>
        <v>236.3312446580419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212.42519999999985</v>
      </c>
      <c r="BF145" s="13">
        <f t="shared" si="145"/>
        <v>52.465198231787184</v>
      </c>
      <c r="BG145" s="20">
        <f t="shared" si="115"/>
        <v>461.35077692036231</v>
      </c>
      <c r="BH145" s="59">
        <f t="shared" si="116"/>
        <v>754.68411025369562</v>
      </c>
      <c r="BI145" s="59">
        <f ca="1">AVERAGE(OFFSET($BH$3,0,0,'Données projet'!$E$11+1,1))-AVERAGE(OFFSET($H$3,0,0,'Données projet'!$E$11+1,1))</f>
        <v>225.2323446080772</v>
      </c>
      <c r="BJ145" s="59">
        <f t="shared" si="146"/>
        <v>222.29030402759292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12.708791462946673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12.708791462946673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258.24239999999986</v>
      </c>
      <c r="CA145" s="13">
        <f t="shared" si="147"/>
        <v>62.347580891234152</v>
      </c>
      <c r="CB145" s="20">
        <f t="shared" si="118"/>
        <v>558.3608833855659</v>
      </c>
      <c r="CC145" s="59">
        <f t="shared" si="119"/>
        <v>851.69421671889927</v>
      </c>
      <c r="CD145" s="59">
        <f ca="1">AVERAGE(OFFSET($CC$3,0,0,'Données projet'!$E$12+1,1))-AVERAGE(OFFSET($H$3,0,0,'Données projet'!$E$12+1,1))</f>
        <v>281.84871057356037</v>
      </c>
      <c r="CE145" s="59">
        <f t="shared" si="148"/>
        <v>276.02211904126887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12.534827243883036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12.534827243883036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853.00000000000011</v>
      </c>
      <c r="O146" s="13">
        <f>N146*VLOOKUP('Données projet'!$B$9,Paramètres!$A$1:$I$89,3,0)*VLOOKUP('Données projet'!$B$9,Paramètres!$A$1:$I$89,5,0)</f>
        <v>399.20400000000006</v>
      </c>
      <c r="P146" s="13">
        <f t="shared" si="141"/>
        <v>91.615269732888521</v>
      </c>
      <c r="Q146" s="20">
        <f t="shared" si="108"/>
        <v>854.8435614514475</v>
      </c>
      <c r="R146" s="59">
        <f t="shared" si="109"/>
        <v>1148.1768947847809</v>
      </c>
      <c r="S146" s="59">
        <f ca="1">AVERAGE(OFFSET($R$3,0,0,'Données projet'!$E$9+1,1))-AVERAGE(OFFSET($H$3,0,0,'Données projet'!$E$9+1,1))</f>
        <v>414.8063171894658</v>
      </c>
      <c r="T146" s="59">
        <f t="shared" si="142"/>
        <v>354.21555670988619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39.800252816248744</v>
      </c>
      <c r="AA146" s="21">
        <f>EXP(-LN(2)/25)*AA145+(1-EXP(-LN(2)/25))/(LN(2)/25)*Calculateur!V146*Calculateur!X146*VLOOKUP('Données projet'!$B$9,Paramètres!$A$1:$I$89,3,0)*0.475*44/12</f>
        <v>2.135148756461795</v>
      </c>
      <c r="AB146" s="21">
        <f>EXP(-LN(2)/2)*AB145+(1-EXP(-LN(2)/2))/(LN(2)/2)*V146*Y146*VLOOKUP('Données projet'!$B$9,Paramètres!$A$1:$I$89,3,0)*0.475*44/12</f>
        <v>7.9621937057264885E-18</v>
      </c>
      <c r="AC146" s="22">
        <f t="shared" si="111"/>
        <v>41.935401572710539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963.59256833510426</v>
      </c>
      <c r="AN146" s="59">
        <f ca="1">AVERAGE(OFFSET($AM$3,0,0,'Données projet'!$E$10+1,1))-AVERAGE(OFFSET($H$3,0,0,'Données projet'!$E$10+1,1))</f>
        <v>392.48436003609055</v>
      </c>
      <c r="AO146" s="59">
        <f t="shared" si="144"/>
        <v>236.3312446580419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212.42519999999985</v>
      </c>
      <c r="BF146" s="13">
        <f t="shared" si="145"/>
        <v>52.465198231787184</v>
      </c>
      <c r="BG146" s="20">
        <f t="shared" si="115"/>
        <v>461.35077692036231</v>
      </c>
      <c r="BH146" s="59">
        <f t="shared" si="116"/>
        <v>754.68411025369562</v>
      </c>
      <c r="BI146" s="59">
        <f ca="1">AVERAGE(OFFSET($BH$3,0,0,'Données projet'!$E$11+1,1))-AVERAGE(OFFSET($H$3,0,0,'Données projet'!$E$11+1,1))</f>
        <v>225.2323446080772</v>
      </c>
      <c r="BJ146" s="59">
        <f t="shared" si="146"/>
        <v>222.29030402759292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12.459579813955674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12.459579813955674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258.24239999999986</v>
      </c>
      <c r="CA146" s="13">
        <f t="shared" si="147"/>
        <v>62.347580891234152</v>
      </c>
      <c r="CB146" s="20">
        <f t="shared" si="118"/>
        <v>558.3608833855659</v>
      </c>
      <c r="CC146" s="59">
        <f t="shared" si="119"/>
        <v>851.69421671889927</v>
      </c>
      <c r="CD146" s="59">
        <f ca="1">AVERAGE(OFFSET($CC$3,0,0,'Données projet'!$E$12+1,1))-AVERAGE(OFFSET($H$3,0,0,'Données projet'!$E$12+1,1))</f>
        <v>281.84871057356037</v>
      </c>
      <c r="CE146" s="59">
        <f t="shared" si="148"/>
        <v>276.02211904126887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12.28902692712018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12.28902692712018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853.00000000000011</v>
      </c>
      <c r="O147" s="13">
        <f>N147*VLOOKUP('Données projet'!$B$9,Paramètres!$A$1:$I$89,3,0)*VLOOKUP('Données projet'!$B$9,Paramètres!$A$1:$I$89,5,0)</f>
        <v>399.20400000000006</v>
      </c>
      <c r="P147" s="13">
        <f t="shared" si="141"/>
        <v>91.615269732888521</v>
      </c>
      <c r="Q147" s="20">
        <f t="shared" si="108"/>
        <v>854.8435614514475</v>
      </c>
      <c r="R147" s="59">
        <f t="shared" si="109"/>
        <v>1148.1768947847809</v>
      </c>
      <c r="S147" s="59">
        <f ca="1">AVERAGE(OFFSET($R$3,0,0,'Données projet'!$E$9+1,1))-AVERAGE(OFFSET($H$3,0,0,'Données projet'!$E$9+1,1))</f>
        <v>414.8063171894658</v>
      </c>
      <c r="T147" s="59">
        <f t="shared" si="142"/>
        <v>354.21555670988619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39.019794134279294</v>
      </c>
      <c r="AA147" s="21">
        <f>EXP(-LN(2)/25)*AA146+(1-EXP(-LN(2)/25))/(LN(2)/25)*Calculateur!V147*Calculateur!X147*VLOOKUP('Données projet'!$B$9,Paramètres!$A$1:$I$89,3,0)*0.475*44/12</f>
        <v>2.0767630014337541</v>
      </c>
      <c r="AB147" s="21">
        <f>EXP(-LN(2)/2)*AB146+(1-EXP(-LN(2)/2))/(LN(2)/2)*V147*Y147*VLOOKUP('Données projet'!$B$9,Paramètres!$A$1:$I$89,3,0)*0.475*44/12</f>
        <v>5.6301211624400462E-18</v>
      </c>
      <c r="AC147" s="22">
        <f t="shared" si="111"/>
        <v>41.096557135713049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963.59256833510426</v>
      </c>
      <c r="AN147" s="59">
        <f ca="1">AVERAGE(OFFSET($AM$3,0,0,'Données projet'!$E$10+1,1))-AVERAGE(OFFSET($H$3,0,0,'Données projet'!$E$10+1,1))</f>
        <v>392.48436003609055</v>
      </c>
      <c r="AO147" s="59">
        <f t="shared" si="144"/>
        <v>236.3312446580419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212.42519999999985</v>
      </c>
      <c r="BF147" s="13">
        <f t="shared" si="145"/>
        <v>52.465198231787184</v>
      </c>
      <c r="BG147" s="20">
        <f t="shared" si="115"/>
        <v>461.35077692036231</v>
      </c>
      <c r="BH147" s="59">
        <f t="shared" si="116"/>
        <v>754.68411025369562</v>
      </c>
      <c r="BI147" s="59">
        <f ca="1">AVERAGE(OFFSET($BH$3,0,0,'Données projet'!$E$11+1,1))-AVERAGE(OFFSET($H$3,0,0,'Données projet'!$E$11+1,1))</f>
        <v>225.2323446080772</v>
      </c>
      <c r="BJ147" s="59">
        <f t="shared" si="146"/>
        <v>222.29030402759292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12.215255053397293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12.215255053397293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258.24239999999986</v>
      </c>
      <c r="CA147" s="13">
        <f t="shared" si="147"/>
        <v>62.347580891234152</v>
      </c>
      <c r="CB147" s="20">
        <f t="shared" si="118"/>
        <v>558.3608833855659</v>
      </c>
      <c r="CC147" s="59">
        <f t="shared" si="119"/>
        <v>851.69421671889927</v>
      </c>
      <c r="CD147" s="59">
        <f ca="1">AVERAGE(OFFSET($CC$3,0,0,'Données projet'!$E$12+1,1))-AVERAGE(OFFSET($H$3,0,0,'Données projet'!$E$12+1,1))</f>
        <v>281.84871057356037</v>
      </c>
      <c r="CE147" s="59">
        <f t="shared" si="148"/>
        <v>276.02211904126887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12.048046604645652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12.048046604645652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853.00000000000011</v>
      </c>
      <c r="O148" s="13">
        <f>N148*VLOOKUP('Données projet'!$B$9,Paramètres!$A$1:$I$89,3,0)*VLOOKUP('Données projet'!$B$9,Paramètres!$A$1:$I$89,5,0)</f>
        <v>399.20400000000006</v>
      </c>
      <c r="P148" s="13">
        <f t="shared" si="141"/>
        <v>91.615269732888521</v>
      </c>
      <c r="Q148" s="20">
        <f t="shared" si="108"/>
        <v>854.8435614514475</v>
      </c>
      <c r="R148" s="59">
        <f t="shared" si="109"/>
        <v>1148.1768947847809</v>
      </c>
      <c r="S148" s="59">
        <f ca="1">AVERAGE(OFFSET($R$3,0,0,'Données projet'!$E$9+1,1))-AVERAGE(OFFSET($H$3,0,0,'Données projet'!$E$9+1,1))</f>
        <v>414.8063171894658</v>
      </c>
      <c r="T148" s="59">
        <f t="shared" si="142"/>
        <v>354.21555670988619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38.254639771030469</v>
      </c>
      <c r="AA148" s="21">
        <f>EXP(-LN(2)/25)*AA147+(1-EXP(-LN(2)/25))/(LN(2)/25)*Calculateur!V148*Calculateur!X148*VLOOKUP('Données projet'!$B$9,Paramètres!$A$1:$I$89,3,0)*0.475*44/12</f>
        <v>2.0199738079473284</v>
      </c>
      <c r="AB148" s="21">
        <f>EXP(-LN(2)/2)*AB147+(1-EXP(-LN(2)/2))/(LN(2)/2)*V148*Y148*VLOOKUP('Données projet'!$B$9,Paramètres!$A$1:$I$89,3,0)*0.475*44/12</f>
        <v>3.9810968528632442E-18</v>
      </c>
      <c r="AC148" s="22">
        <f t="shared" si="111"/>
        <v>40.274613578977799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963.59256833510426</v>
      </c>
      <c r="AN148" s="59">
        <f ca="1">AVERAGE(OFFSET($AM$3,0,0,'Données projet'!$E$10+1,1))-AVERAGE(OFFSET($H$3,0,0,'Données projet'!$E$10+1,1))</f>
        <v>392.48436003609055</v>
      </c>
      <c r="AO148" s="59">
        <f t="shared" si="144"/>
        <v>236.3312446580419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212.42519999999985</v>
      </c>
      <c r="BF148" s="13">
        <f t="shared" si="145"/>
        <v>52.465198231787184</v>
      </c>
      <c r="BG148" s="20">
        <f t="shared" si="115"/>
        <v>461.35077692036231</v>
      </c>
      <c r="BH148" s="59">
        <f t="shared" si="116"/>
        <v>754.68411025369562</v>
      </c>
      <c r="BI148" s="59">
        <f ca="1">AVERAGE(OFFSET($BH$3,0,0,'Données projet'!$E$11+1,1))-AVERAGE(OFFSET($H$3,0,0,'Données projet'!$E$11+1,1))</f>
        <v>225.2323446080772</v>
      </c>
      <c r="BJ148" s="59">
        <f t="shared" si="146"/>
        <v>222.29030402759292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11.975721352370071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11.975721352370071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258.24239999999986</v>
      </c>
      <c r="CA148" s="13">
        <f t="shared" si="147"/>
        <v>62.347580891234152</v>
      </c>
      <c r="CB148" s="20">
        <f t="shared" si="118"/>
        <v>558.3608833855659</v>
      </c>
      <c r="CC148" s="59">
        <f t="shared" si="119"/>
        <v>851.69421671889927</v>
      </c>
      <c r="CD148" s="59">
        <f ca="1">AVERAGE(OFFSET($CC$3,0,0,'Données projet'!$E$12+1,1))-AVERAGE(OFFSET($H$3,0,0,'Données projet'!$E$12+1,1))</f>
        <v>281.84871057356037</v>
      </c>
      <c r="CE148" s="59">
        <f t="shared" si="148"/>
        <v>276.02211904126887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11.811791759311367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11.811791759311367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853.00000000000011</v>
      </c>
      <c r="O149" s="13">
        <f>N149*VLOOKUP('Données projet'!$B$9,Paramètres!$A$1:$I$89,3,0)*VLOOKUP('Données projet'!$B$9,Paramètres!$A$1:$I$89,5,0)</f>
        <v>399.20400000000006</v>
      </c>
      <c r="P149" s="13">
        <f t="shared" si="141"/>
        <v>91.615269732888521</v>
      </c>
      <c r="Q149" s="20">
        <f t="shared" si="108"/>
        <v>854.8435614514475</v>
      </c>
      <c r="R149" s="59">
        <f t="shared" si="109"/>
        <v>1148.1768947847809</v>
      </c>
      <c r="S149" s="59">
        <f ca="1">AVERAGE(OFFSET($R$3,0,0,'Données projet'!$E$9+1,1))-AVERAGE(OFFSET($H$3,0,0,'Données projet'!$E$9+1,1))</f>
        <v>414.8063171894658</v>
      </c>
      <c r="T149" s="59">
        <f t="shared" si="142"/>
        <v>354.21555670988619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37.504489618146877</v>
      </c>
      <c r="AA149" s="21">
        <f>EXP(-LN(2)/25)*AA148+(1-EXP(-LN(2)/25))/(LN(2)/25)*Calculateur!V149*Calculateur!X149*VLOOKUP('Données projet'!$B$9,Paramètres!$A$1:$I$89,3,0)*0.475*44/12</f>
        <v>1.9647375179432029</v>
      </c>
      <c r="AB149" s="21">
        <f>EXP(-LN(2)/2)*AB148+(1-EXP(-LN(2)/2))/(LN(2)/2)*V149*Y149*VLOOKUP('Données projet'!$B$9,Paramètres!$A$1:$I$89,3,0)*0.475*44/12</f>
        <v>2.8150605812200231E-18</v>
      </c>
      <c r="AC149" s="22">
        <f t="shared" si="111"/>
        <v>39.469227136090083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963.59256833510426</v>
      </c>
      <c r="AN149" s="59">
        <f ca="1">AVERAGE(OFFSET($AM$3,0,0,'Données projet'!$E$10+1,1))-AVERAGE(OFFSET($H$3,0,0,'Données projet'!$E$10+1,1))</f>
        <v>392.48436003609055</v>
      </c>
      <c r="AO149" s="59">
        <f t="shared" si="144"/>
        <v>236.3312446580419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212.42519999999985</v>
      </c>
      <c r="BF149" s="13">
        <f t="shared" si="145"/>
        <v>52.465198231787184</v>
      </c>
      <c r="BG149" s="20">
        <f t="shared" si="115"/>
        <v>461.35077692036231</v>
      </c>
      <c r="BH149" s="59">
        <f t="shared" si="116"/>
        <v>754.68411025369562</v>
      </c>
      <c r="BI149" s="59">
        <f ca="1">AVERAGE(OFFSET($BH$3,0,0,'Données projet'!$E$11+1,1))-AVERAGE(OFFSET($H$3,0,0,'Données projet'!$E$11+1,1))</f>
        <v>225.2323446080772</v>
      </c>
      <c r="BJ149" s="59">
        <f t="shared" si="146"/>
        <v>222.29030402759292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11.740884761118862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11.740884761118862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258.24239999999986</v>
      </c>
      <c r="CA149" s="13">
        <f t="shared" si="147"/>
        <v>62.347580891234152</v>
      </c>
      <c r="CB149" s="20">
        <f t="shared" si="118"/>
        <v>558.3608833855659</v>
      </c>
      <c r="CC149" s="59">
        <f t="shared" si="119"/>
        <v>851.69421671889927</v>
      </c>
      <c r="CD149" s="59">
        <f ca="1">AVERAGE(OFFSET($CC$3,0,0,'Données projet'!$E$12+1,1))-AVERAGE(OFFSET($H$3,0,0,'Données projet'!$E$12+1,1))</f>
        <v>281.84871057356037</v>
      </c>
      <c r="CE149" s="59">
        <f t="shared" si="148"/>
        <v>276.02211904126887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11.58016972739286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11.58016972739286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853.00000000000011</v>
      </c>
      <c r="O150" s="13">
        <f>N150*VLOOKUP('Données projet'!$B$9,Paramètres!$A$1:$I$89,3,0)*VLOOKUP('Données projet'!$B$9,Paramètres!$A$1:$I$89,5,0)</f>
        <v>399.20400000000006</v>
      </c>
      <c r="P150" s="13">
        <f t="shared" si="141"/>
        <v>91.615269732888521</v>
      </c>
      <c r="Q150" s="20">
        <f t="shared" si="108"/>
        <v>854.8435614514475</v>
      </c>
      <c r="R150" s="59">
        <f t="shared" si="109"/>
        <v>1148.1768947847809</v>
      </c>
      <c r="S150" s="59">
        <f ca="1">AVERAGE(OFFSET($R$3,0,0,'Données projet'!$E$9+1,1))-AVERAGE(OFFSET($H$3,0,0,'Données projet'!$E$9+1,1))</f>
        <v>414.8063171894658</v>
      </c>
      <c r="T150" s="59">
        <f t="shared" si="142"/>
        <v>354.21555670988619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36.769049452214915</v>
      </c>
      <c r="AA150" s="21">
        <f>EXP(-LN(2)/25)*AA149+(1-EXP(-LN(2)/25))/(LN(2)/25)*Calculateur!V150*Calculateur!X150*VLOOKUP('Données projet'!$B$9,Paramètres!$A$1:$I$89,3,0)*0.475*44/12</f>
        <v>1.9110116671939905</v>
      </c>
      <c r="AB150" s="21">
        <f>EXP(-LN(2)/2)*AB149+(1-EXP(-LN(2)/2))/(LN(2)/2)*V150*Y150*VLOOKUP('Données projet'!$B$9,Paramètres!$A$1:$I$89,3,0)*0.475*44/12</f>
        <v>1.9905484264316221E-18</v>
      </c>
      <c r="AC150" s="22">
        <f t="shared" si="111"/>
        <v>38.680061119408904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963.59256833510426</v>
      </c>
      <c r="AN150" s="59">
        <f ca="1">AVERAGE(OFFSET($AM$3,0,0,'Données projet'!$E$10+1,1))-AVERAGE(OFFSET($H$3,0,0,'Données projet'!$E$10+1,1))</f>
        <v>392.48436003609055</v>
      </c>
      <c r="AO150" s="59">
        <f t="shared" si="144"/>
        <v>236.3312446580419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212.42519999999985</v>
      </c>
      <c r="BF150" s="13">
        <f t="shared" si="145"/>
        <v>52.465198231787184</v>
      </c>
      <c r="BG150" s="20">
        <f t="shared" si="115"/>
        <v>461.35077692036231</v>
      </c>
      <c r="BH150" s="59">
        <f t="shared" si="116"/>
        <v>754.68411025369562</v>
      </c>
      <c r="BI150" s="59">
        <f ca="1">AVERAGE(OFFSET($BH$3,0,0,'Données projet'!$E$11+1,1))-AVERAGE(OFFSET($H$3,0,0,'Données projet'!$E$11+1,1))</f>
        <v>225.2323446080772</v>
      </c>
      <c r="BJ150" s="59">
        <f t="shared" si="146"/>
        <v>222.29030402759292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11.510653172185911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11.510653172185911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258.24239999999986</v>
      </c>
      <c r="CA150" s="13">
        <f t="shared" si="147"/>
        <v>62.347580891234152</v>
      </c>
      <c r="CB150" s="20">
        <f t="shared" si="118"/>
        <v>558.3608833855659</v>
      </c>
      <c r="CC150" s="59">
        <f t="shared" si="119"/>
        <v>851.69421671889927</v>
      </c>
      <c r="CD150" s="59">
        <f ca="1">AVERAGE(OFFSET($CC$3,0,0,'Données projet'!$E$12+1,1))-AVERAGE(OFFSET($H$3,0,0,'Données projet'!$E$12+1,1))</f>
        <v>281.84871057356037</v>
      </c>
      <c r="CE150" s="59">
        <f t="shared" si="148"/>
        <v>276.02211904126887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11.353089662244786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11.353089662244786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853.00000000000011</v>
      </c>
      <c r="O151" s="13">
        <f>N151*VLOOKUP('Données projet'!$B$9,Paramètres!$A$1:$I$89,3,0)*VLOOKUP('Données projet'!$B$9,Paramètres!$A$1:$I$89,5,0)</f>
        <v>399.20400000000006</v>
      </c>
      <c r="P151" s="13">
        <f t="shared" si="141"/>
        <v>91.615269732888521</v>
      </c>
      <c r="Q151" s="20">
        <f t="shared" si="108"/>
        <v>854.8435614514475</v>
      </c>
      <c r="R151" s="59">
        <f t="shared" si="109"/>
        <v>1148.1768947847809</v>
      </c>
      <c r="S151" s="59">
        <f ca="1">AVERAGE(OFFSET($R$3,0,0,'Données projet'!$E$9+1,1))-AVERAGE(OFFSET($H$3,0,0,'Données projet'!$E$9+1,1))</f>
        <v>414.8063171894658</v>
      </c>
      <c r="T151" s="59">
        <f t="shared" si="142"/>
        <v>354.21555670988619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36.048030819362673</v>
      </c>
      <c r="AA151" s="21">
        <f>EXP(-LN(2)/25)*AA150+(1-EXP(-LN(2)/25))/(LN(2)/25)*Calculateur!V151*Calculateur!X151*VLOOKUP('Données projet'!$B$9,Paramètres!$A$1:$I$89,3,0)*0.475*44/12</f>
        <v>1.8587549526588349</v>
      </c>
      <c r="AB151" s="21">
        <f>EXP(-LN(2)/2)*AB150+(1-EXP(-LN(2)/2))/(LN(2)/2)*V151*Y151*VLOOKUP('Données projet'!$B$9,Paramètres!$A$1:$I$89,3,0)*0.475*44/12</f>
        <v>1.4075302906100116E-18</v>
      </c>
      <c r="AC151" s="22">
        <f t="shared" si="111"/>
        <v>37.906785772021507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963.59256833510426</v>
      </c>
      <c r="AN151" s="59">
        <f ca="1">AVERAGE(OFFSET($AM$3,0,0,'Données projet'!$E$10+1,1))-AVERAGE(OFFSET($H$3,0,0,'Données projet'!$E$10+1,1))</f>
        <v>392.48436003609055</v>
      </c>
      <c r="AO151" s="59">
        <f t="shared" si="144"/>
        <v>236.3312446580419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212.42519999999985</v>
      </c>
      <c r="BF151" s="13">
        <f t="shared" si="145"/>
        <v>52.465198231787184</v>
      </c>
      <c r="BG151" s="20">
        <f t="shared" si="115"/>
        <v>461.35077692036231</v>
      </c>
      <c r="BH151" s="59">
        <f t="shared" si="116"/>
        <v>754.68411025369562</v>
      </c>
      <c r="BI151" s="59">
        <f ca="1">AVERAGE(OFFSET($BH$3,0,0,'Données projet'!$E$11+1,1))-AVERAGE(OFFSET($H$3,0,0,'Données projet'!$E$11+1,1))</f>
        <v>225.2323446080772</v>
      </c>
      <c r="BJ151" s="59">
        <f t="shared" si="146"/>
        <v>222.29030402759292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11.284936284284534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11.284936284284534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258.24239999999986</v>
      </c>
      <c r="CA151" s="13">
        <f t="shared" si="147"/>
        <v>62.347580891234152</v>
      </c>
      <c r="CB151" s="20">
        <f t="shared" si="118"/>
        <v>558.3608833855659</v>
      </c>
      <c r="CC151" s="59">
        <f t="shared" si="119"/>
        <v>851.69421671889927</v>
      </c>
      <c r="CD151" s="59">
        <f ca="1">AVERAGE(OFFSET($CC$3,0,0,'Données projet'!$E$12+1,1))-AVERAGE(OFFSET($H$3,0,0,'Données projet'!$E$12+1,1))</f>
        <v>281.84871057356037</v>
      </c>
      <c r="CE151" s="59">
        <f t="shared" si="148"/>
        <v>276.02211904126887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11.130462498669102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11.130462498669102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853.00000000000011</v>
      </c>
      <c r="O152" s="13">
        <f>N152*VLOOKUP('Données projet'!$B$9,Paramètres!$A$1:$I$89,3,0)*VLOOKUP('Données projet'!$B$9,Paramètres!$A$1:$I$89,5,0)</f>
        <v>399.20400000000006</v>
      </c>
      <c r="P152" s="13">
        <f t="shared" si="141"/>
        <v>91.615269732888521</v>
      </c>
      <c r="Q152" s="20">
        <f t="shared" si="108"/>
        <v>854.8435614514475</v>
      </c>
      <c r="R152" s="59">
        <f t="shared" si="109"/>
        <v>1148.1768947847809</v>
      </c>
      <c r="S152" s="59">
        <f ca="1">AVERAGE(OFFSET($R$3,0,0,'Données projet'!$E$9+1,1))-AVERAGE(OFFSET($H$3,0,0,'Données projet'!$E$9+1,1))</f>
        <v>414.8063171894658</v>
      </c>
      <c r="T152" s="59">
        <f t="shared" si="142"/>
        <v>354.21555670988619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35.341150922122722</v>
      </c>
      <c r="AA152" s="21">
        <f>EXP(-LN(2)/25)*AA151+(1-EXP(-LN(2)/25))/(LN(2)/25)*Calculateur!V152*Calculateur!X152*VLOOKUP('Données projet'!$B$9,Paramètres!$A$1:$I$89,3,0)*0.475*44/12</f>
        <v>1.8079272007307043</v>
      </c>
      <c r="AB152" s="21">
        <f>EXP(-LN(2)/2)*AB151+(1-EXP(-LN(2)/2))/(LN(2)/2)*V152*Y152*VLOOKUP('Données projet'!$B$9,Paramètres!$A$1:$I$89,3,0)*0.475*44/12</f>
        <v>9.9527421321581106E-19</v>
      </c>
      <c r="AC152" s="22">
        <f t="shared" si="111"/>
        <v>37.149078122853425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963.59256833510426</v>
      </c>
      <c r="AN152" s="59">
        <f ca="1">AVERAGE(OFFSET($AM$3,0,0,'Données projet'!$E$10+1,1))-AVERAGE(OFFSET($H$3,0,0,'Données projet'!$E$10+1,1))</f>
        <v>392.48436003609055</v>
      </c>
      <c r="AO152" s="59">
        <f t="shared" si="144"/>
        <v>236.3312446580419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212.42519999999985</v>
      </c>
      <c r="BF152" s="13">
        <f t="shared" si="145"/>
        <v>52.465198231787184</v>
      </c>
      <c r="BG152" s="20">
        <f t="shared" si="115"/>
        <v>461.35077692036231</v>
      </c>
      <c r="BH152" s="59">
        <f t="shared" si="116"/>
        <v>754.68411025369562</v>
      </c>
      <c r="BI152" s="59">
        <f ca="1">AVERAGE(OFFSET($BH$3,0,0,'Données projet'!$E$11+1,1))-AVERAGE(OFFSET($H$3,0,0,'Données projet'!$E$11+1,1))</f>
        <v>225.2323446080772</v>
      </c>
      <c r="BJ152" s="59">
        <f t="shared" si="146"/>
        <v>222.29030402759292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11.063645566881195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11.063645566881195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258.24239999999986</v>
      </c>
      <c r="CA152" s="13">
        <f t="shared" si="147"/>
        <v>62.347580891234152</v>
      </c>
      <c r="CB152" s="20">
        <f t="shared" si="118"/>
        <v>558.3608833855659</v>
      </c>
      <c r="CC152" s="59">
        <f t="shared" si="119"/>
        <v>851.69421671889927</v>
      </c>
      <c r="CD152" s="59">
        <f ca="1">AVERAGE(OFFSET($CC$3,0,0,'Données projet'!$E$12+1,1))-AVERAGE(OFFSET($H$3,0,0,'Données projet'!$E$12+1,1))</f>
        <v>281.84871057356037</v>
      </c>
      <c r="CE152" s="59">
        <f t="shared" si="148"/>
        <v>276.02211904126887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10.912200917981975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10.912200917981975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853.00000000000011</v>
      </c>
      <c r="O153" s="13">
        <f>N153*VLOOKUP('Données projet'!$B$9,Paramètres!$A$1:$I$89,3,0)*VLOOKUP('Données projet'!$B$9,Paramètres!$A$1:$I$89,5,0)</f>
        <v>399.20400000000006</v>
      </c>
      <c r="P153" s="13">
        <f t="shared" si="141"/>
        <v>91.615269732888521</v>
      </c>
      <c r="Q153" s="20">
        <f t="shared" si="108"/>
        <v>854.8435614514475</v>
      </c>
      <c r="R153" s="59">
        <f t="shared" si="109"/>
        <v>1148.1768947847809</v>
      </c>
      <c r="S153" s="59">
        <f ca="1">AVERAGE(OFFSET($R$3,0,0,'Données projet'!$E$9+1,1))-AVERAGE(OFFSET($H$3,0,0,'Données projet'!$E$9+1,1))</f>
        <v>414.8063171894658</v>
      </c>
      <c r="T153" s="59">
        <f t="shared" si="142"/>
        <v>354.21555670988619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34.648132508513484</v>
      </c>
      <c r="AA153" s="21">
        <f>EXP(-LN(2)/25)*AA152+(1-EXP(-LN(2)/25))/(LN(2)/25)*Calculateur!V153*Calculateur!X153*VLOOKUP('Données projet'!$B$9,Paramètres!$A$1:$I$89,3,0)*0.475*44/12</f>
        <v>1.7584893363519638</v>
      </c>
      <c r="AB153" s="21">
        <f>EXP(-LN(2)/2)*AB152+(1-EXP(-LN(2)/2))/(LN(2)/2)*V153*Y153*VLOOKUP('Données projet'!$B$9,Paramètres!$A$1:$I$89,3,0)*0.475*44/12</f>
        <v>7.0376514530500578E-19</v>
      </c>
      <c r="AC153" s="22">
        <f t="shared" si="111"/>
        <v>36.406621844865448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963.59256833510426</v>
      </c>
      <c r="AN153" s="59">
        <f ca="1">AVERAGE(OFFSET($AM$3,0,0,'Données projet'!$E$10+1,1))-AVERAGE(OFFSET($H$3,0,0,'Données projet'!$E$10+1,1))</f>
        <v>392.48436003609055</v>
      </c>
      <c r="AO153" s="59">
        <f t="shared" si="144"/>
        <v>236.3312446580419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212.42519999999985</v>
      </c>
      <c r="BF153" s="13">
        <f t="shared" si="145"/>
        <v>52.465198231787184</v>
      </c>
      <c r="BG153" s="20">
        <f t="shared" si="115"/>
        <v>461.35077692036231</v>
      </c>
      <c r="BH153" s="59">
        <f t="shared" si="116"/>
        <v>754.68411025369562</v>
      </c>
      <c r="BI153" s="59">
        <f ca="1">AVERAGE(OFFSET($BH$3,0,0,'Données projet'!$E$11+1,1))-AVERAGE(OFFSET($H$3,0,0,'Données projet'!$E$11+1,1))</f>
        <v>225.2323446080772</v>
      </c>
      <c r="BJ153" s="59">
        <f t="shared" si="146"/>
        <v>222.29030402759292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10.846694225472126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10.846694225472126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258.24239999999986</v>
      </c>
      <c r="CA153" s="13">
        <f t="shared" si="147"/>
        <v>62.347580891234152</v>
      </c>
      <c r="CB153" s="20">
        <f t="shared" si="118"/>
        <v>558.3608833855659</v>
      </c>
      <c r="CC153" s="59">
        <f t="shared" si="119"/>
        <v>851.69421671889927</v>
      </c>
      <c r="CD153" s="59">
        <f ca="1">AVERAGE(OFFSET($CC$3,0,0,'Données projet'!$E$12+1,1))-AVERAGE(OFFSET($H$3,0,0,'Données projet'!$E$12+1,1))</f>
        <v>281.84871057356037</v>
      </c>
      <c r="CE153" s="59">
        <f t="shared" si="148"/>
        <v>276.02211904126887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10.698219313765705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10.698219313765705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853.00000000000011</v>
      </c>
      <c r="O154" s="13">
        <f>N154*VLOOKUP('Données projet'!$B$9,Paramètres!$A$1:$I$89,3,0)*VLOOKUP('Données projet'!$B$9,Paramètres!$A$1:$I$89,5,0)</f>
        <v>399.20400000000006</v>
      </c>
      <c r="P154" s="13">
        <f t="shared" si="141"/>
        <v>91.615269732888521</v>
      </c>
      <c r="Q154" s="20">
        <f t="shared" ref="Q154:Q203" si="162">(O154+P154)*0.475*44/12</f>
        <v>854.8435614514475</v>
      </c>
      <c r="R154" s="59">
        <f t="shared" si="109"/>
        <v>1148.1768947847809</v>
      </c>
      <c r="S154" s="59">
        <f ca="1">AVERAGE(OFFSET($R$3,0,0,'Données projet'!$E$9+1,1))-AVERAGE(OFFSET($H$3,0,0,'Données projet'!$E$9+1,1))</f>
        <v>414.8063171894658</v>
      </c>
      <c r="T154" s="59">
        <f t="shared" si="142"/>
        <v>354.21555670988619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33.968703763295629</v>
      </c>
      <c r="AA154" s="21">
        <f>EXP(-LN(2)/25)*AA153+(1-EXP(-LN(2)/25))/(LN(2)/25)*Calculateur!V154*Calculateur!X154*VLOOKUP('Données projet'!$B$9,Paramètres!$A$1:$I$89,3,0)*0.475*44/12</f>
        <v>1.7104033529744842</v>
      </c>
      <c r="AB154" s="21">
        <f>EXP(-LN(2)/2)*AB153+(1-EXP(-LN(2)/2))/(LN(2)/2)*V154*Y154*VLOOKUP('Données projet'!$B$9,Paramètres!$A$1:$I$89,3,0)*0.475*44/12</f>
        <v>4.9763710660790553E-19</v>
      </c>
      <c r="AC154" s="22">
        <f t="shared" ref="AC154:AC203" si="163">SUM(Z154:AB154)</f>
        <v>35.67910711627011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963.59256833510426</v>
      </c>
      <c r="AN154" s="59">
        <f ca="1">AVERAGE(OFFSET($AM$3,0,0,'Données projet'!$E$10+1,1))-AVERAGE(OFFSET($H$3,0,0,'Données projet'!$E$10+1,1))</f>
        <v>392.48436003609055</v>
      </c>
      <c r="AO154" s="59">
        <f t="shared" si="144"/>
        <v>236.3312446580419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212.42519999999985</v>
      </c>
      <c r="BF154" s="13">
        <f t="shared" ref="BF154:BF203" si="167">EXP(-1.0587+0.8836*LN(BE154)+0.284)</f>
        <v>52.465198231787184</v>
      </c>
      <c r="BG154" s="20">
        <f t="shared" ref="BG154:BG203" si="168">(BE154+BF154)*0.475*44/12</f>
        <v>461.35077692036231</v>
      </c>
      <c r="BH154" s="59">
        <f t="shared" si="116"/>
        <v>754.68411025369562</v>
      </c>
      <c r="BI154" s="59">
        <f ca="1">AVERAGE(OFFSET($BH$3,0,0,'Données projet'!$E$11+1,1))-AVERAGE(OFFSET($H$3,0,0,'Données projet'!$E$11+1,1))</f>
        <v>225.2323446080772</v>
      </c>
      <c r="BJ154" s="59">
        <f t="shared" si="146"/>
        <v>222.29030402759292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10.633997167540835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10.633997167540835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258.24239999999986</v>
      </c>
      <c r="CA154" s="13">
        <f t="shared" ref="CA154:CA203" si="170">EXP(-1.0587+0.8836*LN(BZ154)+0.284)</f>
        <v>62.347580891234152</v>
      </c>
      <c r="CB154" s="20">
        <f t="shared" ref="CB154:CB203" si="171">(BZ154+CA154)*0.475*44/12</f>
        <v>558.3608833855659</v>
      </c>
      <c r="CC154" s="59">
        <f t="shared" si="119"/>
        <v>851.69421671889927</v>
      </c>
      <c r="CD154" s="59">
        <f ca="1">AVERAGE(OFFSET($CC$3,0,0,'Données projet'!$E$12+1,1))-AVERAGE(OFFSET($H$3,0,0,'Données projet'!$E$12+1,1))</f>
        <v>281.84871057356037</v>
      </c>
      <c r="CE154" s="59">
        <f t="shared" si="148"/>
        <v>276.02211904126887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10.488433758292224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10.488433758292224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853.00000000000011</v>
      </c>
      <c r="O155" s="13">
        <f>N155*VLOOKUP('Données projet'!$B$9,Paramètres!$A$1:$I$89,3,0)*VLOOKUP('Données projet'!$B$9,Paramètres!$A$1:$I$89,5,0)</f>
        <v>399.20400000000006</v>
      </c>
      <c r="P155" s="13">
        <f t="shared" si="141"/>
        <v>91.615269732888521</v>
      </c>
      <c r="Q155" s="20">
        <f t="shared" si="162"/>
        <v>854.8435614514475</v>
      </c>
      <c r="R155" s="59">
        <f t="shared" si="109"/>
        <v>1148.1768947847809</v>
      </c>
      <c r="S155" s="59">
        <f ca="1">AVERAGE(OFFSET($R$3,0,0,'Données projet'!$E$9+1,1))-AVERAGE(OFFSET($H$3,0,0,'Données projet'!$E$9+1,1))</f>
        <v>414.8063171894658</v>
      </c>
      <c r="T155" s="59">
        <f t="shared" si="142"/>
        <v>354.21555670988619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33.30259820136088</v>
      </c>
      <c r="AA155" s="21">
        <f>EXP(-LN(2)/25)*AA154+(1-EXP(-LN(2)/25))/(LN(2)/25)*Calculateur!V155*Calculateur!X155*VLOOKUP('Données projet'!$B$9,Paramètres!$A$1:$I$89,3,0)*0.475*44/12</f>
        <v>1.6636322833411938</v>
      </c>
      <c r="AB155" s="21">
        <f>EXP(-LN(2)/2)*AB154+(1-EXP(-LN(2)/2))/(LN(2)/2)*V155*Y155*VLOOKUP('Données projet'!$B$9,Paramètres!$A$1:$I$89,3,0)*0.475*44/12</f>
        <v>3.5188257265250289E-19</v>
      </c>
      <c r="AC155" s="22">
        <f t="shared" si="163"/>
        <v>34.966230484702074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963.59256833510426</v>
      </c>
      <c r="AN155" s="59">
        <f ca="1">AVERAGE(OFFSET($AM$3,0,0,'Données projet'!$E$10+1,1))-AVERAGE(OFFSET($H$3,0,0,'Données projet'!$E$10+1,1))</f>
        <v>392.48436003609055</v>
      </c>
      <c r="AO155" s="59">
        <f t="shared" si="144"/>
        <v>236.3312446580419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212.42519999999985</v>
      </c>
      <c r="BF155" s="13">
        <f t="shared" si="167"/>
        <v>52.465198231787184</v>
      </c>
      <c r="BG155" s="20">
        <f t="shared" si="168"/>
        <v>461.35077692036231</v>
      </c>
      <c r="BH155" s="59">
        <f t="shared" si="116"/>
        <v>754.68411025369562</v>
      </c>
      <c r="BI155" s="59">
        <f ca="1">AVERAGE(OFFSET($BH$3,0,0,'Données projet'!$E$11+1,1))-AVERAGE(OFFSET($H$3,0,0,'Données projet'!$E$11+1,1))</f>
        <v>225.2323446080772</v>
      </c>
      <c r="BJ155" s="59">
        <f t="shared" si="146"/>
        <v>222.29030402759292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10.425470969183182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10.425470969183182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258.24239999999986</v>
      </c>
      <c r="CA155" s="13">
        <f t="shared" si="170"/>
        <v>62.347580891234152</v>
      </c>
      <c r="CB155" s="20">
        <f t="shared" si="171"/>
        <v>558.3608833855659</v>
      </c>
      <c r="CC155" s="59">
        <f t="shared" si="119"/>
        <v>851.69421671889927</v>
      </c>
      <c r="CD155" s="59">
        <f ca="1">AVERAGE(OFFSET($CC$3,0,0,'Données projet'!$E$12+1,1))-AVERAGE(OFFSET($H$3,0,0,'Données projet'!$E$12+1,1))</f>
        <v>281.84871057356037</v>
      </c>
      <c r="CE155" s="59">
        <f t="shared" si="148"/>
        <v>276.02211904126887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10.282761969605025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10.282761969605025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853.00000000000011</v>
      </c>
      <c r="O156" s="13">
        <f>N156*VLOOKUP('Données projet'!$B$9,Paramètres!$A$1:$I$89,3,0)*VLOOKUP('Données projet'!$B$9,Paramètres!$A$1:$I$89,5,0)</f>
        <v>399.20400000000006</v>
      </c>
      <c r="P156" s="13">
        <f t="shared" si="141"/>
        <v>91.615269732888521</v>
      </c>
      <c r="Q156" s="20">
        <f t="shared" si="162"/>
        <v>854.8435614514475</v>
      </c>
      <c r="R156" s="59">
        <f t="shared" si="109"/>
        <v>1148.1768947847809</v>
      </c>
      <c r="S156" s="59">
        <f ca="1">AVERAGE(OFFSET($R$3,0,0,'Données projet'!$E$9+1,1))-AVERAGE(OFFSET($H$3,0,0,'Données projet'!$E$9+1,1))</f>
        <v>414.8063171894658</v>
      </c>
      <c r="T156" s="59">
        <f t="shared" si="142"/>
        <v>354.21555670988619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32.649554563211396</v>
      </c>
      <c r="AA156" s="21">
        <f>EXP(-LN(2)/25)*AA155+(1-EXP(-LN(2)/25))/(LN(2)/25)*Calculateur!V156*Calculateur!X156*VLOOKUP('Données projet'!$B$9,Paramètres!$A$1:$I$89,3,0)*0.475*44/12</f>
        <v>1.6181401710666095</v>
      </c>
      <c r="AB156" s="21">
        <f>EXP(-LN(2)/2)*AB155+(1-EXP(-LN(2)/2))/(LN(2)/2)*V156*Y156*VLOOKUP('Données projet'!$B$9,Paramètres!$A$1:$I$89,3,0)*0.475*44/12</f>
        <v>2.4881855330395277E-19</v>
      </c>
      <c r="AC156" s="22">
        <f t="shared" si="163"/>
        <v>34.267694734278002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963.59256833510426</v>
      </c>
      <c r="AN156" s="59">
        <f ca="1">AVERAGE(OFFSET($AM$3,0,0,'Données projet'!$E$10+1,1))-AVERAGE(OFFSET($H$3,0,0,'Données projet'!$E$10+1,1))</f>
        <v>392.48436003609055</v>
      </c>
      <c r="AO156" s="59">
        <f t="shared" si="144"/>
        <v>236.3312446580419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212.42519999999985</v>
      </c>
      <c r="BF156" s="13">
        <f t="shared" si="167"/>
        <v>52.465198231787184</v>
      </c>
      <c r="BG156" s="20">
        <f t="shared" si="168"/>
        <v>461.35077692036231</v>
      </c>
      <c r="BH156" s="59">
        <f t="shared" si="116"/>
        <v>754.68411025369562</v>
      </c>
      <c r="BI156" s="59">
        <f ca="1">AVERAGE(OFFSET($BH$3,0,0,'Données projet'!$E$11+1,1))-AVERAGE(OFFSET($H$3,0,0,'Données projet'!$E$11+1,1))</f>
        <v>225.2323446080772</v>
      </c>
      <c r="BJ156" s="59">
        <f t="shared" si="146"/>
        <v>222.29030402759292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10.221033842386902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10.221033842386902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258.24239999999986</v>
      </c>
      <c r="CA156" s="13">
        <f t="shared" si="170"/>
        <v>62.347580891234152</v>
      </c>
      <c r="CB156" s="20">
        <f t="shared" si="171"/>
        <v>558.3608833855659</v>
      </c>
      <c r="CC156" s="59">
        <f t="shared" si="119"/>
        <v>851.69421671889927</v>
      </c>
      <c r="CD156" s="59">
        <f ca="1">AVERAGE(OFFSET($CC$3,0,0,'Données projet'!$E$12+1,1))-AVERAGE(OFFSET($H$3,0,0,'Données projet'!$E$12+1,1))</f>
        <v>281.84871057356037</v>
      </c>
      <c r="CE156" s="59">
        <f t="shared" si="148"/>
        <v>276.02211904126887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10.081123279246576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10.081123279246576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853.00000000000011</v>
      </c>
      <c r="O157" s="13">
        <f>N157*VLOOKUP('Données projet'!$B$9,Paramètres!$A$1:$I$89,3,0)*VLOOKUP('Données projet'!$B$9,Paramètres!$A$1:$I$89,5,0)</f>
        <v>399.20400000000006</v>
      </c>
      <c r="P157" s="13">
        <f t="shared" si="141"/>
        <v>91.615269732888521</v>
      </c>
      <c r="Q157" s="20">
        <f t="shared" si="162"/>
        <v>854.8435614514475</v>
      </c>
      <c r="R157" s="59">
        <f t="shared" si="109"/>
        <v>1148.1768947847809</v>
      </c>
      <c r="S157" s="59">
        <f ca="1">AVERAGE(OFFSET($R$3,0,0,'Données projet'!$E$9+1,1))-AVERAGE(OFFSET($H$3,0,0,'Données projet'!$E$9+1,1))</f>
        <v>414.8063171894658</v>
      </c>
      <c r="T157" s="59">
        <f t="shared" si="142"/>
        <v>354.21555670988619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32.009316712488733</v>
      </c>
      <c r="AA157" s="21">
        <f>EXP(-LN(2)/25)*AA156+(1-EXP(-LN(2)/25))/(LN(2)/25)*Calculateur!V157*Calculateur!X157*VLOOKUP('Données projet'!$B$9,Paramètres!$A$1:$I$89,3,0)*0.475*44/12</f>
        <v>1.5738920429944998</v>
      </c>
      <c r="AB157" s="21">
        <f>EXP(-LN(2)/2)*AB156+(1-EXP(-LN(2)/2))/(LN(2)/2)*V157*Y157*VLOOKUP('Données projet'!$B$9,Paramètres!$A$1:$I$89,3,0)*0.475*44/12</f>
        <v>1.7594128632625144E-19</v>
      </c>
      <c r="AC157" s="22">
        <f t="shared" si="163"/>
        <v>33.583208755483234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963.59256833510426</v>
      </c>
      <c r="AN157" s="59">
        <f ca="1">AVERAGE(OFFSET($AM$3,0,0,'Données projet'!$E$10+1,1))-AVERAGE(OFFSET($H$3,0,0,'Données projet'!$E$10+1,1))</f>
        <v>392.48436003609055</v>
      </c>
      <c r="AO157" s="59">
        <f t="shared" si="144"/>
        <v>236.3312446580419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212.42519999999985</v>
      </c>
      <c r="BF157" s="13">
        <f t="shared" si="167"/>
        <v>52.465198231787184</v>
      </c>
      <c r="BG157" s="20">
        <f t="shared" si="168"/>
        <v>461.35077692036231</v>
      </c>
      <c r="BH157" s="59">
        <f t="shared" si="116"/>
        <v>754.68411025369562</v>
      </c>
      <c r="BI157" s="59">
        <f ca="1">AVERAGE(OFFSET($BH$3,0,0,'Données projet'!$E$11+1,1))-AVERAGE(OFFSET($H$3,0,0,'Données projet'!$E$11+1,1))</f>
        <v>225.2323446080772</v>
      </c>
      <c r="BJ157" s="59">
        <f t="shared" si="146"/>
        <v>222.29030402759292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10.020605602952761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10.020605602952761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258.24239999999986</v>
      </c>
      <c r="CA157" s="13">
        <f t="shared" si="170"/>
        <v>62.347580891234152</v>
      </c>
      <c r="CB157" s="20">
        <f t="shared" si="171"/>
        <v>558.3608833855659</v>
      </c>
      <c r="CC157" s="59">
        <f t="shared" si="119"/>
        <v>851.69421671889927</v>
      </c>
      <c r="CD157" s="59">
        <f ca="1">AVERAGE(OFFSET($CC$3,0,0,'Données projet'!$E$12+1,1))-AVERAGE(OFFSET($H$3,0,0,'Données projet'!$E$12+1,1))</f>
        <v>281.84871057356037</v>
      </c>
      <c r="CE157" s="59">
        <f t="shared" si="148"/>
        <v>276.02211904126887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9.8834386006186001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9.8834386006186001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853.00000000000011</v>
      </c>
      <c r="O158" s="13">
        <f>N158*VLOOKUP('Données projet'!$B$9,Paramètres!$A$1:$I$89,3,0)*VLOOKUP('Données projet'!$B$9,Paramètres!$A$1:$I$89,5,0)</f>
        <v>399.20400000000006</v>
      </c>
      <c r="P158" s="13">
        <f t="shared" si="141"/>
        <v>91.615269732888521</v>
      </c>
      <c r="Q158" s="20">
        <f t="shared" si="162"/>
        <v>854.8435614514475</v>
      </c>
      <c r="R158" s="59">
        <f t="shared" si="109"/>
        <v>1148.1768947847809</v>
      </c>
      <c r="S158" s="59">
        <f ca="1">AVERAGE(OFFSET($R$3,0,0,'Données projet'!$E$9+1,1))-AVERAGE(OFFSET($H$3,0,0,'Données projet'!$E$9+1,1))</f>
        <v>414.8063171894658</v>
      </c>
      <c r="T158" s="59">
        <f t="shared" si="142"/>
        <v>354.21555670988619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31.381633535512211</v>
      </c>
      <c r="AA158" s="21">
        <f>EXP(-LN(2)/25)*AA157+(1-EXP(-LN(2)/25))/(LN(2)/25)*Calculateur!V158*Calculateur!X158*VLOOKUP('Données projet'!$B$9,Paramètres!$A$1:$I$89,3,0)*0.475*44/12</f>
        <v>1.5308538823114299</v>
      </c>
      <c r="AB158" s="21">
        <f>EXP(-LN(2)/2)*AB157+(1-EXP(-LN(2)/2))/(LN(2)/2)*V158*Y158*VLOOKUP('Données projet'!$B$9,Paramètres!$A$1:$I$89,3,0)*0.475*44/12</f>
        <v>1.2440927665197638E-19</v>
      </c>
      <c r="AC158" s="22">
        <f t="shared" si="163"/>
        <v>32.912487417823641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963.59256833510426</v>
      </c>
      <c r="AN158" s="59">
        <f ca="1">AVERAGE(OFFSET($AM$3,0,0,'Données projet'!$E$10+1,1))-AVERAGE(OFFSET($H$3,0,0,'Données projet'!$E$10+1,1))</f>
        <v>392.48436003609055</v>
      </c>
      <c r="AO158" s="59">
        <f t="shared" si="144"/>
        <v>236.3312446580419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212.42519999999985</v>
      </c>
      <c r="BF158" s="13">
        <f t="shared" si="167"/>
        <v>52.465198231787184</v>
      </c>
      <c r="BG158" s="20">
        <f t="shared" si="168"/>
        <v>461.35077692036231</v>
      </c>
      <c r="BH158" s="59">
        <f t="shared" si="116"/>
        <v>754.68411025369562</v>
      </c>
      <c r="BI158" s="59">
        <f ca="1">AVERAGE(OFFSET($BH$3,0,0,'Données projet'!$E$11+1,1))-AVERAGE(OFFSET($H$3,0,0,'Données projet'!$E$11+1,1))</f>
        <v>225.2323446080772</v>
      </c>
      <c r="BJ158" s="59">
        <f t="shared" si="146"/>
        <v>222.29030402759292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9.8241076390447688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9.8241076390447688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258.24239999999986</v>
      </c>
      <c r="CA158" s="13">
        <f t="shared" si="170"/>
        <v>62.347580891234152</v>
      </c>
      <c r="CB158" s="20">
        <f t="shared" si="171"/>
        <v>558.3608833855659</v>
      </c>
      <c r="CC158" s="59">
        <f t="shared" si="119"/>
        <v>851.69421671889927</v>
      </c>
      <c r="CD158" s="59">
        <f ca="1">AVERAGE(OFFSET($CC$3,0,0,'Données projet'!$E$12+1,1))-AVERAGE(OFFSET($H$3,0,0,'Données projet'!$E$12+1,1))</f>
        <v>281.84871057356037</v>
      </c>
      <c r="CE158" s="59">
        <f t="shared" si="148"/>
        <v>276.02211904126887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9.6896303979627696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9.6896303979627696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853.00000000000011</v>
      </c>
      <c r="O159" s="13">
        <f>N159*VLOOKUP('Données projet'!$B$9,Paramètres!$A$1:$I$89,3,0)*VLOOKUP('Données projet'!$B$9,Paramètres!$A$1:$I$89,5,0)</f>
        <v>399.20400000000006</v>
      </c>
      <c r="P159" s="13">
        <f t="shared" si="141"/>
        <v>91.615269732888521</v>
      </c>
      <c r="Q159" s="20">
        <f t="shared" si="162"/>
        <v>854.8435614514475</v>
      </c>
      <c r="R159" s="59">
        <f t="shared" si="109"/>
        <v>1148.1768947847809</v>
      </c>
      <c r="S159" s="59">
        <f ca="1">AVERAGE(OFFSET($R$3,0,0,'Données projet'!$E$9+1,1))-AVERAGE(OFFSET($H$3,0,0,'Données projet'!$E$9+1,1))</f>
        <v>414.8063171894658</v>
      </c>
      <c r="T159" s="59">
        <f t="shared" si="142"/>
        <v>354.21555670988619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30.766258842787266</v>
      </c>
      <c r="AA159" s="21">
        <f>EXP(-LN(2)/25)*AA158+(1-EXP(-LN(2)/25))/(LN(2)/25)*Calculateur!V159*Calculateur!X159*VLOOKUP('Données projet'!$B$9,Paramètres!$A$1:$I$89,3,0)*0.475*44/12</f>
        <v>1.4889926023955171</v>
      </c>
      <c r="AB159" s="21">
        <f>EXP(-LN(2)/2)*AB158+(1-EXP(-LN(2)/2))/(LN(2)/2)*V159*Y159*VLOOKUP('Données projet'!$B$9,Paramètres!$A$1:$I$89,3,0)*0.475*44/12</f>
        <v>8.7970643163125722E-20</v>
      </c>
      <c r="AC159" s="22">
        <f t="shared" si="163"/>
        <v>32.255251445182786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963.59256833510426</v>
      </c>
      <c r="AN159" s="59">
        <f ca="1">AVERAGE(OFFSET($AM$3,0,0,'Données projet'!$E$10+1,1))-AVERAGE(OFFSET($H$3,0,0,'Données projet'!$E$10+1,1))</f>
        <v>392.48436003609055</v>
      </c>
      <c r="AO159" s="59">
        <f t="shared" si="144"/>
        <v>236.3312446580419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212.42519999999985</v>
      </c>
      <c r="BF159" s="13">
        <f t="shared" si="167"/>
        <v>52.465198231787184</v>
      </c>
      <c r="BG159" s="20">
        <f t="shared" si="168"/>
        <v>461.35077692036231</v>
      </c>
      <c r="BH159" s="59">
        <f t="shared" si="116"/>
        <v>754.68411025369562</v>
      </c>
      <c r="BI159" s="59">
        <f ca="1">AVERAGE(OFFSET($BH$3,0,0,'Données projet'!$E$11+1,1))-AVERAGE(OFFSET($H$3,0,0,'Données projet'!$E$11+1,1))</f>
        <v>225.2323446080772</v>
      </c>
      <c r="BJ159" s="59">
        <f t="shared" si="146"/>
        <v>222.29030402759292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9.6314628803570894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9.6314628803570894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258.24239999999986</v>
      </c>
      <c r="CA159" s="13">
        <f t="shared" si="170"/>
        <v>62.347580891234152</v>
      </c>
      <c r="CB159" s="20">
        <f t="shared" si="171"/>
        <v>558.3608833855659</v>
      </c>
      <c r="CC159" s="59">
        <f t="shared" si="119"/>
        <v>851.69421671889927</v>
      </c>
      <c r="CD159" s="59">
        <f ca="1">AVERAGE(OFFSET($CC$3,0,0,'Données projet'!$E$12+1,1))-AVERAGE(OFFSET($H$3,0,0,'Données projet'!$E$12+1,1))</f>
        <v>281.84871057356037</v>
      </c>
      <c r="CE159" s="59">
        <f t="shared" si="148"/>
        <v>276.02211904126887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9.4996226559496897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9.4996226559496897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853.00000000000011</v>
      </c>
      <c r="O160" s="13">
        <f>N160*VLOOKUP('Données projet'!$B$9,Paramètres!$A$1:$I$89,3,0)*VLOOKUP('Données projet'!$B$9,Paramètres!$A$1:$I$89,5,0)</f>
        <v>399.20400000000006</v>
      </c>
      <c r="P160" s="13">
        <f t="shared" si="141"/>
        <v>91.615269732888521</v>
      </c>
      <c r="Q160" s="20">
        <f t="shared" si="162"/>
        <v>854.8435614514475</v>
      </c>
      <c r="R160" s="59">
        <f t="shared" si="109"/>
        <v>1148.1768947847809</v>
      </c>
      <c r="S160" s="59">
        <f ca="1">AVERAGE(OFFSET($R$3,0,0,'Données projet'!$E$9+1,1))-AVERAGE(OFFSET($H$3,0,0,'Données projet'!$E$9+1,1))</f>
        <v>414.8063171894658</v>
      </c>
      <c r="T160" s="59">
        <f t="shared" si="142"/>
        <v>354.21555670988619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30.162951272445156</v>
      </c>
      <c r="AA160" s="21">
        <f>EXP(-LN(2)/25)*AA159+(1-EXP(-LN(2)/25))/(LN(2)/25)*Calculateur!V160*Calculateur!X160*VLOOKUP('Données projet'!$B$9,Paramètres!$A$1:$I$89,3,0)*0.475*44/12</f>
        <v>1.4482760213802939</v>
      </c>
      <c r="AB160" s="21">
        <f>EXP(-LN(2)/2)*AB159+(1-EXP(-LN(2)/2))/(LN(2)/2)*V160*Y160*VLOOKUP('Données projet'!$B$9,Paramètres!$A$1:$I$89,3,0)*0.475*44/12</f>
        <v>6.2204638325988191E-20</v>
      </c>
      <c r="AC160" s="22">
        <f t="shared" si="163"/>
        <v>31.611227293825451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963.59256833510426</v>
      </c>
      <c r="AN160" s="59">
        <f ca="1">AVERAGE(OFFSET($AM$3,0,0,'Données projet'!$E$10+1,1))-AVERAGE(OFFSET($H$3,0,0,'Données projet'!$E$10+1,1))</f>
        <v>392.48436003609055</v>
      </c>
      <c r="AO160" s="59">
        <f t="shared" si="144"/>
        <v>236.3312446580419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212.42519999999985</v>
      </c>
      <c r="BF160" s="13">
        <f t="shared" si="167"/>
        <v>52.465198231787184</v>
      </c>
      <c r="BG160" s="20">
        <f t="shared" si="168"/>
        <v>461.35077692036231</v>
      </c>
      <c r="BH160" s="59">
        <f t="shared" si="116"/>
        <v>754.68411025369562</v>
      </c>
      <c r="BI160" s="59">
        <f ca="1">AVERAGE(OFFSET($BH$3,0,0,'Données projet'!$E$11+1,1))-AVERAGE(OFFSET($H$3,0,0,'Données projet'!$E$11+1,1))</f>
        <v>225.2323446080772</v>
      </c>
      <c r="BJ160" s="59">
        <f t="shared" si="146"/>
        <v>222.29030402759292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9.4425957678855745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9.4425957678855745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258.24239999999986</v>
      </c>
      <c r="CA160" s="13">
        <f t="shared" si="170"/>
        <v>62.347580891234152</v>
      </c>
      <c r="CB160" s="20">
        <f t="shared" si="171"/>
        <v>558.3608833855659</v>
      </c>
      <c r="CC160" s="59">
        <f t="shared" si="119"/>
        <v>851.69421671889927</v>
      </c>
      <c r="CD160" s="59">
        <f ca="1">AVERAGE(OFFSET($CC$3,0,0,'Données projet'!$E$12+1,1))-AVERAGE(OFFSET($H$3,0,0,'Données projet'!$E$12+1,1))</f>
        <v>281.84871057356037</v>
      </c>
      <c r="CE160" s="59">
        <f t="shared" si="148"/>
        <v>276.02211904126887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9.3133408498642076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9.3133408498642076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853.00000000000011</v>
      </c>
      <c r="O161" s="13">
        <f>N161*VLOOKUP('Données projet'!$B$9,Paramètres!$A$1:$I$89,3,0)*VLOOKUP('Données projet'!$B$9,Paramètres!$A$1:$I$89,5,0)</f>
        <v>399.20400000000006</v>
      </c>
      <c r="P161" s="13">
        <f t="shared" si="141"/>
        <v>91.615269732888521</v>
      </c>
      <c r="Q161" s="20">
        <f t="shared" si="162"/>
        <v>854.8435614514475</v>
      </c>
      <c r="R161" s="59">
        <f t="shared" si="109"/>
        <v>1148.1768947847809</v>
      </c>
      <c r="S161" s="59">
        <f ca="1">AVERAGE(OFFSET($R$3,0,0,'Données projet'!$E$9+1,1))-AVERAGE(OFFSET($H$3,0,0,'Données projet'!$E$9+1,1))</f>
        <v>414.8063171894658</v>
      </c>
      <c r="T161" s="59">
        <f t="shared" si="142"/>
        <v>354.21555670988619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29.571474195576172</v>
      </c>
      <c r="AA161" s="21">
        <f>EXP(-LN(2)/25)*AA160+(1-EXP(-LN(2)/25))/(LN(2)/25)*Calculateur!V161*Calculateur!X161*VLOOKUP('Données projet'!$B$9,Paramètres!$A$1:$I$89,3,0)*0.475*44/12</f>
        <v>1.4086728374141237</v>
      </c>
      <c r="AB161" s="21">
        <f>EXP(-LN(2)/2)*AB160+(1-EXP(-LN(2)/2))/(LN(2)/2)*V161*Y161*VLOOKUP('Données projet'!$B$9,Paramètres!$A$1:$I$89,3,0)*0.475*44/12</f>
        <v>4.3985321581562861E-20</v>
      </c>
      <c r="AC161" s="22">
        <f t="shared" si="163"/>
        <v>30.980147032990295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963.59256833510426</v>
      </c>
      <c r="AN161" s="59">
        <f ca="1">AVERAGE(OFFSET($AM$3,0,0,'Données projet'!$E$10+1,1))-AVERAGE(OFFSET($H$3,0,0,'Données projet'!$E$10+1,1))</f>
        <v>392.48436003609055</v>
      </c>
      <c r="AO161" s="59">
        <f t="shared" si="144"/>
        <v>236.3312446580419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212.42519999999985</v>
      </c>
      <c r="BF161" s="13">
        <f t="shared" si="167"/>
        <v>52.465198231787184</v>
      </c>
      <c r="BG161" s="20">
        <f t="shared" si="168"/>
        <v>461.35077692036231</v>
      </c>
      <c r="BH161" s="59">
        <f t="shared" si="116"/>
        <v>754.68411025369562</v>
      </c>
      <c r="BI161" s="59">
        <f ca="1">AVERAGE(OFFSET($BH$3,0,0,'Données projet'!$E$11+1,1))-AVERAGE(OFFSET($H$3,0,0,'Données projet'!$E$11+1,1))</f>
        <v>225.2323446080772</v>
      </c>
      <c r="BJ161" s="59">
        <f t="shared" si="146"/>
        <v>222.29030402759292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9.2574322242920619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9.2574322242920619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258.24239999999986</v>
      </c>
      <c r="CA161" s="13">
        <f t="shared" si="170"/>
        <v>62.347580891234152</v>
      </c>
      <c r="CB161" s="20">
        <f t="shared" si="171"/>
        <v>558.3608833855659</v>
      </c>
      <c r="CC161" s="59">
        <f t="shared" si="119"/>
        <v>851.69421671889927</v>
      </c>
      <c r="CD161" s="59">
        <f ca="1">AVERAGE(OFFSET($CC$3,0,0,'Données projet'!$E$12+1,1))-AVERAGE(OFFSET($H$3,0,0,'Données projet'!$E$12+1,1))</f>
        <v>281.84871057356037</v>
      </c>
      <c r="CE161" s="59">
        <f t="shared" si="148"/>
        <v>276.02211904126887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9.1307119163753789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9.1307119163753789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853.00000000000011</v>
      </c>
      <c r="O162" s="13">
        <f>N162*VLOOKUP('Données projet'!$B$9,Paramètres!$A$1:$I$89,3,0)*VLOOKUP('Données projet'!$B$9,Paramètres!$A$1:$I$89,5,0)</f>
        <v>399.20400000000006</v>
      </c>
      <c r="P162" s="13">
        <f t="shared" si="141"/>
        <v>91.615269732888521</v>
      </c>
      <c r="Q162" s="20">
        <f t="shared" si="162"/>
        <v>854.8435614514475</v>
      </c>
      <c r="R162" s="59">
        <f t="shared" si="109"/>
        <v>1148.1768947847809</v>
      </c>
      <c r="S162" s="59">
        <f ca="1">AVERAGE(OFFSET($R$3,0,0,'Données projet'!$E$9+1,1))-AVERAGE(OFFSET($H$3,0,0,'Données projet'!$E$9+1,1))</f>
        <v>414.8063171894658</v>
      </c>
      <c r="T162" s="59">
        <f t="shared" si="142"/>
        <v>354.21555670988619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28.991595623419194</v>
      </c>
      <c r="AA162" s="21">
        <f>EXP(-LN(2)/25)*AA161+(1-EXP(-LN(2)/25))/(LN(2)/25)*Calculateur!V162*Calculateur!X162*VLOOKUP('Données projet'!$B$9,Paramètres!$A$1:$I$89,3,0)*0.475*44/12</f>
        <v>1.3701526045961496</v>
      </c>
      <c r="AB162" s="21">
        <f>EXP(-LN(2)/2)*AB161+(1-EXP(-LN(2)/2))/(LN(2)/2)*V162*Y162*VLOOKUP('Données projet'!$B$9,Paramètres!$A$1:$I$89,3,0)*0.475*44/12</f>
        <v>3.1102319162994096E-20</v>
      </c>
      <c r="AC162" s="22">
        <f t="shared" si="163"/>
        <v>30.361748228015344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963.59256833510426</v>
      </c>
      <c r="AN162" s="59">
        <f ca="1">AVERAGE(OFFSET($AM$3,0,0,'Données projet'!$E$10+1,1))-AVERAGE(OFFSET($H$3,0,0,'Données projet'!$E$10+1,1))</f>
        <v>392.48436003609055</v>
      </c>
      <c r="AO162" s="59">
        <f t="shared" si="144"/>
        <v>236.3312446580419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212.42519999999985</v>
      </c>
      <c r="BF162" s="13">
        <f t="shared" si="167"/>
        <v>52.465198231787184</v>
      </c>
      <c r="BG162" s="20">
        <f t="shared" si="168"/>
        <v>461.35077692036231</v>
      </c>
      <c r="BH162" s="59">
        <f t="shared" si="116"/>
        <v>754.68411025369562</v>
      </c>
      <c r="BI162" s="59">
        <f ca="1">AVERAGE(OFFSET($BH$3,0,0,'Données projet'!$E$11+1,1))-AVERAGE(OFFSET($H$3,0,0,'Données projet'!$E$11+1,1))</f>
        <v>225.2323446080772</v>
      </c>
      <c r="BJ162" s="59">
        <f t="shared" si="146"/>
        <v>222.29030402759292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9.0758996248498089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9.0758996248498089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258.24239999999986</v>
      </c>
      <c r="CA162" s="13">
        <f t="shared" si="170"/>
        <v>62.347580891234152</v>
      </c>
      <c r="CB162" s="20">
        <f t="shared" si="171"/>
        <v>558.3608833855659</v>
      </c>
      <c r="CC162" s="59">
        <f t="shared" si="119"/>
        <v>851.69421671889927</v>
      </c>
      <c r="CD162" s="59">
        <f ca="1">AVERAGE(OFFSET($CC$3,0,0,'Données projet'!$E$12+1,1))-AVERAGE(OFFSET($H$3,0,0,'Données projet'!$E$12+1,1))</f>
        <v>281.84871057356037</v>
      </c>
      <c r="CE162" s="59">
        <f t="shared" si="148"/>
        <v>276.02211904126887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8.9516642248796163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8.9516642248796163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853.00000000000011</v>
      </c>
      <c r="O163" s="13">
        <f>N163*VLOOKUP('Données projet'!$B$9,Paramètres!$A$1:$I$89,3,0)*VLOOKUP('Données projet'!$B$9,Paramètres!$A$1:$I$89,5,0)</f>
        <v>399.20400000000006</v>
      </c>
      <c r="P163" s="13">
        <f t="shared" si="141"/>
        <v>91.615269732888521</v>
      </c>
      <c r="Q163" s="20">
        <f t="shared" si="162"/>
        <v>854.8435614514475</v>
      </c>
      <c r="R163" s="59">
        <f t="shared" si="109"/>
        <v>1148.1768947847809</v>
      </c>
      <c r="S163" s="59">
        <f ca="1">AVERAGE(OFFSET($R$3,0,0,'Données projet'!$E$9+1,1))-AVERAGE(OFFSET($H$3,0,0,'Données projet'!$E$9+1,1))</f>
        <v>414.8063171894658</v>
      </c>
      <c r="T163" s="59">
        <f t="shared" si="142"/>
        <v>354.21555670988619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28.423088116371211</v>
      </c>
      <c r="AA163" s="21">
        <f>EXP(-LN(2)/25)*AA162+(1-EXP(-LN(2)/25))/(LN(2)/25)*Calculateur!V163*Calculateur!X163*VLOOKUP('Données projet'!$B$9,Paramètres!$A$1:$I$89,3,0)*0.475*44/12</f>
        <v>1.332685709570274</v>
      </c>
      <c r="AB163" s="21">
        <f>EXP(-LN(2)/2)*AB162+(1-EXP(-LN(2)/2))/(LN(2)/2)*V163*Y163*VLOOKUP('Données projet'!$B$9,Paramètres!$A$1:$I$89,3,0)*0.475*44/12</f>
        <v>2.1992660790781431E-20</v>
      </c>
      <c r="AC163" s="22">
        <f t="shared" si="163"/>
        <v>29.755773825941485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963.59256833510426</v>
      </c>
      <c r="AN163" s="59">
        <f ca="1">AVERAGE(OFFSET($AM$3,0,0,'Données projet'!$E$10+1,1))-AVERAGE(OFFSET($H$3,0,0,'Données projet'!$E$10+1,1))</f>
        <v>392.48436003609055</v>
      </c>
      <c r="AO163" s="59">
        <f t="shared" si="144"/>
        <v>236.3312446580419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212.42519999999985</v>
      </c>
      <c r="BF163" s="13">
        <f t="shared" si="167"/>
        <v>52.465198231787184</v>
      </c>
      <c r="BG163" s="20">
        <f t="shared" si="168"/>
        <v>461.35077692036231</v>
      </c>
      <c r="BH163" s="59">
        <f t="shared" si="116"/>
        <v>754.68411025369562</v>
      </c>
      <c r="BI163" s="59">
        <f ca="1">AVERAGE(OFFSET($BH$3,0,0,'Données projet'!$E$11+1,1))-AVERAGE(OFFSET($H$3,0,0,'Données projet'!$E$11+1,1))</f>
        <v>225.2323446080772</v>
      </c>
      <c r="BJ163" s="59">
        <f t="shared" si="146"/>
        <v>222.29030402759292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8.8979267689586656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8.8979267689586656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258.24239999999986</v>
      </c>
      <c r="CA163" s="13">
        <f t="shared" si="170"/>
        <v>62.347580891234152</v>
      </c>
      <c r="CB163" s="20">
        <f t="shared" si="171"/>
        <v>558.3608833855659</v>
      </c>
      <c r="CC163" s="59">
        <f t="shared" si="119"/>
        <v>851.69421671889927</v>
      </c>
      <c r="CD163" s="59">
        <f ca="1">AVERAGE(OFFSET($CC$3,0,0,'Données projet'!$E$12+1,1))-AVERAGE(OFFSET($H$3,0,0,'Données projet'!$E$12+1,1))</f>
        <v>281.84871057356037</v>
      </c>
      <c r="CE163" s="59">
        <f t="shared" si="148"/>
        <v>276.02211904126887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8.7761275494057767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8.7761275494057767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853.00000000000011</v>
      </c>
      <c r="O164" s="13">
        <f>N164*VLOOKUP('Données projet'!$B$9,Paramètres!$A$1:$I$89,3,0)*VLOOKUP('Données projet'!$B$9,Paramètres!$A$1:$I$89,5,0)</f>
        <v>399.20400000000006</v>
      </c>
      <c r="P164" s="13">
        <f t="shared" si="141"/>
        <v>91.615269732888521</v>
      </c>
      <c r="Q164" s="20">
        <f t="shared" si="162"/>
        <v>854.8435614514475</v>
      </c>
      <c r="R164" s="59">
        <f t="shared" si="109"/>
        <v>1148.1768947847809</v>
      </c>
      <c r="S164" s="59">
        <f ca="1">AVERAGE(OFFSET($R$3,0,0,'Données projet'!$E$9+1,1))-AVERAGE(OFFSET($H$3,0,0,'Données projet'!$E$9+1,1))</f>
        <v>414.8063171894658</v>
      </c>
      <c r="T164" s="59">
        <f t="shared" si="142"/>
        <v>354.21555670988619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27.865728694781097</v>
      </c>
      <c r="AA164" s="21">
        <f>EXP(-LN(2)/25)*AA163+(1-EXP(-LN(2)/25))/(LN(2)/25)*Calculateur!V164*Calculateur!X164*VLOOKUP('Données projet'!$B$9,Paramètres!$A$1:$I$89,3,0)*0.475*44/12</f>
        <v>1.2962433487591793</v>
      </c>
      <c r="AB164" s="21">
        <f>EXP(-LN(2)/2)*AB163+(1-EXP(-LN(2)/2))/(LN(2)/2)*V164*Y164*VLOOKUP('Données projet'!$B$9,Paramètres!$A$1:$I$89,3,0)*0.475*44/12</f>
        <v>1.5551159581497048E-20</v>
      </c>
      <c r="AC164" s="22">
        <f t="shared" si="163"/>
        <v>29.161972043540278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963.59256833510426</v>
      </c>
      <c r="AN164" s="59">
        <f ca="1">AVERAGE(OFFSET($AM$3,0,0,'Données projet'!$E$10+1,1))-AVERAGE(OFFSET($H$3,0,0,'Données projet'!$E$10+1,1))</f>
        <v>392.48436003609055</v>
      </c>
      <c r="AO164" s="59">
        <f t="shared" si="144"/>
        <v>236.3312446580419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212.42519999999985</v>
      </c>
      <c r="BF164" s="13">
        <f t="shared" si="167"/>
        <v>52.465198231787184</v>
      </c>
      <c r="BG164" s="20">
        <f t="shared" si="168"/>
        <v>461.35077692036231</v>
      </c>
      <c r="BH164" s="59">
        <f t="shared" si="116"/>
        <v>754.68411025369562</v>
      </c>
      <c r="BI164" s="59">
        <f ca="1">AVERAGE(OFFSET($BH$3,0,0,'Données projet'!$E$11+1,1))-AVERAGE(OFFSET($H$3,0,0,'Données projet'!$E$11+1,1))</f>
        <v>225.2323446080772</v>
      </c>
      <c r="BJ164" s="59">
        <f t="shared" si="146"/>
        <v>222.29030402759292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8.7234438522188231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8.7234438522188231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258.24239999999986</v>
      </c>
      <c r="CA164" s="13">
        <f t="shared" si="170"/>
        <v>62.347580891234152</v>
      </c>
      <c r="CB164" s="20">
        <f t="shared" si="171"/>
        <v>558.3608833855659</v>
      </c>
      <c r="CC164" s="59">
        <f t="shared" si="119"/>
        <v>851.69421671889927</v>
      </c>
      <c r="CD164" s="59">
        <f ca="1">AVERAGE(OFFSET($CC$3,0,0,'Données projet'!$E$12+1,1))-AVERAGE(OFFSET($H$3,0,0,'Données projet'!$E$12+1,1))</f>
        <v>281.84871057356037</v>
      </c>
      <c r="CE164" s="59">
        <f t="shared" si="148"/>
        <v>276.02211904126887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8.6040330410711778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8.6040330410711778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853.00000000000011</v>
      </c>
      <c r="O165" s="13">
        <f>N165*VLOOKUP('Données projet'!$B$9,Paramètres!$A$1:$I$89,3,0)*VLOOKUP('Données projet'!$B$9,Paramètres!$A$1:$I$89,5,0)</f>
        <v>399.20400000000006</v>
      </c>
      <c r="P165" s="13">
        <f t="shared" si="141"/>
        <v>91.615269732888521</v>
      </c>
      <c r="Q165" s="20">
        <f t="shared" si="162"/>
        <v>854.8435614514475</v>
      </c>
      <c r="R165" s="59">
        <f t="shared" si="109"/>
        <v>1148.1768947847809</v>
      </c>
      <c r="S165" s="59">
        <f ca="1">AVERAGE(OFFSET($R$3,0,0,'Données projet'!$E$9+1,1))-AVERAGE(OFFSET($H$3,0,0,'Données projet'!$E$9+1,1))</f>
        <v>414.8063171894658</v>
      </c>
      <c r="T165" s="59">
        <f t="shared" si="142"/>
        <v>354.21555670988619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27.319298751492688</v>
      </c>
      <c r="AA165" s="21">
        <f>EXP(-LN(2)/25)*AA164+(1-EXP(-LN(2)/25))/(LN(2)/25)*Calculateur!V165*Calculateur!X165*VLOOKUP('Données projet'!$B$9,Paramètres!$A$1:$I$89,3,0)*0.475*44/12</f>
        <v>1.2607975062208845</v>
      </c>
      <c r="AB165" s="21">
        <f>EXP(-LN(2)/2)*AB164+(1-EXP(-LN(2)/2))/(LN(2)/2)*V165*Y165*VLOOKUP('Données projet'!$B$9,Paramètres!$A$1:$I$89,3,0)*0.475*44/12</f>
        <v>1.0996330395390715E-20</v>
      </c>
      <c r="AC165" s="22">
        <f t="shared" si="163"/>
        <v>28.580096257713574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963.59256833510426</v>
      </c>
      <c r="AN165" s="59">
        <f ca="1">AVERAGE(OFFSET($AM$3,0,0,'Données projet'!$E$10+1,1))-AVERAGE(OFFSET($H$3,0,0,'Données projet'!$E$10+1,1))</f>
        <v>392.48436003609055</v>
      </c>
      <c r="AO165" s="59">
        <f t="shared" si="144"/>
        <v>236.3312446580419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212.42519999999985</v>
      </c>
      <c r="BF165" s="13">
        <f t="shared" si="167"/>
        <v>52.465198231787184</v>
      </c>
      <c r="BG165" s="20">
        <f t="shared" si="168"/>
        <v>461.35077692036231</v>
      </c>
      <c r="BH165" s="59">
        <f t="shared" si="116"/>
        <v>754.68411025369562</v>
      </c>
      <c r="BI165" s="59">
        <f ca="1">AVERAGE(OFFSET($BH$3,0,0,'Données projet'!$E$11+1,1))-AVERAGE(OFFSET($H$3,0,0,'Données projet'!$E$11+1,1))</f>
        <v>225.2323446080772</v>
      </c>
      <c r="BJ165" s="59">
        <f t="shared" si="146"/>
        <v>222.29030402759292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8.5523824390521792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8.5523824390521792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258.24239999999986</v>
      </c>
      <c r="CA165" s="13">
        <f t="shared" si="170"/>
        <v>62.347580891234152</v>
      </c>
      <c r="CB165" s="20">
        <f t="shared" si="171"/>
        <v>558.3608833855659</v>
      </c>
      <c r="CC165" s="59">
        <f t="shared" si="119"/>
        <v>851.69421671889927</v>
      </c>
      <c r="CD165" s="59">
        <f ca="1">AVERAGE(OFFSET($CC$3,0,0,'Données projet'!$E$12+1,1))-AVERAGE(OFFSET($H$3,0,0,'Données projet'!$E$12+1,1))</f>
        <v>281.84871057356037</v>
      </c>
      <c r="CE165" s="59">
        <f t="shared" si="148"/>
        <v>276.02211904126887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8.4353132010777365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8.4353132010777365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853.00000000000011</v>
      </c>
      <c r="O166" s="13">
        <f>N166*VLOOKUP('Données projet'!$B$9,Paramètres!$A$1:$I$89,3,0)*VLOOKUP('Données projet'!$B$9,Paramètres!$A$1:$I$89,5,0)</f>
        <v>399.20400000000006</v>
      </c>
      <c r="P166" s="13">
        <f t="shared" si="141"/>
        <v>91.615269732888521</v>
      </c>
      <c r="Q166" s="20">
        <f t="shared" si="162"/>
        <v>854.8435614514475</v>
      </c>
      <c r="R166" s="59">
        <f t="shared" si="109"/>
        <v>1148.1768947847809</v>
      </c>
      <c r="S166" s="59">
        <f ca="1">AVERAGE(OFFSET($R$3,0,0,'Données projet'!$E$9+1,1))-AVERAGE(OFFSET($H$3,0,0,'Données projet'!$E$9+1,1))</f>
        <v>414.8063171894658</v>
      </c>
      <c r="T166" s="59">
        <f t="shared" si="142"/>
        <v>354.21555670988619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26.783583966102807</v>
      </c>
      <c r="AA166" s="21">
        <f>EXP(-LN(2)/25)*AA165+(1-EXP(-LN(2)/25))/(LN(2)/25)*Calculateur!V166*Calculateur!X166*VLOOKUP('Données projet'!$B$9,Paramètres!$A$1:$I$89,3,0)*0.475*44/12</f>
        <v>1.2263209321108151</v>
      </c>
      <c r="AB166" s="21">
        <f>EXP(-LN(2)/2)*AB165+(1-EXP(-LN(2)/2))/(LN(2)/2)*V166*Y166*VLOOKUP('Données projet'!$B$9,Paramètres!$A$1:$I$89,3,0)*0.475*44/12</f>
        <v>7.7755797907485239E-21</v>
      </c>
      <c r="AC166" s="22">
        <f t="shared" si="163"/>
        <v>28.009904898213623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963.59256833510426</v>
      </c>
      <c r="AN166" s="59">
        <f ca="1">AVERAGE(OFFSET($AM$3,0,0,'Données projet'!$E$10+1,1))-AVERAGE(OFFSET($H$3,0,0,'Données projet'!$E$10+1,1))</f>
        <v>392.48436003609055</v>
      </c>
      <c r="AO166" s="59">
        <f t="shared" si="144"/>
        <v>236.3312446580419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212.42519999999985</v>
      </c>
      <c r="BF166" s="13">
        <f t="shared" si="167"/>
        <v>52.465198231787184</v>
      </c>
      <c r="BG166" s="20">
        <f t="shared" si="168"/>
        <v>461.35077692036231</v>
      </c>
      <c r="BH166" s="59">
        <f t="shared" si="116"/>
        <v>754.68411025369562</v>
      </c>
      <c r="BI166" s="59">
        <f ca="1">AVERAGE(OFFSET($BH$3,0,0,'Données projet'!$E$11+1,1))-AVERAGE(OFFSET($H$3,0,0,'Données projet'!$E$11+1,1))</f>
        <v>225.2323446080772</v>
      </c>
      <c r="BJ166" s="59">
        <f t="shared" si="146"/>
        <v>222.29030402759292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8.384675435860574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8.384675435860574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258.24239999999986</v>
      </c>
      <c r="CA166" s="13">
        <f t="shared" si="170"/>
        <v>62.347580891234152</v>
      </c>
      <c r="CB166" s="20">
        <f t="shared" si="171"/>
        <v>558.3608833855659</v>
      </c>
      <c r="CC166" s="59">
        <f t="shared" si="119"/>
        <v>851.69421671889927</v>
      </c>
      <c r="CD166" s="59">
        <f ca="1">AVERAGE(OFFSET($CC$3,0,0,'Données projet'!$E$12+1,1))-AVERAGE(OFFSET($H$3,0,0,'Données projet'!$E$12+1,1))</f>
        <v>281.84871057356037</v>
      </c>
      <c r="CE166" s="59">
        <f t="shared" si="148"/>
        <v>276.02211904126887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8.2699018542376255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8.2699018542376255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853.00000000000011</v>
      </c>
      <c r="O167" s="13">
        <f>N167*VLOOKUP('Données projet'!$B$9,Paramètres!$A$1:$I$89,3,0)*VLOOKUP('Données projet'!$B$9,Paramètres!$A$1:$I$89,5,0)</f>
        <v>399.20400000000006</v>
      </c>
      <c r="P167" s="13">
        <f t="shared" si="141"/>
        <v>91.615269732888521</v>
      </c>
      <c r="Q167" s="20">
        <f t="shared" si="162"/>
        <v>854.8435614514475</v>
      </c>
      <c r="R167" s="59">
        <f t="shared" si="109"/>
        <v>1148.1768947847809</v>
      </c>
      <c r="S167" s="59">
        <f ca="1">AVERAGE(OFFSET($R$3,0,0,'Données projet'!$E$9+1,1))-AVERAGE(OFFSET($H$3,0,0,'Données projet'!$E$9+1,1))</f>
        <v>414.8063171894658</v>
      </c>
      <c r="T167" s="59">
        <f t="shared" si="142"/>
        <v>354.21555670988619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26.258374220900667</v>
      </c>
      <c r="AA167" s="21">
        <f>EXP(-LN(2)/25)*AA166+(1-EXP(-LN(2)/25))/(LN(2)/25)*Calculateur!V167*Calculateur!X167*VLOOKUP('Données projet'!$B$9,Paramètres!$A$1:$I$89,3,0)*0.475*44/12</f>
        <v>1.1927871217328299</v>
      </c>
      <c r="AB167" s="21">
        <f>EXP(-LN(2)/2)*AB166+(1-EXP(-LN(2)/2))/(LN(2)/2)*V167*Y167*VLOOKUP('Données projet'!$B$9,Paramètres!$A$1:$I$89,3,0)*0.475*44/12</f>
        <v>5.4981651976953576E-21</v>
      </c>
      <c r="AC167" s="22">
        <f t="shared" si="163"/>
        <v>27.451161342633497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963.59256833510426</v>
      </c>
      <c r="AN167" s="59">
        <f ca="1">AVERAGE(OFFSET($AM$3,0,0,'Données projet'!$E$10+1,1))-AVERAGE(OFFSET($H$3,0,0,'Données projet'!$E$10+1,1))</f>
        <v>392.48436003609055</v>
      </c>
      <c r="AO167" s="59">
        <f t="shared" si="144"/>
        <v>236.3312446580419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212.42519999999985</v>
      </c>
      <c r="BF167" s="13">
        <f t="shared" si="167"/>
        <v>52.465198231787184</v>
      </c>
      <c r="BG167" s="20">
        <f t="shared" si="168"/>
        <v>461.35077692036231</v>
      </c>
      <c r="BH167" s="59">
        <f t="shared" si="116"/>
        <v>754.68411025369562</v>
      </c>
      <c r="BI167" s="59">
        <f ca="1">AVERAGE(OFFSET($BH$3,0,0,'Données projet'!$E$11+1,1))-AVERAGE(OFFSET($H$3,0,0,'Données projet'!$E$11+1,1))</f>
        <v>225.2323446080772</v>
      </c>
      <c r="BJ167" s="59">
        <f t="shared" si="146"/>
        <v>222.29030402759292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8.2202570647103848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8.2202570647103848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258.24239999999986</v>
      </c>
      <c r="CA167" s="13">
        <f t="shared" si="170"/>
        <v>62.347580891234152</v>
      </c>
      <c r="CB167" s="20">
        <f t="shared" si="171"/>
        <v>558.3608833855659</v>
      </c>
      <c r="CC167" s="59">
        <f t="shared" si="119"/>
        <v>851.69421671889927</v>
      </c>
      <c r="CD167" s="59">
        <f ca="1">AVERAGE(OFFSET($CC$3,0,0,'Données projet'!$E$12+1,1))-AVERAGE(OFFSET($H$3,0,0,'Données projet'!$E$12+1,1))</f>
        <v>281.84871057356037</v>
      </c>
      <c r="CE167" s="59">
        <f t="shared" si="148"/>
        <v>276.02211904126887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8.1077341230180888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8.1077341230180888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853.00000000000011</v>
      </c>
      <c r="O168" s="13">
        <f>N168*VLOOKUP('Données projet'!$B$9,Paramètres!$A$1:$I$89,3,0)*VLOOKUP('Données projet'!$B$9,Paramètres!$A$1:$I$89,5,0)</f>
        <v>399.20400000000006</v>
      </c>
      <c r="P168" s="13">
        <f t="shared" si="141"/>
        <v>91.615269732888521</v>
      </c>
      <c r="Q168" s="20">
        <f t="shared" si="162"/>
        <v>854.8435614514475</v>
      </c>
      <c r="R168" s="59">
        <f t="shared" si="109"/>
        <v>1148.1768947847809</v>
      </c>
      <c r="S168" s="59">
        <f ca="1">AVERAGE(OFFSET($R$3,0,0,'Données projet'!$E$9+1,1))-AVERAGE(OFFSET($H$3,0,0,'Données projet'!$E$9+1,1))</f>
        <v>414.8063171894658</v>
      </c>
      <c r="T168" s="59">
        <f t="shared" si="142"/>
        <v>354.21555670988619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25.743463518455627</v>
      </c>
      <c r="AA168" s="21">
        <f>EXP(-LN(2)/25)*AA167+(1-EXP(-LN(2)/25))/(LN(2)/25)*Calculateur!V168*Calculateur!X168*VLOOKUP('Données projet'!$B$9,Paramètres!$A$1:$I$89,3,0)*0.475*44/12</f>
        <v>1.160170295163097</v>
      </c>
      <c r="AB168" s="21">
        <f>EXP(-LN(2)/2)*AB167+(1-EXP(-LN(2)/2))/(LN(2)/2)*V168*Y168*VLOOKUP('Données projet'!$B$9,Paramètres!$A$1:$I$89,3,0)*0.475*44/12</f>
        <v>3.887789895374262E-21</v>
      </c>
      <c r="AC168" s="22">
        <f t="shared" si="163"/>
        <v>26.903633813618725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963.59256833510426</v>
      </c>
      <c r="AN168" s="59">
        <f ca="1">AVERAGE(OFFSET($AM$3,0,0,'Données projet'!$E$10+1,1))-AVERAGE(OFFSET($H$3,0,0,'Données projet'!$E$10+1,1))</f>
        <v>392.48436003609055</v>
      </c>
      <c r="AO168" s="59">
        <f t="shared" si="144"/>
        <v>236.3312446580419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212.42519999999985</v>
      </c>
      <c r="BF168" s="13">
        <f t="shared" si="167"/>
        <v>52.465198231787184</v>
      </c>
      <c r="BG168" s="20">
        <f t="shared" si="168"/>
        <v>461.35077692036231</v>
      </c>
      <c r="BH168" s="59">
        <f t="shared" si="116"/>
        <v>754.68411025369562</v>
      </c>
      <c r="BI168" s="59">
        <f ca="1">AVERAGE(OFFSET($BH$3,0,0,'Données projet'!$E$11+1,1))-AVERAGE(OFFSET($H$3,0,0,'Données projet'!$E$11+1,1))</f>
        <v>225.2323446080772</v>
      </c>
      <c r="BJ168" s="59">
        <f t="shared" si="146"/>
        <v>222.29030402759292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8.0590628375331459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8.0590628375331459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258.24239999999986</v>
      </c>
      <c r="CA168" s="13">
        <f t="shared" si="170"/>
        <v>62.347580891234152</v>
      </c>
      <c r="CB168" s="20">
        <f t="shared" si="171"/>
        <v>558.3608833855659</v>
      </c>
      <c r="CC168" s="59">
        <f t="shared" si="119"/>
        <v>851.69421671889927</v>
      </c>
      <c r="CD168" s="59">
        <f ca="1">AVERAGE(OFFSET($CC$3,0,0,'Données projet'!$E$12+1,1))-AVERAGE(OFFSET($H$3,0,0,'Données projet'!$E$12+1,1))</f>
        <v>281.84871057356037</v>
      </c>
      <c r="CE168" s="59">
        <f t="shared" si="148"/>
        <v>276.02211904126887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7.9487464020952183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7.9487464020952183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853.00000000000011</v>
      </c>
      <c r="O169" s="13">
        <f>N169*VLOOKUP('Données projet'!$B$9,Paramètres!$A$1:$I$89,3,0)*VLOOKUP('Données projet'!$B$9,Paramètres!$A$1:$I$89,5,0)</f>
        <v>399.20400000000006</v>
      </c>
      <c r="P169" s="13">
        <f t="shared" si="141"/>
        <v>91.615269732888521</v>
      </c>
      <c r="Q169" s="20">
        <f t="shared" si="162"/>
        <v>854.8435614514475</v>
      </c>
      <c r="R169" s="59">
        <f t="shared" si="109"/>
        <v>1148.1768947847809</v>
      </c>
      <c r="S169" s="59">
        <f ca="1">AVERAGE(OFFSET($R$3,0,0,'Données projet'!$E$9+1,1))-AVERAGE(OFFSET($H$3,0,0,'Données projet'!$E$9+1,1))</f>
        <v>414.8063171894658</v>
      </c>
      <c r="T169" s="59">
        <f t="shared" si="142"/>
        <v>354.21555670988619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25.23864990082102</v>
      </c>
      <c r="AA169" s="21">
        <f>EXP(-LN(2)/25)*AA168+(1-EXP(-LN(2)/25))/(LN(2)/25)*Calculateur!V169*Calculateur!X169*VLOOKUP('Données projet'!$B$9,Paramètres!$A$1:$I$89,3,0)*0.475*44/12</f>
        <v>1.1284453774311578</v>
      </c>
      <c r="AB169" s="21">
        <f>EXP(-LN(2)/2)*AB168+(1-EXP(-LN(2)/2))/(LN(2)/2)*V169*Y169*VLOOKUP('Données projet'!$B$9,Paramètres!$A$1:$I$89,3,0)*0.475*44/12</f>
        <v>2.7490825988476788E-21</v>
      </c>
      <c r="AC169" s="22">
        <f t="shared" si="163"/>
        <v>26.367095278252179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963.59256833510426</v>
      </c>
      <c r="AN169" s="59">
        <f ca="1">AVERAGE(OFFSET($AM$3,0,0,'Données projet'!$E$10+1,1))-AVERAGE(OFFSET($H$3,0,0,'Données projet'!$E$10+1,1))</f>
        <v>392.48436003609055</v>
      </c>
      <c r="AO169" s="59">
        <f t="shared" si="144"/>
        <v>236.3312446580419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212.42519999999985</v>
      </c>
      <c r="BF169" s="13">
        <f t="shared" si="167"/>
        <v>52.465198231787184</v>
      </c>
      <c r="BG169" s="20">
        <f t="shared" si="168"/>
        <v>461.35077692036231</v>
      </c>
      <c r="BH169" s="59">
        <f t="shared" si="116"/>
        <v>754.68411025369562</v>
      </c>
      <c r="BI169" s="59">
        <f ca="1">AVERAGE(OFFSET($BH$3,0,0,'Données projet'!$E$11+1,1))-AVERAGE(OFFSET($H$3,0,0,'Données projet'!$E$11+1,1))</f>
        <v>225.2323446080772</v>
      </c>
      <c r="BJ169" s="59">
        <f t="shared" si="146"/>
        <v>222.29030402759292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7.9010295308320826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7.9010295308320826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258.24239999999986</v>
      </c>
      <c r="CA169" s="13">
        <f t="shared" si="170"/>
        <v>62.347580891234152</v>
      </c>
      <c r="CB169" s="20">
        <f t="shared" si="171"/>
        <v>558.3608833855659</v>
      </c>
      <c r="CC169" s="59">
        <f t="shared" si="119"/>
        <v>851.69421671889927</v>
      </c>
      <c r="CD169" s="59">
        <f ca="1">AVERAGE(OFFSET($CC$3,0,0,'Données projet'!$E$12+1,1))-AVERAGE(OFFSET($H$3,0,0,'Données projet'!$E$12+1,1))</f>
        <v>281.84871057356037</v>
      </c>
      <c r="CE169" s="59">
        <f t="shared" si="148"/>
        <v>276.02211904126887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7.7928763334067108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7.7928763334067108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853.00000000000011</v>
      </c>
      <c r="O170" s="13">
        <f>N170*VLOOKUP('Données projet'!$B$9,Paramètres!$A$1:$I$89,3,0)*VLOOKUP('Données projet'!$B$9,Paramètres!$A$1:$I$89,5,0)</f>
        <v>399.20400000000006</v>
      </c>
      <c r="P170" s="13">
        <f t="shared" si="141"/>
        <v>91.615269732888521</v>
      </c>
      <c r="Q170" s="20">
        <f t="shared" si="162"/>
        <v>854.8435614514475</v>
      </c>
      <c r="R170" s="59">
        <f t="shared" si="109"/>
        <v>1148.1768947847809</v>
      </c>
      <c r="S170" s="59">
        <f ca="1">AVERAGE(OFFSET($R$3,0,0,'Données projet'!$E$9+1,1))-AVERAGE(OFFSET($H$3,0,0,'Données projet'!$E$9+1,1))</f>
        <v>414.8063171894658</v>
      </c>
      <c r="T170" s="59">
        <f t="shared" si="142"/>
        <v>354.21555670988619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24.743735370322323</v>
      </c>
      <c r="AA170" s="21">
        <f>EXP(-LN(2)/25)*AA169+(1-EXP(-LN(2)/25))/(LN(2)/25)*Calculateur!V170*Calculateur!X170*VLOOKUP('Données projet'!$B$9,Paramètres!$A$1:$I$89,3,0)*0.475*44/12</f>
        <v>1.0975879792429395</v>
      </c>
      <c r="AB170" s="21">
        <f>EXP(-LN(2)/2)*AB169+(1-EXP(-LN(2)/2))/(LN(2)/2)*V170*Y170*VLOOKUP('Données projet'!$B$9,Paramètres!$A$1:$I$89,3,0)*0.475*44/12</f>
        <v>1.943894947687131E-21</v>
      </c>
      <c r="AC170" s="22">
        <f t="shared" si="163"/>
        <v>25.841323349565261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963.59256833510426</v>
      </c>
      <c r="AN170" s="59">
        <f ca="1">AVERAGE(OFFSET($AM$3,0,0,'Données projet'!$E$10+1,1))-AVERAGE(OFFSET($H$3,0,0,'Données projet'!$E$10+1,1))</f>
        <v>392.48436003609055</v>
      </c>
      <c r="AO170" s="59">
        <f t="shared" si="144"/>
        <v>236.3312446580419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212.42519999999985</v>
      </c>
      <c r="BF170" s="13">
        <f t="shared" si="167"/>
        <v>52.465198231787184</v>
      </c>
      <c r="BG170" s="20">
        <f t="shared" si="168"/>
        <v>461.35077692036231</v>
      </c>
      <c r="BH170" s="59">
        <f t="shared" si="116"/>
        <v>754.68411025369562</v>
      </c>
      <c r="BI170" s="59">
        <f ca="1">AVERAGE(OFFSET($BH$3,0,0,'Données projet'!$E$11+1,1))-AVERAGE(OFFSET($H$3,0,0,'Données projet'!$E$11+1,1))</f>
        <v>225.2323446080772</v>
      </c>
      <c r="BJ170" s="59">
        <f t="shared" si="146"/>
        <v>222.29030402759292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7.7460951608846278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7.7460951608846278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258.24239999999986</v>
      </c>
      <c r="CA170" s="13">
        <f t="shared" si="170"/>
        <v>62.347580891234152</v>
      </c>
      <c r="CB170" s="20">
        <f t="shared" si="171"/>
        <v>558.3608833855659</v>
      </c>
      <c r="CC170" s="59">
        <f t="shared" si="119"/>
        <v>851.69421671889927</v>
      </c>
      <c r="CD170" s="59">
        <f ca="1">AVERAGE(OFFSET($CC$3,0,0,'Données projet'!$E$12+1,1))-AVERAGE(OFFSET($H$3,0,0,'Données projet'!$E$12+1,1))</f>
        <v>281.84871057356037</v>
      </c>
      <c r="CE170" s="59">
        <f t="shared" si="148"/>
        <v>276.02211904126887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7.6400627816938309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7.6400627816938309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853.00000000000011</v>
      </c>
      <c r="O171" s="13">
        <f>N171*VLOOKUP('Données projet'!$B$9,Paramètres!$A$1:$I$89,3,0)*VLOOKUP('Données projet'!$B$9,Paramètres!$A$1:$I$89,5,0)</f>
        <v>399.20400000000006</v>
      </c>
      <c r="P171" s="13">
        <f t="shared" si="141"/>
        <v>91.615269732888521</v>
      </c>
      <c r="Q171" s="20">
        <f t="shared" si="162"/>
        <v>854.8435614514475</v>
      </c>
      <c r="R171" s="59">
        <f t="shared" si="109"/>
        <v>1148.1768947847809</v>
      </c>
      <c r="S171" s="59">
        <f ca="1">AVERAGE(OFFSET($R$3,0,0,'Données projet'!$E$9+1,1))-AVERAGE(OFFSET($H$3,0,0,'Données projet'!$E$9+1,1))</f>
        <v>414.8063171894658</v>
      </c>
      <c r="T171" s="59">
        <f t="shared" si="142"/>
        <v>354.21555670988619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24.258525811898647</v>
      </c>
      <c r="AA171" s="21">
        <f>EXP(-LN(2)/25)*AA170+(1-EXP(-LN(2)/25))/(LN(2)/25)*Calculateur!V171*Calculateur!X171*VLOOKUP('Données projet'!$B$9,Paramètres!$A$1:$I$89,3,0)*0.475*44/12</f>
        <v>1.067574378230898</v>
      </c>
      <c r="AB171" s="21">
        <f>EXP(-LN(2)/2)*AB170+(1-EXP(-LN(2)/2))/(LN(2)/2)*V171*Y171*VLOOKUP('Données projet'!$B$9,Paramètres!$A$1:$I$89,3,0)*0.475*44/12</f>
        <v>1.3745412994238394E-21</v>
      </c>
      <c r="AC171" s="22">
        <f t="shared" si="163"/>
        <v>25.326100190129544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963.59256833510426</v>
      </c>
      <c r="AN171" s="59">
        <f ca="1">AVERAGE(OFFSET($AM$3,0,0,'Données projet'!$E$10+1,1))-AVERAGE(OFFSET($H$3,0,0,'Données projet'!$E$10+1,1))</f>
        <v>392.48436003609055</v>
      </c>
      <c r="AO171" s="59">
        <f t="shared" si="144"/>
        <v>236.3312446580419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212.42519999999985</v>
      </c>
      <c r="BF171" s="13">
        <f t="shared" si="167"/>
        <v>52.465198231787184</v>
      </c>
      <c r="BG171" s="20">
        <f t="shared" si="168"/>
        <v>461.35077692036231</v>
      </c>
      <c r="BH171" s="59">
        <f t="shared" si="116"/>
        <v>754.68411025369562</v>
      </c>
      <c r="BI171" s="59">
        <f ca="1">AVERAGE(OFFSET($BH$3,0,0,'Données projet'!$E$11+1,1))-AVERAGE(OFFSET($H$3,0,0,'Données projet'!$E$11+1,1))</f>
        <v>225.2323446080772</v>
      </c>
      <c r="BJ171" s="59">
        <f t="shared" si="146"/>
        <v>222.29030402759292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7.5941989594312078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7.5941989594312078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258.24239999999986</v>
      </c>
      <c r="CA171" s="13">
        <f t="shared" si="170"/>
        <v>62.347580891234152</v>
      </c>
      <c r="CB171" s="20">
        <f t="shared" si="171"/>
        <v>558.3608833855659</v>
      </c>
      <c r="CC171" s="59">
        <f t="shared" si="119"/>
        <v>851.69421671889927</v>
      </c>
      <c r="CD171" s="59">
        <f ca="1">AVERAGE(OFFSET($CC$3,0,0,'Données projet'!$E$12+1,1))-AVERAGE(OFFSET($H$3,0,0,'Données projet'!$E$12+1,1))</f>
        <v>281.84871057356037</v>
      </c>
      <c r="CE171" s="59">
        <f t="shared" si="148"/>
        <v>276.02211904126887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7.4902458105229774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7.4902458105229774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853.00000000000011</v>
      </c>
      <c r="O172" s="13">
        <f>N172*VLOOKUP('Données projet'!$B$9,Paramètres!$A$1:$I$89,3,0)*VLOOKUP('Données projet'!$B$9,Paramètres!$A$1:$I$89,5,0)</f>
        <v>399.20400000000006</v>
      </c>
      <c r="P172" s="13">
        <f t="shared" si="141"/>
        <v>91.615269732888521</v>
      </c>
      <c r="Q172" s="20">
        <f t="shared" si="162"/>
        <v>854.8435614514475</v>
      </c>
      <c r="R172" s="59">
        <f t="shared" si="109"/>
        <v>1148.1768947847809</v>
      </c>
      <c r="S172" s="59">
        <f ca="1">AVERAGE(OFFSET($R$3,0,0,'Données projet'!$E$9+1,1))-AVERAGE(OFFSET($H$3,0,0,'Données projet'!$E$9+1,1))</f>
        <v>414.8063171894658</v>
      </c>
      <c r="T172" s="59">
        <f t="shared" si="142"/>
        <v>354.21555670988619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23.78283091696705</v>
      </c>
      <c r="AA172" s="21">
        <f>EXP(-LN(2)/25)*AA171+(1-EXP(-LN(2)/25))/(LN(2)/25)*Calculateur!V172*Calculateur!X172*VLOOKUP('Données projet'!$B$9,Paramètres!$A$1:$I$89,3,0)*0.475*44/12</f>
        <v>1.0383815007168775</v>
      </c>
      <c r="AB172" s="21">
        <f>EXP(-LN(2)/2)*AB171+(1-EXP(-LN(2)/2))/(LN(2)/2)*V172*Y172*VLOOKUP('Données projet'!$B$9,Paramètres!$A$1:$I$89,3,0)*0.475*44/12</f>
        <v>9.7194747384356549E-22</v>
      </c>
      <c r="AC172" s="22">
        <f t="shared" si="163"/>
        <v>24.821212417683927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963.59256833510426</v>
      </c>
      <c r="AN172" s="59">
        <f ca="1">AVERAGE(OFFSET($AM$3,0,0,'Données projet'!$E$10+1,1))-AVERAGE(OFFSET($H$3,0,0,'Données projet'!$E$10+1,1))</f>
        <v>392.48436003609055</v>
      </c>
      <c r="AO172" s="59">
        <f t="shared" si="144"/>
        <v>236.3312446580419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212.42519999999985</v>
      </c>
      <c r="BF172" s="13">
        <f t="shared" si="167"/>
        <v>52.465198231787184</v>
      </c>
      <c r="BG172" s="20">
        <f t="shared" si="168"/>
        <v>461.35077692036231</v>
      </c>
      <c r="BH172" s="59">
        <f t="shared" si="116"/>
        <v>754.68411025369562</v>
      </c>
      <c r="BI172" s="59">
        <f ca="1">AVERAGE(OFFSET($BH$3,0,0,'Données projet'!$E$11+1,1))-AVERAGE(OFFSET($H$3,0,0,'Données projet'!$E$11+1,1))</f>
        <v>225.2323446080772</v>
      </c>
      <c r="BJ172" s="59">
        <f t="shared" si="146"/>
        <v>222.29030402759292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7.4452813498407551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7.4452813498407551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258.24239999999986</v>
      </c>
      <c r="CA172" s="13">
        <f t="shared" si="170"/>
        <v>62.347580891234152</v>
      </c>
      <c r="CB172" s="20">
        <f t="shared" si="171"/>
        <v>558.3608833855659</v>
      </c>
      <c r="CC172" s="59">
        <f t="shared" si="119"/>
        <v>851.69421671889927</v>
      </c>
      <c r="CD172" s="59">
        <f ca="1">AVERAGE(OFFSET($CC$3,0,0,'Données projet'!$E$12+1,1))-AVERAGE(OFFSET($H$3,0,0,'Données projet'!$E$12+1,1))</f>
        <v>281.84871057356037</v>
      </c>
      <c r="CE172" s="59">
        <f t="shared" si="148"/>
        <v>276.02211904126887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7.3433666587774544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7.3433666587774544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853.00000000000011</v>
      </c>
      <c r="O173" s="13">
        <f>N173*VLOOKUP('Données projet'!$B$9,Paramètres!$A$1:$I$89,3,0)*VLOOKUP('Données projet'!$B$9,Paramètres!$A$1:$I$89,5,0)</f>
        <v>399.20400000000006</v>
      </c>
      <c r="P173" s="13">
        <f t="shared" si="141"/>
        <v>91.615269732888521</v>
      </c>
      <c r="Q173" s="20">
        <f t="shared" si="162"/>
        <v>854.8435614514475</v>
      </c>
      <c r="R173" s="59">
        <f t="shared" si="109"/>
        <v>1148.1768947847809</v>
      </c>
      <c r="S173" s="59">
        <f ca="1">AVERAGE(OFFSET($R$3,0,0,'Données projet'!$E$9+1,1))-AVERAGE(OFFSET($H$3,0,0,'Données projet'!$E$9+1,1))</f>
        <v>414.8063171894658</v>
      </c>
      <c r="T173" s="59">
        <f t="shared" si="142"/>
        <v>354.21555670988619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23.316464108779829</v>
      </c>
      <c r="AA173" s="21">
        <f>EXP(-LN(2)/25)*AA172+(1-EXP(-LN(2)/25))/(LN(2)/25)*Calculateur!V173*Calculateur!X173*VLOOKUP('Données projet'!$B$9,Paramètres!$A$1:$I$89,3,0)*0.475*44/12</f>
        <v>1.0099869039736646</v>
      </c>
      <c r="AB173" s="21">
        <f>EXP(-LN(2)/2)*AB172+(1-EXP(-LN(2)/2))/(LN(2)/2)*V173*Y173*VLOOKUP('Données projet'!$B$9,Paramètres!$A$1:$I$89,3,0)*0.475*44/12</f>
        <v>6.8727064971191971E-22</v>
      </c>
      <c r="AC173" s="22">
        <f t="shared" si="163"/>
        <v>24.326451012753495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963.59256833510426</v>
      </c>
      <c r="AN173" s="59">
        <f ca="1">AVERAGE(OFFSET($AM$3,0,0,'Données projet'!$E$10+1,1))-AVERAGE(OFFSET($H$3,0,0,'Données projet'!$E$10+1,1))</f>
        <v>392.48436003609055</v>
      </c>
      <c r="AO173" s="59">
        <f t="shared" si="144"/>
        <v>236.3312446580419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212.42519999999985</v>
      </c>
      <c r="BF173" s="13">
        <f t="shared" si="167"/>
        <v>52.465198231787184</v>
      </c>
      <c r="BG173" s="20">
        <f t="shared" si="168"/>
        <v>461.35077692036231</v>
      </c>
      <c r="BH173" s="59">
        <f t="shared" si="116"/>
        <v>754.68411025369562</v>
      </c>
      <c r="BI173" s="59">
        <f ca="1">AVERAGE(OFFSET($BH$3,0,0,'Données projet'!$E$11+1,1))-AVERAGE(OFFSET($H$3,0,0,'Données projet'!$E$11+1,1))</f>
        <v>225.2323446080772</v>
      </c>
      <c r="BJ173" s="59">
        <f t="shared" si="146"/>
        <v>222.29030402759292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7.299283923743598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7.299283923743598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258.24239999999986</v>
      </c>
      <c r="CA173" s="13">
        <f t="shared" si="170"/>
        <v>62.347580891234152</v>
      </c>
      <c r="CB173" s="20">
        <f t="shared" si="171"/>
        <v>558.3608833855659</v>
      </c>
      <c r="CC173" s="59">
        <f t="shared" si="119"/>
        <v>851.69421671889927</v>
      </c>
      <c r="CD173" s="59">
        <f ca="1">AVERAGE(OFFSET($CC$3,0,0,'Données projet'!$E$12+1,1))-AVERAGE(OFFSET($H$3,0,0,'Données projet'!$E$12+1,1))</f>
        <v>281.84871057356037</v>
      </c>
      <c r="CE173" s="59">
        <f t="shared" si="148"/>
        <v>276.02211904126887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7.1993677176102251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7.1993677176102251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853.00000000000011</v>
      </c>
      <c r="O174" s="13">
        <f>N174*VLOOKUP('Données projet'!$B$9,Paramètres!$A$1:$I$89,3,0)*VLOOKUP('Données projet'!$B$9,Paramètres!$A$1:$I$89,5,0)</f>
        <v>399.20400000000006</v>
      </c>
      <c r="P174" s="13">
        <f t="shared" si="141"/>
        <v>91.615269732888521</v>
      </c>
      <c r="Q174" s="20">
        <f t="shared" si="162"/>
        <v>854.8435614514475</v>
      </c>
      <c r="R174" s="59">
        <f t="shared" si="109"/>
        <v>1148.1768947847809</v>
      </c>
      <c r="S174" s="59">
        <f ca="1">AVERAGE(OFFSET($R$3,0,0,'Données projet'!$E$9+1,1))-AVERAGE(OFFSET($H$3,0,0,'Données projet'!$E$9+1,1))</f>
        <v>414.8063171894658</v>
      </c>
      <c r="T174" s="59">
        <f t="shared" si="142"/>
        <v>354.21555670988619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22.859242469245494</v>
      </c>
      <c r="AA174" s="21">
        <f>EXP(-LN(2)/25)*AA173+(1-EXP(-LN(2)/25))/(LN(2)/25)*Calculateur!V174*Calculateur!X174*VLOOKUP('Données projet'!$B$9,Paramètres!$A$1:$I$89,3,0)*0.475*44/12</f>
        <v>0.98236875897160181</v>
      </c>
      <c r="AB174" s="21">
        <f>EXP(-LN(2)/2)*AB173+(1-EXP(-LN(2)/2))/(LN(2)/2)*V174*Y174*VLOOKUP('Données projet'!$B$9,Paramètres!$A$1:$I$89,3,0)*0.475*44/12</f>
        <v>4.8597373692178275E-22</v>
      </c>
      <c r="AC174" s="22">
        <f t="shared" si="163"/>
        <v>23.841611228217097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963.59256833510426</v>
      </c>
      <c r="AN174" s="59">
        <f ca="1">AVERAGE(OFFSET($AM$3,0,0,'Données projet'!$E$10+1,1))-AVERAGE(OFFSET($H$3,0,0,'Données projet'!$E$10+1,1))</f>
        <v>392.48436003609055</v>
      </c>
      <c r="AO174" s="59">
        <f t="shared" si="144"/>
        <v>236.3312446580419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212.42519999999985</v>
      </c>
      <c r="BF174" s="13">
        <f t="shared" si="167"/>
        <v>52.465198231787184</v>
      </c>
      <c r="BG174" s="20">
        <f t="shared" si="168"/>
        <v>461.35077692036231</v>
      </c>
      <c r="BH174" s="59">
        <f t="shared" si="116"/>
        <v>754.68411025369562</v>
      </c>
      <c r="BI174" s="59">
        <f ca="1">AVERAGE(OFFSET($BH$3,0,0,'Données projet'!$E$11+1,1))-AVERAGE(OFFSET($H$3,0,0,'Données projet'!$E$11+1,1))</f>
        <v>225.2323446080772</v>
      </c>
      <c r="BJ174" s="59">
        <f t="shared" si="146"/>
        <v>222.29030402759292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7.1561494181225687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7.1561494181225687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258.24239999999986</v>
      </c>
      <c r="CA174" s="13">
        <f t="shared" si="170"/>
        <v>62.347580891234152</v>
      </c>
      <c r="CB174" s="20">
        <f t="shared" si="171"/>
        <v>558.3608833855659</v>
      </c>
      <c r="CC174" s="59">
        <f t="shared" si="119"/>
        <v>851.69421671889927</v>
      </c>
      <c r="CD174" s="59">
        <f ca="1">AVERAGE(OFFSET($CC$3,0,0,'Données projet'!$E$12+1,1))-AVERAGE(OFFSET($H$3,0,0,'Données projet'!$E$12+1,1))</f>
        <v>281.84871057356037</v>
      </c>
      <c r="CE174" s="59">
        <f t="shared" si="148"/>
        <v>276.02211904126887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7.0581925078486032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7.0581925078486032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853.00000000000011</v>
      </c>
      <c r="O175" s="13">
        <f>N175*VLOOKUP('Données projet'!$B$9,Paramètres!$A$1:$I$89,3,0)*VLOOKUP('Données projet'!$B$9,Paramètres!$A$1:$I$89,5,0)</f>
        <v>399.20400000000006</v>
      </c>
      <c r="P175" s="13">
        <f t="shared" si="141"/>
        <v>91.615269732888521</v>
      </c>
      <c r="Q175" s="20">
        <f t="shared" si="162"/>
        <v>854.8435614514475</v>
      </c>
      <c r="R175" s="59">
        <f t="shared" si="109"/>
        <v>1148.1768947847809</v>
      </c>
      <c r="S175" s="59">
        <f ca="1">AVERAGE(OFFSET($R$3,0,0,'Données projet'!$E$9+1,1))-AVERAGE(OFFSET($H$3,0,0,'Données projet'!$E$9+1,1))</f>
        <v>414.8063171894658</v>
      </c>
      <c r="T175" s="59">
        <f t="shared" si="142"/>
        <v>354.21555670988619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22.410986667184762</v>
      </c>
      <c r="AA175" s="21">
        <f>EXP(-LN(2)/25)*AA174+(1-EXP(-LN(2)/25))/(LN(2)/25)*Calculateur!V175*Calculateur!X175*VLOOKUP('Données projet'!$B$9,Paramètres!$A$1:$I$89,3,0)*0.475*44/12</f>
        <v>0.95550583359699559</v>
      </c>
      <c r="AB175" s="21">
        <f>EXP(-LN(2)/2)*AB174+(1-EXP(-LN(2)/2))/(LN(2)/2)*V175*Y175*VLOOKUP('Données projet'!$B$9,Paramètres!$A$1:$I$89,3,0)*0.475*44/12</f>
        <v>3.4363532485595985E-22</v>
      </c>
      <c r="AC175" s="22">
        <f t="shared" si="163"/>
        <v>23.366492500781757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963.59256833510426</v>
      </c>
      <c r="AN175" s="59">
        <f ca="1">AVERAGE(OFFSET($AM$3,0,0,'Données projet'!$E$10+1,1))-AVERAGE(OFFSET($H$3,0,0,'Données projet'!$E$10+1,1))</f>
        <v>392.48436003609055</v>
      </c>
      <c r="AO175" s="59">
        <f t="shared" si="144"/>
        <v>236.3312446580419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212.42519999999985</v>
      </c>
      <c r="BF175" s="13">
        <f t="shared" si="167"/>
        <v>52.465198231787184</v>
      </c>
      <c r="BG175" s="20">
        <f t="shared" si="168"/>
        <v>461.35077692036231</v>
      </c>
      <c r="BH175" s="59">
        <f t="shared" si="116"/>
        <v>754.68411025369562</v>
      </c>
      <c r="BI175" s="59">
        <f ca="1">AVERAGE(OFFSET($BH$3,0,0,'Données projet'!$E$11+1,1))-AVERAGE(OFFSET($H$3,0,0,'Données projet'!$E$11+1,1))</f>
        <v>225.2323446080772</v>
      </c>
      <c r="BJ175" s="59">
        <f t="shared" si="146"/>
        <v>222.29030402759292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7.0158216928533399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7.0158216928533399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258.24239999999986</v>
      </c>
      <c r="CA175" s="13">
        <f t="shared" si="170"/>
        <v>62.347580891234152</v>
      </c>
      <c r="CB175" s="20">
        <f t="shared" si="171"/>
        <v>558.3608833855659</v>
      </c>
      <c r="CC175" s="59">
        <f t="shared" si="119"/>
        <v>851.69421671889927</v>
      </c>
      <c r="CD175" s="59">
        <f ca="1">AVERAGE(OFFSET($CC$3,0,0,'Données projet'!$E$12+1,1))-AVERAGE(OFFSET($H$3,0,0,'Données projet'!$E$12+1,1))</f>
        <v>281.84871057356037</v>
      </c>
      <c r="CE175" s="59">
        <f t="shared" si="148"/>
        <v>276.02211904126887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6.9197856578420316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6.9197856578420316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853.00000000000011</v>
      </c>
      <c r="O176" s="13">
        <f>N176*VLOOKUP('Données projet'!$B$9,Paramètres!$A$1:$I$89,3,0)*VLOOKUP('Données projet'!$B$9,Paramètres!$A$1:$I$89,5,0)</f>
        <v>399.20400000000006</v>
      </c>
      <c r="P176" s="13">
        <f t="shared" si="141"/>
        <v>91.615269732888521</v>
      </c>
      <c r="Q176" s="20">
        <f t="shared" si="162"/>
        <v>854.8435614514475</v>
      </c>
      <c r="R176" s="59">
        <f t="shared" si="109"/>
        <v>1148.1768947847809</v>
      </c>
      <c r="S176" s="59">
        <f ca="1">AVERAGE(OFFSET($R$3,0,0,'Données projet'!$E$9+1,1))-AVERAGE(OFFSET($H$3,0,0,'Données projet'!$E$9+1,1))</f>
        <v>414.8063171894658</v>
      </c>
      <c r="T176" s="59">
        <f t="shared" si="142"/>
        <v>354.21555670988619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21.9715208879934</v>
      </c>
      <c r="AA176" s="21">
        <f>EXP(-LN(2)/25)*AA175+(1-EXP(-LN(2)/25))/(LN(2)/25)*Calculateur!V176*Calculateur!X176*VLOOKUP('Données projet'!$B$9,Paramètres!$A$1:$I$89,3,0)*0.475*44/12</f>
        <v>0.92937747632941781</v>
      </c>
      <c r="AB176" s="21">
        <f>EXP(-LN(2)/2)*AB175+(1-EXP(-LN(2)/2))/(LN(2)/2)*V176*Y176*VLOOKUP('Données projet'!$B$9,Paramètres!$A$1:$I$89,3,0)*0.475*44/12</f>
        <v>2.4298686846089137E-22</v>
      </c>
      <c r="AC176" s="22">
        <f t="shared" si="163"/>
        <v>22.900898364322817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963.59256833510426</v>
      </c>
      <c r="AN176" s="59">
        <f ca="1">AVERAGE(OFFSET($AM$3,0,0,'Données projet'!$E$10+1,1))-AVERAGE(OFFSET($H$3,0,0,'Données projet'!$E$10+1,1))</f>
        <v>392.48436003609055</v>
      </c>
      <c r="AO176" s="59">
        <f t="shared" si="144"/>
        <v>236.3312446580419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212.42519999999985</v>
      </c>
      <c r="BF176" s="13">
        <f t="shared" si="167"/>
        <v>52.465198231787184</v>
      </c>
      <c r="BG176" s="20">
        <f t="shared" si="168"/>
        <v>461.35077692036231</v>
      </c>
      <c r="BH176" s="59">
        <f t="shared" si="116"/>
        <v>754.68411025369562</v>
      </c>
      <c r="BI176" s="59">
        <f ca="1">AVERAGE(OFFSET($BH$3,0,0,'Données projet'!$E$11+1,1))-AVERAGE(OFFSET($H$3,0,0,'Données projet'!$E$11+1,1))</f>
        <v>225.2323446080772</v>
      </c>
      <c r="BJ176" s="59">
        <f t="shared" si="146"/>
        <v>222.29030402759292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6.8782457086851796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6.8782457086851796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258.24239999999986</v>
      </c>
      <c r="CA176" s="13">
        <f t="shared" si="170"/>
        <v>62.347580891234152</v>
      </c>
      <c r="CB176" s="20">
        <f t="shared" si="171"/>
        <v>558.3608833855659</v>
      </c>
      <c r="CC176" s="59">
        <f t="shared" si="119"/>
        <v>851.69421671889927</v>
      </c>
      <c r="CD176" s="59">
        <f ca="1">AVERAGE(OFFSET($CC$3,0,0,'Données projet'!$E$12+1,1))-AVERAGE(OFFSET($H$3,0,0,'Données projet'!$E$12+1,1))</f>
        <v>281.84871057356037</v>
      </c>
      <c r="CE176" s="59">
        <f t="shared" si="148"/>
        <v>276.02211904126887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6.7840928817442459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6.7840928817442459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853.00000000000011</v>
      </c>
      <c r="O177" s="13">
        <f>N177*VLOOKUP('Données projet'!$B$9,Paramètres!$A$1:$I$89,3,0)*VLOOKUP('Données projet'!$B$9,Paramètres!$A$1:$I$89,5,0)</f>
        <v>399.20400000000006</v>
      </c>
      <c r="P177" s="13">
        <f t="shared" si="141"/>
        <v>91.615269732888521</v>
      </c>
      <c r="Q177" s="20">
        <f t="shared" si="162"/>
        <v>854.8435614514475</v>
      </c>
      <c r="R177" s="59">
        <f t="shared" si="109"/>
        <v>1148.1768947847809</v>
      </c>
      <c r="S177" s="59">
        <f ca="1">AVERAGE(OFFSET($R$3,0,0,'Données projet'!$E$9+1,1))-AVERAGE(OFFSET($H$3,0,0,'Données projet'!$E$9+1,1))</f>
        <v>414.8063171894658</v>
      </c>
      <c r="T177" s="59">
        <f t="shared" si="142"/>
        <v>354.21555670988619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21.54067276468432</v>
      </c>
      <c r="AA177" s="21">
        <f>EXP(-LN(2)/25)*AA176+(1-EXP(-LN(2)/25))/(LN(2)/25)*Calculateur!V177*Calculateur!X177*VLOOKUP('Données projet'!$B$9,Paramètres!$A$1:$I$89,3,0)*0.475*44/12</f>
        <v>0.9039636003653525</v>
      </c>
      <c r="AB177" s="21">
        <f>EXP(-LN(2)/2)*AB176+(1-EXP(-LN(2)/2))/(LN(2)/2)*V177*Y177*VLOOKUP('Données projet'!$B$9,Paramètres!$A$1:$I$89,3,0)*0.475*44/12</f>
        <v>1.7181766242797993E-22</v>
      </c>
      <c r="AC177" s="22">
        <f t="shared" si="163"/>
        <v>22.444636365049671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963.59256833510426</v>
      </c>
      <c r="AN177" s="59">
        <f ca="1">AVERAGE(OFFSET($AM$3,0,0,'Données projet'!$E$10+1,1))-AVERAGE(OFFSET($H$3,0,0,'Données projet'!$E$10+1,1))</f>
        <v>392.48436003609055</v>
      </c>
      <c r="AO177" s="59">
        <f t="shared" si="144"/>
        <v>236.3312446580419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212.42519999999985</v>
      </c>
      <c r="BF177" s="13">
        <f t="shared" si="167"/>
        <v>52.465198231787184</v>
      </c>
      <c r="BG177" s="20">
        <f t="shared" si="168"/>
        <v>461.35077692036231</v>
      </c>
      <c r="BH177" s="59">
        <f t="shared" si="116"/>
        <v>754.68411025369562</v>
      </c>
      <c r="BI177" s="59">
        <f ca="1">AVERAGE(OFFSET($BH$3,0,0,'Données projet'!$E$11+1,1))-AVERAGE(OFFSET($H$3,0,0,'Données projet'!$E$11+1,1))</f>
        <v>225.2323446080772</v>
      </c>
      <c r="BJ177" s="59">
        <f t="shared" si="146"/>
        <v>222.29030402759292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6.7433675056534925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6.7433675056534925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258.24239999999986</v>
      </c>
      <c r="CA177" s="13">
        <f t="shared" si="170"/>
        <v>62.347580891234152</v>
      </c>
      <c r="CB177" s="20">
        <f t="shared" si="171"/>
        <v>558.3608833855659</v>
      </c>
      <c r="CC177" s="59">
        <f t="shared" si="119"/>
        <v>851.69421671889927</v>
      </c>
      <c r="CD177" s="59">
        <f ca="1">AVERAGE(OFFSET($CC$3,0,0,'Données projet'!$E$12+1,1))-AVERAGE(OFFSET($H$3,0,0,'Données projet'!$E$12+1,1))</f>
        <v>281.84871057356037</v>
      </c>
      <c r="CE177" s="59">
        <f t="shared" si="148"/>
        <v>276.02211904126887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6.6510609582213167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6.6510609582213167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853.00000000000011</v>
      </c>
      <c r="O178" s="13">
        <f>N178*VLOOKUP('Données projet'!$B$9,Paramètres!$A$1:$I$89,3,0)*VLOOKUP('Données projet'!$B$9,Paramètres!$A$1:$I$89,5,0)</f>
        <v>399.20400000000006</v>
      </c>
      <c r="P178" s="13">
        <f t="shared" si="141"/>
        <v>91.615269732888521</v>
      </c>
      <c r="Q178" s="20">
        <f t="shared" si="162"/>
        <v>854.8435614514475</v>
      </c>
      <c r="R178" s="59">
        <f t="shared" si="109"/>
        <v>1148.1768947847809</v>
      </c>
      <c r="S178" s="59">
        <f ca="1">AVERAGE(OFFSET($R$3,0,0,'Données projet'!$E$9+1,1))-AVERAGE(OFFSET($H$3,0,0,'Données projet'!$E$9+1,1))</f>
        <v>414.8063171894658</v>
      </c>
      <c r="T178" s="59">
        <f t="shared" si="142"/>
        <v>354.21555670988619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21.118273310281925</v>
      </c>
      <c r="AA178" s="21">
        <f>EXP(-LN(2)/25)*AA177+(1-EXP(-LN(2)/25))/(LN(2)/25)*Calculateur!V178*Calculateur!X178*VLOOKUP('Données projet'!$B$9,Paramètres!$A$1:$I$89,3,0)*0.475*44/12</f>
        <v>0.87924466817598224</v>
      </c>
      <c r="AB178" s="21">
        <f>EXP(-LN(2)/2)*AB177+(1-EXP(-LN(2)/2))/(LN(2)/2)*V178*Y178*VLOOKUP('Données projet'!$B$9,Paramètres!$A$1:$I$89,3,0)*0.475*44/12</f>
        <v>1.2149343423044569E-22</v>
      </c>
      <c r="AC178" s="22">
        <f t="shared" si="163"/>
        <v>21.997517978457907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963.59256833510426</v>
      </c>
      <c r="AN178" s="59">
        <f ca="1">AVERAGE(OFFSET($AM$3,0,0,'Données projet'!$E$10+1,1))-AVERAGE(OFFSET($H$3,0,0,'Données projet'!$E$10+1,1))</f>
        <v>392.48436003609055</v>
      </c>
      <c r="AO178" s="59">
        <f t="shared" si="144"/>
        <v>236.3312446580419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212.42519999999985</v>
      </c>
      <c r="BF178" s="13">
        <f t="shared" si="167"/>
        <v>52.465198231787184</v>
      </c>
      <c r="BG178" s="20">
        <f t="shared" si="168"/>
        <v>461.35077692036231</v>
      </c>
      <c r="BH178" s="59">
        <f t="shared" si="116"/>
        <v>754.68411025369562</v>
      </c>
      <c r="BI178" s="59">
        <f ca="1">AVERAGE(OFFSET($BH$3,0,0,'Données projet'!$E$11+1,1))-AVERAGE(OFFSET($H$3,0,0,'Données projet'!$E$11+1,1))</f>
        <v>225.2323446080772</v>
      </c>
      <c r="BJ178" s="59">
        <f t="shared" si="146"/>
        <v>222.29030402759292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6.6111341819156761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6.6111341819156761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258.24239999999986</v>
      </c>
      <c r="CA178" s="13">
        <f t="shared" si="170"/>
        <v>62.347580891234152</v>
      </c>
      <c r="CB178" s="20">
        <f t="shared" si="171"/>
        <v>558.3608833855659</v>
      </c>
      <c r="CC178" s="59">
        <f t="shared" si="119"/>
        <v>851.69421671889927</v>
      </c>
      <c r="CD178" s="59">
        <f ca="1">AVERAGE(OFFSET($CC$3,0,0,'Données projet'!$E$12+1,1))-AVERAGE(OFFSET($H$3,0,0,'Données projet'!$E$12+1,1))</f>
        <v>281.84871057356037</v>
      </c>
      <c r="CE178" s="59">
        <f t="shared" si="148"/>
        <v>276.02211904126887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6.520637709577211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6.520637709577211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853.00000000000011</v>
      </c>
      <c r="O179" s="13">
        <f>N179*VLOOKUP('Données projet'!$B$9,Paramètres!$A$1:$I$89,3,0)*VLOOKUP('Données projet'!$B$9,Paramètres!$A$1:$I$89,5,0)</f>
        <v>399.20400000000006</v>
      </c>
      <c r="P179" s="13">
        <f t="shared" si="141"/>
        <v>91.615269732888521</v>
      </c>
      <c r="Q179" s="20">
        <f t="shared" si="162"/>
        <v>854.8435614514475</v>
      </c>
      <c r="R179" s="59">
        <f t="shared" si="109"/>
        <v>1148.1768947847809</v>
      </c>
      <c r="S179" s="59">
        <f ca="1">AVERAGE(OFFSET($R$3,0,0,'Données projet'!$E$9+1,1))-AVERAGE(OFFSET($H$3,0,0,'Données projet'!$E$9+1,1))</f>
        <v>414.8063171894658</v>
      </c>
      <c r="T179" s="59">
        <f t="shared" si="142"/>
        <v>354.21555670988619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20.704156851542134</v>
      </c>
      <c r="AA179" s="21">
        <f>EXP(-LN(2)/25)*AA178+(1-EXP(-LN(2)/25))/(LN(2)/25)*Calculateur!V179*Calculateur!X179*VLOOKUP('Données projet'!$B$9,Paramètres!$A$1:$I$89,3,0)*0.475*44/12</f>
        <v>0.85520167648724243</v>
      </c>
      <c r="AB179" s="21">
        <f>EXP(-LN(2)/2)*AB178+(1-EXP(-LN(2)/2))/(LN(2)/2)*V179*Y179*VLOOKUP('Données projet'!$B$9,Paramètres!$A$1:$I$89,3,0)*0.475*44/12</f>
        <v>8.5908831213989963E-23</v>
      </c>
      <c r="AC179" s="22">
        <f t="shared" si="163"/>
        <v>21.559358528029378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963.59256833510426</v>
      </c>
      <c r="AN179" s="59">
        <f ca="1">AVERAGE(OFFSET($AM$3,0,0,'Données projet'!$E$10+1,1))-AVERAGE(OFFSET($H$3,0,0,'Données projet'!$E$10+1,1))</f>
        <v>392.48436003609055</v>
      </c>
      <c r="AO179" s="59">
        <f t="shared" si="144"/>
        <v>236.3312446580419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212.42519999999985</v>
      </c>
      <c r="BF179" s="13">
        <f t="shared" si="167"/>
        <v>52.465198231787184</v>
      </c>
      <c r="BG179" s="20">
        <f t="shared" si="168"/>
        <v>461.35077692036231</v>
      </c>
      <c r="BH179" s="59">
        <f t="shared" si="116"/>
        <v>754.68411025369562</v>
      </c>
      <c r="BI179" s="59">
        <f ca="1">AVERAGE(OFFSET($BH$3,0,0,'Données projet'!$E$11+1,1))-AVERAGE(OFFSET($H$3,0,0,'Données projet'!$E$11+1,1))</f>
        <v>225.2323446080772</v>
      </c>
      <c r="BJ179" s="59">
        <f t="shared" si="146"/>
        <v>222.29030402759292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6.4814938730019946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6.4814938730019946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258.24239999999986</v>
      </c>
      <c r="CA179" s="13">
        <f t="shared" si="170"/>
        <v>62.347580891234152</v>
      </c>
      <c r="CB179" s="20">
        <f t="shared" si="171"/>
        <v>558.3608833855659</v>
      </c>
      <c r="CC179" s="59">
        <f t="shared" si="119"/>
        <v>851.69421671889927</v>
      </c>
      <c r="CD179" s="59">
        <f ca="1">AVERAGE(OFFSET($CC$3,0,0,'Données projet'!$E$12+1,1))-AVERAGE(OFFSET($H$3,0,0,'Données projet'!$E$12+1,1))</f>
        <v>281.84871057356037</v>
      </c>
      <c r="CE179" s="59">
        <f t="shared" si="148"/>
        <v>276.02211904126887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6.3927719812886892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6.3927719812886892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853.00000000000011</v>
      </c>
      <c r="O180" s="13">
        <f>N180*VLOOKUP('Données projet'!$B$9,Paramètres!$A$1:$I$89,3,0)*VLOOKUP('Données projet'!$B$9,Paramètres!$A$1:$I$89,5,0)</f>
        <v>399.20400000000006</v>
      </c>
      <c r="P180" s="13">
        <f t="shared" si="141"/>
        <v>91.615269732888521</v>
      </c>
      <c r="Q180" s="20">
        <f t="shared" si="162"/>
        <v>854.8435614514475</v>
      </c>
      <c r="R180" s="59">
        <f t="shared" si="109"/>
        <v>1148.1768947847809</v>
      </c>
      <c r="S180" s="59">
        <f ca="1">AVERAGE(OFFSET($R$3,0,0,'Données projet'!$E$9+1,1))-AVERAGE(OFFSET($H$3,0,0,'Données projet'!$E$9+1,1))</f>
        <v>414.8063171894658</v>
      </c>
      <c r="T180" s="59">
        <f t="shared" si="142"/>
        <v>354.21555670988619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20.298160963972133</v>
      </c>
      <c r="AA180" s="21">
        <f>EXP(-LN(2)/25)*AA179+(1-EXP(-LN(2)/25))/(LN(2)/25)*Calculateur!V180*Calculateur!X180*VLOOKUP('Données projet'!$B$9,Paramètres!$A$1:$I$89,3,0)*0.475*44/12</f>
        <v>0.83181614167059725</v>
      </c>
      <c r="AB180" s="21">
        <f>EXP(-LN(2)/2)*AB179+(1-EXP(-LN(2)/2))/(LN(2)/2)*V180*Y180*VLOOKUP('Données projet'!$B$9,Paramètres!$A$1:$I$89,3,0)*0.475*44/12</f>
        <v>6.0746717115222843E-23</v>
      </c>
      <c r="AC180" s="22">
        <f t="shared" si="163"/>
        <v>21.12997710564273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963.59256833510426</v>
      </c>
      <c r="AN180" s="59">
        <f ca="1">AVERAGE(OFFSET($AM$3,0,0,'Données projet'!$E$10+1,1))-AVERAGE(OFFSET($H$3,0,0,'Données projet'!$E$10+1,1))</f>
        <v>392.48436003609055</v>
      </c>
      <c r="AO180" s="59">
        <f t="shared" si="144"/>
        <v>236.3312446580419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212.42519999999985</v>
      </c>
      <c r="BF180" s="13">
        <f t="shared" si="167"/>
        <v>52.465198231787184</v>
      </c>
      <c r="BG180" s="20">
        <f t="shared" si="168"/>
        <v>461.35077692036231</v>
      </c>
      <c r="BH180" s="59">
        <f t="shared" si="116"/>
        <v>754.68411025369562</v>
      </c>
      <c r="BI180" s="59">
        <f ca="1">AVERAGE(OFFSET($BH$3,0,0,'Données projet'!$E$11+1,1))-AVERAGE(OFFSET($H$3,0,0,'Données projet'!$E$11+1,1))</f>
        <v>225.2323446080772</v>
      </c>
      <c r="BJ180" s="59">
        <f t="shared" si="146"/>
        <v>222.29030402759292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6.3543957314733301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6.3543957314733301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258.24239999999986</v>
      </c>
      <c r="CA180" s="13">
        <f t="shared" si="170"/>
        <v>62.347580891234152</v>
      </c>
      <c r="CB180" s="20">
        <f t="shared" si="171"/>
        <v>558.3608833855659</v>
      </c>
      <c r="CC180" s="59">
        <f t="shared" si="119"/>
        <v>851.69421671889927</v>
      </c>
      <c r="CD180" s="59">
        <f ca="1">AVERAGE(OFFSET($CC$3,0,0,'Données projet'!$E$12+1,1))-AVERAGE(OFFSET($H$3,0,0,'Données projet'!$E$12+1,1))</f>
        <v>281.84871057356037</v>
      </c>
      <c r="CE180" s="59">
        <f t="shared" si="148"/>
        <v>276.02211904126887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6.267413621941512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6.267413621941512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853.00000000000011</v>
      </c>
      <c r="O181" s="13">
        <f>N181*VLOOKUP('Données projet'!$B$9,Paramètres!$A$1:$I$89,3,0)*VLOOKUP('Données projet'!$B$9,Paramètres!$A$1:$I$89,5,0)</f>
        <v>399.20400000000006</v>
      </c>
      <c r="P181" s="13">
        <f t="shared" si="141"/>
        <v>91.615269732888521</v>
      </c>
      <c r="Q181" s="20">
        <f t="shared" si="162"/>
        <v>854.8435614514475</v>
      </c>
      <c r="R181" s="59">
        <f t="shared" si="109"/>
        <v>1148.1768947847809</v>
      </c>
      <c r="S181" s="59">
        <f ca="1">AVERAGE(OFFSET($R$3,0,0,'Données projet'!$E$9+1,1))-AVERAGE(OFFSET($H$3,0,0,'Données projet'!$E$9+1,1))</f>
        <v>414.8063171894658</v>
      </c>
      <c r="T181" s="59">
        <f t="shared" si="142"/>
        <v>354.21555670988619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19.90012640812434</v>
      </c>
      <c r="AA181" s="21">
        <f>EXP(-LN(2)/25)*AA180+(1-EXP(-LN(2)/25))/(LN(2)/25)*Calculateur!V181*Calculateur!X181*VLOOKUP('Données projet'!$B$9,Paramètres!$A$1:$I$89,3,0)*0.475*44/12</f>
        <v>0.80907008553330506</v>
      </c>
      <c r="AB181" s="21">
        <f>EXP(-LN(2)/2)*AB180+(1-EXP(-LN(2)/2))/(LN(2)/2)*V181*Y181*VLOOKUP('Données projet'!$B$9,Paramètres!$A$1:$I$89,3,0)*0.475*44/12</f>
        <v>4.2954415606994982E-23</v>
      </c>
      <c r="AC181" s="22">
        <f t="shared" si="163"/>
        <v>20.709196493657643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963.59256833510426</v>
      </c>
      <c r="AN181" s="59">
        <f ca="1">AVERAGE(OFFSET($AM$3,0,0,'Données projet'!$E$10+1,1))-AVERAGE(OFFSET($H$3,0,0,'Données projet'!$E$10+1,1))</f>
        <v>392.48436003609055</v>
      </c>
      <c r="AO181" s="59">
        <f t="shared" si="144"/>
        <v>236.3312446580419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212.42519999999985</v>
      </c>
      <c r="BF181" s="13">
        <f t="shared" si="167"/>
        <v>52.465198231787184</v>
      </c>
      <c r="BG181" s="20">
        <f t="shared" si="168"/>
        <v>461.35077692036231</v>
      </c>
      <c r="BH181" s="59">
        <f t="shared" si="116"/>
        <v>754.68411025369562</v>
      </c>
      <c r="BI181" s="59">
        <f ca="1">AVERAGE(OFFSET($BH$3,0,0,'Données projet'!$E$11+1,1))-AVERAGE(OFFSET($H$3,0,0,'Données projet'!$E$11+1,1))</f>
        <v>225.2323446080772</v>
      </c>
      <c r="BJ181" s="59">
        <f t="shared" si="146"/>
        <v>222.29030402759292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6.2297899069778309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6.2297899069778309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258.24239999999986</v>
      </c>
      <c r="CA181" s="13">
        <f t="shared" si="170"/>
        <v>62.347580891234152</v>
      </c>
      <c r="CB181" s="20">
        <f t="shared" si="171"/>
        <v>558.3608833855659</v>
      </c>
      <c r="CC181" s="59">
        <f t="shared" si="119"/>
        <v>851.69421671889927</v>
      </c>
      <c r="CD181" s="59">
        <f ca="1">AVERAGE(OFFSET($CC$3,0,0,'Données projet'!$E$12+1,1))-AVERAGE(OFFSET($H$3,0,0,'Données projet'!$E$12+1,1))</f>
        <v>281.84871057356037</v>
      </c>
      <c r="CE181" s="59">
        <f t="shared" si="148"/>
        <v>276.02211904126887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6.1445134635600835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6.1445134635600835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853.00000000000011</v>
      </c>
      <c r="O182" s="13">
        <f>N182*VLOOKUP('Données projet'!$B$9,Paramètres!$A$1:$I$89,3,0)*VLOOKUP('Données projet'!$B$9,Paramètres!$A$1:$I$89,5,0)</f>
        <v>399.20400000000006</v>
      </c>
      <c r="P182" s="13">
        <f t="shared" si="141"/>
        <v>91.615269732888521</v>
      </c>
      <c r="Q182" s="20">
        <f t="shared" si="162"/>
        <v>854.8435614514475</v>
      </c>
      <c r="R182" s="59">
        <f t="shared" si="109"/>
        <v>1148.1768947847809</v>
      </c>
      <c r="S182" s="59">
        <f ca="1">AVERAGE(OFFSET($R$3,0,0,'Données projet'!$E$9+1,1))-AVERAGE(OFFSET($H$3,0,0,'Données projet'!$E$9+1,1))</f>
        <v>414.8063171894658</v>
      </c>
      <c r="T182" s="59">
        <f t="shared" si="142"/>
        <v>354.21555670988619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19.509897067139615</v>
      </c>
      <c r="AA182" s="21">
        <f>EXP(-LN(2)/25)*AA181+(1-EXP(-LN(2)/25))/(LN(2)/25)*Calculateur!V182*Calculateur!X182*VLOOKUP('Données projet'!$B$9,Paramètres!$A$1:$I$89,3,0)*0.475*44/12</f>
        <v>0.78694602149725024</v>
      </c>
      <c r="AB182" s="21">
        <f>EXP(-LN(2)/2)*AB181+(1-EXP(-LN(2)/2))/(LN(2)/2)*V182*Y182*VLOOKUP('Données projet'!$B$9,Paramètres!$A$1:$I$89,3,0)*0.475*44/12</f>
        <v>3.0373358557611422E-23</v>
      </c>
      <c r="AC182" s="22">
        <f t="shared" si="163"/>
        <v>20.296843088636866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963.59256833510426</v>
      </c>
      <c r="AN182" s="59">
        <f ca="1">AVERAGE(OFFSET($AM$3,0,0,'Données projet'!$E$10+1,1))-AVERAGE(OFFSET($H$3,0,0,'Données projet'!$E$10+1,1))</f>
        <v>392.48436003609055</v>
      </c>
      <c r="AO182" s="59">
        <f t="shared" si="144"/>
        <v>236.3312446580419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212.42519999999985</v>
      </c>
      <c r="BF182" s="13">
        <f t="shared" si="167"/>
        <v>52.465198231787184</v>
      </c>
      <c r="BG182" s="20">
        <f t="shared" si="168"/>
        <v>461.35077692036231</v>
      </c>
      <c r="BH182" s="59">
        <f t="shared" si="116"/>
        <v>754.68411025369562</v>
      </c>
      <c r="BI182" s="59">
        <f ca="1">AVERAGE(OFFSET($BH$3,0,0,'Données projet'!$E$11+1,1))-AVERAGE(OFFSET($H$3,0,0,'Données projet'!$E$11+1,1))</f>
        <v>225.2323446080772</v>
      </c>
      <c r="BJ182" s="59">
        <f t="shared" si="146"/>
        <v>222.29030402759292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6.1076275266986402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6.1076275266986402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258.24239999999986</v>
      </c>
      <c r="CA182" s="13">
        <f t="shared" si="170"/>
        <v>62.347580891234152</v>
      </c>
      <c r="CB182" s="20">
        <f t="shared" si="171"/>
        <v>558.3608833855659</v>
      </c>
      <c r="CC182" s="59">
        <f t="shared" si="119"/>
        <v>851.69421671889927</v>
      </c>
      <c r="CD182" s="59">
        <f ca="1">AVERAGE(OFFSET($CC$3,0,0,'Données projet'!$E$12+1,1))-AVERAGE(OFFSET($H$3,0,0,'Données projet'!$E$12+1,1))</f>
        <v>281.84871057356037</v>
      </c>
      <c r="CE182" s="59">
        <f t="shared" si="148"/>
        <v>276.02211904126887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6.0240233023228198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6.0240233023228198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853.00000000000011</v>
      </c>
      <c r="O183" s="13">
        <f>N183*VLOOKUP('Données projet'!$B$9,Paramètres!$A$1:$I$89,3,0)*VLOOKUP('Données projet'!$B$9,Paramètres!$A$1:$I$89,5,0)</f>
        <v>399.20400000000006</v>
      </c>
      <c r="P183" s="13">
        <f t="shared" si="141"/>
        <v>91.615269732888521</v>
      </c>
      <c r="Q183" s="20">
        <f t="shared" si="162"/>
        <v>854.8435614514475</v>
      </c>
      <c r="R183" s="59">
        <f t="shared" si="109"/>
        <v>1148.1768947847809</v>
      </c>
      <c r="S183" s="59">
        <f ca="1">AVERAGE(OFFSET($R$3,0,0,'Données projet'!$E$9+1,1))-AVERAGE(OFFSET($H$3,0,0,'Données projet'!$E$9+1,1))</f>
        <v>414.8063171894658</v>
      </c>
      <c r="T183" s="59">
        <f t="shared" si="142"/>
        <v>354.21555670988619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19.127319885515206</v>
      </c>
      <c r="AA183" s="21">
        <f>EXP(-LN(2)/25)*AA182+(1-EXP(-LN(2)/25))/(LN(2)/25)*Calculateur!V183*Calculateur!X183*VLOOKUP('Données projet'!$B$9,Paramètres!$A$1:$I$89,3,0)*0.475*44/12</f>
        <v>0.7654269411557153</v>
      </c>
      <c r="AB183" s="21">
        <f>EXP(-LN(2)/2)*AB182+(1-EXP(-LN(2)/2))/(LN(2)/2)*V183*Y183*VLOOKUP('Données projet'!$B$9,Paramètres!$A$1:$I$89,3,0)*0.475*44/12</f>
        <v>2.1477207803497491E-23</v>
      </c>
      <c r="AC183" s="22">
        <f t="shared" si="163"/>
        <v>19.892746826670923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963.59256833510426</v>
      </c>
      <c r="AN183" s="59">
        <f ca="1">AVERAGE(OFFSET($AM$3,0,0,'Données projet'!$E$10+1,1))-AVERAGE(OFFSET($H$3,0,0,'Données projet'!$E$10+1,1))</f>
        <v>392.48436003609055</v>
      </c>
      <c r="AO183" s="59">
        <f t="shared" si="144"/>
        <v>236.3312446580419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212.42519999999985</v>
      </c>
      <c r="BF183" s="13">
        <f t="shared" si="167"/>
        <v>52.465198231787184</v>
      </c>
      <c r="BG183" s="20">
        <f t="shared" si="168"/>
        <v>461.35077692036231</v>
      </c>
      <c r="BH183" s="59">
        <f t="shared" si="116"/>
        <v>754.68411025369562</v>
      </c>
      <c r="BI183" s="59">
        <f ca="1">AVERAGE(OFFSET($BH$3,0,0,'Données projet'!$E$11+1,1))-AVERAGE(OFFSET($H$3,0,0,'Données projet'!$E$11+1,1))</f>
        <v>225.2323446080772</v>
      </c>
      <c r="BJ183" s="59">
        <f t="shared" si="146"/>
        <v>222.29030402759292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5.9878606761850302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5.9878606761850302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258.24239999999986</v>
      </c>
      <c r="CA183" s="13">
        <f t="shared" si="170"/>
        <v>62.347580891234152</v>
      </c>
      <c r="CB183" s="20">
        <f t="shared" si="171"/>
        <v>558.3608833855659</v>
      </c>
      <c r="CC183" s="59">
        <f t="shared" si="119"/>
        <v>851.69421671889927</v>
      </c>
      <c r="CD183" s="59">
        <f ca="1">AVERAGE(OFFSET($CC$3,0,0,'Données projet'!$E$12+1,1))-AVERAGE(OFFSET($H$3,0,0,'Données projet'!$E$12+1,1))</f>
        <v>281.84871057356037</v>
      </c>
      <c r="CE183" s="59">
        <f t="shared" si="148"/>
        <v>276.02211904126887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5.9058958796556773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5.9058958796556773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853.00000000000011</v>
      </c>
      <c r="O184" s="13">
        <f>N184*VLOOKUP('Données projet'!$B$9,Paramètres!$A$1:$I$89,3,0)*VLOOKUP('Données projet'!$B$9,Paramètres!$A$1:$I$89,5,0)</f>
        <v>399.20400000000006</v>
      </c>
      <c r="P184" s="13">
        <f t="shared" si="141"/>
        <v>91.615269732888521</v>
      </c>
      <c r="Q184" s="20">
        <f t="shared" si="162"/>
        <v>854.8435614514475</v>
      </c>
      <c r="R184" s="59">
        <f t="shared" si="109"/>
        <v>1148.1768947847809</v>
      </c>
      <c r="S184" s="59">
        <f ca="1">AVERAGE(OFFSET($R$3,0,0,'Données projet'!$E$9+1,1))-AVERAGE(OFFSET($H$3,0,0,'Données projet'!$E$9+1,1))</f>
        <v>414.8063171894658</v>
      </c>
      <c r="T184" s="59">
        <f t="shared" si="142"/>
        <v>354.21555670988619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18.75224480907341</v>
      </c>
      <c r="AA184" s="21">
        <f>EXP(-LN(2)/25)*AA183+(1-EXP(-LN(2)/25))/(LN(2)/25)*Calculateur!V184*Calculateur!X184*VLOOKUP('Données projet'!$B$9,Paramètres!$A$1:$I$89,3,0)*0.475*44/12</f>
        <v>0.74449630119775889</v>
      </c>
      <c r="AB184" s="21">
        <f>EXP(-LN(2)/2)*AB183+(1-EXP(-LN(2)/2))/(LN(2)/2)*V184*Y184*VLOOKUP('Données projet'!$B$9,Paramètres!$A$1:$I$89,3,0)*0.475*44/12</f>
        <v>1.5186679278805711E-23</v>
      </c>
      <c r="AC184" s="22">
        <f t="shared" si="163"/>
        <v>19.49674111027117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963.59256833510426</v>
      </c>
      <c r="AN184" s="59">
        <f ca="1">AVERAGE(OFFSET($AM$3,0,0,'Données projet'!$E$10+1,1))-AVERAGE(OFFSET($H$3,0,0,'Données projet'!$E$10+1,1))</f>
        <v>392.48436003609055</v>
      </c>
      <c r="AO184" s="59">
        <f t="shared" si="144"/>
        <v>236.3312446580419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212.42519999999985</v>
      </c>
      <c r="BF184" s="13">
        <f t="shared" si="167"/>
        <v>52.465198231787184</v>
      </c>
      <c r="BG184" s="20">
        <f t="shared" si="168"/>
        <v>461.35077692036231</v>
      </c>
      <c r="BH184" s="59">
        <f t="shared" si="116"/>
        <v>754.68411025369562</v>
      </c>
      <c r="BI184" s="59">
        <f ca="1">AVERAGE(OFFSET($BH$3,0,0,'Données projet'!$E$11+1,1))-AVERAGE(OFFSET($H$3,0,0,'Données projet'!$E$11+1,1))</f>
        <v>225.2323446080772</v>
      </c>
      <c r="BJ184" s="59">
        <f t="shared" si="146"/>
        <v>222.29030402759292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5.8704423805594264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5.8704423805594264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258.24239999999986</v>
      </c>
      <c r="CA184" s="13">
        <f t="shared" si="170"/>
        <v>62.347580891234152</v>
      </c>
      <c r="CB184" s="20">
        <f t="shared" si="171"/>
        <v>558.3608833855659</v>
      </c>
      <c r="CC184" s="59">
        <f t="shared" si="119"/>
        <v>851.69421671889927</v>
      </c>
      <c r="CD184" s="59">
        <f ca="1">AVERAGE(OFFSET($CC$3,0,0,'Données projet'!$E$12+1,1))-AVERAGE(OFFSET($H$3,0,0,'Données projet'!$E$12+1,1))</f>
        <v>281.84871057356037</v>
      </c>
      <c r="CE184" s="59">
        <f t="shared" si="148"/>
        <v>276.02211904126887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5.7900848636964239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5.7900848636964239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853.00000000000011</v>
      </c>
      <c r="O185" s="13">
        <f>N185*VLOOKUP('Données projet'!$B$9,Paramètres!$A$1:$I$89,3,0)*VLOOKUP('Données projet'!$B$9,Paramètres!$A$1:$I$89,5,0)</f>
        <v>399.20400000000006</v>
      </c>
      <c r="P185" s="13">
        <f t="shared" si="141"/>
        <v>91.615269732888521</v>
      </c>
      <c r="Q185" s="20">
        <f t="shared" si="162"/>
        <v>854.8435614514475</v>
      </c>
      <c r="R185" s="59">
        <f t="shared" si="109"/>
        <v>1148.1768947847809</v>
      </c>
      <c r="S185" s="59">
        <f ca="1">AVERAGE(OFFSET($R$3,0,0,'Données projet'!$E$9+1,1))-AVERAGE(OFFSET($H$3,0,0,'Données projet'!$E$9+1,1))</f>
        <v>414.8063171894658</v>
      </c>
      <c r="T185" s="59">
        <f t="shared" si="142"/>
        <v>354.21555670988619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18.384524726107433</v>
      </c>
      <c r="AA185" s="21">
        <f>EXP(-LN(2)/25)*AA184+(1-EXP(-LN(2)/25))/(LN(2)/25)*Calculateur!V185*Calculateur!X185*VLOOKUP('Données projet'!$B$9,Paramètres!$A$1:$I$89,3,0)*0.475*44/12</f>
        <v>0.72413801069014727</v>
      </c>
      <c r="AB185" s="21">
        <f>EXP(-LN(2)/2)*AB184+(1-EXP(-LN(2)/2))/(LN(2)/2)*V185*Y185*VLOOKUP('Données projet'!$B$9,Paramètres!$A$1:$I$89,3,0)*0.475*44/12</f>
        <v>1.0738603901748745E-23</v>
      </c>
      <c r="AC185" s="22">
        <f t="shared" si="163"/>
        <v>19.10866273679758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963.59256833510426</v>
      </c>
      <c r="AN185" s="59">
        <f ca="1">AVERAGE(OFFSET($AM$3,0,0,'Données projet'!$E$10+1,1))-AVERAGE(OFFSET($H$3,0,0,'Données projet'!$E$10+1,1))</f>
        <v>392.48436003609055</v>
      </c>
      <c r="AO185" s="59">
        <f t="shared" si="144"/>
        <v>236.3312446580419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212.42519999999985</v>
      </c>
      <c r="BF185" s="13">
        <f t="shared" si="167"/>
        <v>52.465198231787184</v>
      </c>
      <c r="BG185" s="20">
        <f t="shared" si="168"/>
        <v>461.35077692036231</v>
      </c>
      <c r="BH185" s="59">
        <f t="shared" si="116"/>
        <v>754.68411025369562</v>
      </c>
      <c r="BI185" s="59">
        <f ca="1">AVERAGE(OFFSET($BH$3,0,0,'Données projet'!$E$11+1,1))-AVERAGE(OFFSET($H$3,0,0,'Données projet'!$E$11+1,1))</f>
        <v>225.2323446080772</v>
      </c>
      <c r="BJ185" s="59">
        <f t="shared" si="146"/>
        <v>222.29030402759292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5.7553265860929512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5.7553265860929512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258.24239999999986</v>
      </c>
      <c r="CA185" s="13">
        <f t="shared" si="170"/>
        <v>62.347580891234152</v>
      </c>
      <c r="CB185" s="20">
        <f t="shared" si="171"/>
        <v>558.3608833855659</v>
      </c>
      <c r="CC185" s="59">
        <f t="shared" si="119"/>
        <v>851.69421671889927</v>
      </c>
      <c r="CD185" s="59">
        <f ca="1">AVERAGE(OFFSET($CC$3,0,0,'Données projet'!$E$12+1,1))-AVERAGE(OFFSET($H$3,0,0,'Données projet'!$E$12+1,1))</f>
        <v>281.84871057356037</v>
      </c>
      <c r="CE185" s="59">
        <f t="shared" si="148"/>
        <v>276.02211904126887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5.6765448311223867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5.6765448311223867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853.00000000000011</v>
      </c>
      <c r="O186" s="13">
        <f>N186*VLOOKUP('Données projet'!$B$9,Paramètres!$A$1:$I$89,3,0)*VLOOKUP('Données projet'!$B$9,Paramètres!$A$1:$I$89,5,0)</f>
        <v>399.20400000000006</v>
      </c>
      <c r="P186" s="13">
        <f t="shared" si="141"/>
        <v>91.615269732888521</v>
      </c>
      <c r="Q186" s="20">
        <f t="shared" si="162"/>
        <v>854.8435614514475</v>
      </c>
      <c r="R186" s="59">
        <f t="shared" si="109"/>
        <v>1148.1768947847809</v>
      </c>
      <c r="S186" s="59">
        <f ca="1">AVERAGE(OFFSET($R$3,0,0,'Données projet'!$E$9+1,1))-AVERAGE(OFFSET($H$3,0,0,'Données projet'!$E$9+1,1))</f>
        <v>414.8063171894658</v>
      </c>
      <c r="T186" s="59">
        <f t="shared" si="142"/>
        <v>354.21555670988619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18.024015409681311</v>
      </c>
      <c r="AA186" s="21">
        <f>EXP(-LN(2)/25)*AA185+(1-EXP(-LN(2)/25))/(LN(2)/25)*Calculateur!V186*Calculateur!X186*VLOOKUP('Données projet'!$B$9,Paramètres!$A$1:$I$89,3,0)*0.475*44/12</f>
        <v>0.70433641870706221</v>
      </c>
      <c r="AB186" s="21">
        <f>EXP(-LN(2)/2)*AB185+(1-EXP(-LN(2)/2))/(LN(2)/2)*V186*Y186*VLOOKUP('Données projet'!$B$9,Paramètres!$A$1:$I$89,3,0)*0.475*44/12</f>
        <v>7.5933396394028554E-24</v>
      </c>
      <c r="AC186" s="22">
        <f t="shared" si="163"/>
        <v>18.728351828388373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963.59256833510426</v>
      </c>
      <c r="AN186" s="59">
        <f ca="1">AVERAGE(OFFSET($AM$3,0,0,'Données projet'!$E$10+1,1))-AVERAGE(OFFSET($H$3,0,0,'Données projet'!$E$10+1,1))</f>
        <v>392.48436003609055</v>
      </c>
      <c r="AO186" s="59">
        <f t="shared" si="144"/>
        <v>236.3312446580419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212.42519999999985</v>
      </c>
      <c r="BF186" s="13">
        <f t="shared" si="167"/>
        <v>52.465198231787184</v>
      </c>
      <c r="BG186" s="20">
        <f t="shared" si="168"/>
        <v>461.35077692036231</v>
      </c>
      <c r="BH186" s="59">
        <f t="shared" si="116"/>
        <v>754.68411025369562</v>
      </c>
      <c r="BI186" s="59">
        <f ca="1">AVERAGE(OFFSET($BH$3,0,0,'Données projet'!$E$11+1,1))-AVERAGE(OFFSET($H$3,0,0,'Données projet'!$E$11+1,1))</f>
        <v>225.2323446080772</v>
      </c>
      <c r="BJ186" s="59">
        <f t="shared" si="146"/>
        <v>222.29030402759292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5.6424681421422624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5.6424681421422624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258.24239999999986</v>
      </c>
      <c r="CA186" s="13">
        <f t="shared" si="170"/>
        <v>62.347580891234152</v>
      </c>
      <c r="CB186" s="20">
        <f t="shared" si="171"/>
        <v>558.3608833855659</v>
      </c>
      <c r="CC186" s="59">
        <f t="shared" si="119"/>
        <v>851.69421671889927</v>
      </c>
      <c r="CD186" s="59">
        <f ca="1">AVERAGE(OFFSET($CC$3,0,0,'Données projet'!$E$12+1,1))-AVERAGE(OFFSET($H$3,0,0,'Données projet'!$E$12+1,1))</f>
        <v>281.84871057356037</v>
      </c>
      <c r="CE186" s="59">
        <f t="shared" si="148"/>
        <v>276.02211904126887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5.5652312493345448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5.5652312493345448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853.00000000000011</v>
      </c>
      <c r="O187" s="13">
        <f>N187*VLOOKUP('Données projet'!$B$9,Paramètres!$A$1:$I$89,3,0)*VLOOKUP('Données projet'!$B$9,Paramètres!$A$1:$I$89,5,0)</f>
        <v>399.20400000000006</v>
      </c>
      <c r="P187" s="13">
        <f t="shared" si="141"/>
        <v>91.615269732888521</v>
      </c>
      <c r="Q187" s="20">
        <f t="shared" si="162"/>
        <v>854.8435614514475</v>
      </c>
      <c r="R187" s="59">
        <f t="shared" si="109"/>
        <v>1148.1768947847809</v>
      </c>
      <c r="S187" s="59">
        <f ca="1">AVERAGE(OFFSET($R$3,0,0,'Données projet'!$E$9+1,1))-AVERAGE(OFFSET($H$3,0,0,'Données projet'!$E$9+1,1))</f>
        <v>414.8063171894658</v>
      </c>
      <c r="T187" s="59">
        <f t="shared" si="142"/>
        <v>354.21555670988619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17.670575461061336</v>
      </c>
      <c r="AA187" s="21">
        <f>EXP(-LN(2)/25)*AA186+(1-EXP(-LN(2)/25))/(LN(2)/25)*Calculateur!V187*Calculateur!X187*VLOOKUP('Données projet'!$B$9,Paramètres!$A$1:$I$89,3,0)*0.475*44/12</f>
        <v>0.68507630229807515</v>
      </c>
      <c r="AB187" s="21">
        <f>EXP(-LN(2)/2)*AB186+(1-EXP(-LN(2)/2))/(LN(2)/2)*V187*Y187*VLOOKUP('Données projet'!$B$9,Paramètres!$A$1:$I$89,3,0)*0.475*44/12</f>
        <v>5.3693019508743727E-24</v>
      </c>
      <c r="AC187" s="22">
        <f t="shared" si="163"/>
        <v>18.355651763359411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963.59256833510426</v>
      </c>
      <c r="AN187" s="59">
        <f ca="1">AVERAGE(OFFSET($AM$3,0,0,'Données projet'!$E$10+1,1))-AVERAGE(OFFSET($H$3,0,0,'Données projet'!$E$10+1,1))</f>
        <v>392.48436003609055</v>
      </c>
      <c r="AO187" s="59">
        <f t="shared" si="144"/>
        <v>236.3312446580419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212.42519999999985</v>
      </c>
      <c r="BF187" s="13">
        <f t="shared" si="167"/>
        <v>52.465198231787184</v>
      </c>
      <c r="BG187" s="20">
        <f t="shared" si="168"/>
        <v>461.35077692036231</v>
      </c>
      <c r="BH187" s="59">
        <f t="shared" si="116"/>
        <v>754.68411025369562</v>
      </c>
      <c r="BI187" s="59">
        <f ca="1">AVERAGE(OFFSET($BH$3,0,0,'Données projet'!$E$11+1,1))-AVERAGE(OFFSET($H$3,0,0,'Données projet'!$E$11+1,1))</f>
        <v>225.2323446080772</v>
      </c>
      <c r="BJ187" s="59">
        <f t="shared" si="146"/>
        <v>222.29030402759292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5.5318227834405933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5.5318227834405933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258.24239999999986</v>
      </c>
      <c r="CA187" s="13">
        <f t="shared" si="170"/>
        <v>62.347580891234152</v>
      </c>
      <c r="CB187" s="20">
        <f t="shared" si="171"/>
        <v>558.3608833855659</v>
      </c>
      <c r="CC187" s="59">
        <f t="shared" si="119"/>
        <v>851.69421671889927</v>
      </c>
      <c r="CD187" s="59">
        <f ca="1">AVERAGE(OFFSET($CC$3,0,0,'Données projet'!$E$12+1,1))-AVERAGE(OFFSET($H$3,0,0,'Données projet'!$E$12+1,1))</f>
        <v>281.84871057356037</v>
      </c>
      <c r="CE187" s="59">
        <f t="shared" si="148"/>
        <v>276.02211904126887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5.4561004589909814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5.4561004589909814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853.00000000000011</v>
      </c>
      <c r="O188" s="13">
        <f>N188*VLOOKUP('Données projet'!$B$9,Paramètres!$A$1:$I$89,3,0)*VLOOKUP('Données projet'!$B$9,Paramètres!$A$1:$I$89,5,0)</f>
        <v>399.20400000000006</v>
      </c>
      <c r="P188" s="13">
        <f t="shared" si="141"/>
        <v>91.615269732888521</v>
      </c>
      <c r="Q188" s="20">
        <f t="shared" si="162"/>
        <v>854.8435614514475</v>
      </c>
      <c r="R188" s="59">
        <f t="shared" si="109"/>
        <v>1148.1768947847809</v>
      </c>
      <c r="S188" s="59">
        <f ca="1">AVERAGE(OFFSET($R$3,0,0,'Données projet'!$E$9+1,1))-AVERAGE(OFFSET($H$3,0,0,'Données projet'!$E$9+1,1))</f>
        <v>414.8063171894658</v>
      </c>
      <c r="T188" s="59">
        <f t="shared" si="142"/>
        <v>354.21555670988619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17.324066254256717</v>
      </c>
      <c r="AA188" s="21">
        <f>EXP(-LN(2)/25)*AA187+(1-EXP(-LN(2)/25))/(LN(2)/25)*Calculateur!V188*Calculateur!X188*VLOOKUP('Données projet'!$B$9,Paramètres!$A$1:$I$89,3,0)*0.475*44/12</f>
        <v>0.66634285478513733</v>
      </c>
      <c r="AB188" s="21">
        <f>EXP(-LN(2)/2)*AB187+(1-EXP(-LN(2)/2))/(LN(2)/2)*V188*Y188*VLOOKUP('Données projet'!$B$9,Paramètres!$A$1:$I$89,3,0)*0.475*44/12</f>
        <v>3.7966698197014277E-24</v>
      </c>
      <c r="AC188" s="22">
        <f t="shared" si="163"/>
        <v>17.990409109041856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963.59256833510426</v>
      </c>
      <c r="AN188" s="59">
        <f ca="1">AVERAGE(OFFSET($AM$3,0,0,'Données projet'!$E$10+1,1))-AVERAGE(OFFSET($H$3,0,0,'Données projet'!$E$10+1,1))</f>
        <v>392.48436003609055</v>
      </c>
      <c r="AO188" s="59">
        <f t="shared" si="144"/>
        <v>236.3312446580419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212.42519999999985</v>
      </c>
      <c r="BF188" s="13">
        <f t="shared" si="167"/>
        <v>52.465198231787184</v>
      </c>
      <c r="BG188" s="20">
        <f t="shared" si="168"/>
        <v>461.35077692036231</v>
      </c>
      <c r="BH188" s="59">
        <f t="shared" si="116"/>
        <v>754.68411025369562</v>
      </c>
      <c r="BI188" s="59">
        <f ca="1">AVERAGE(OFFSET($BH$3,0,0,'Données projet'!$E$11+1,1))-AVERAGE(OFFSET($H$3,0,0,'Données projet'!$E$11+1,1))</f>
        <v>225.2323446080772</v>
      </c>
      <c r="BJ188" s="59">
        <f t="shared" si="146"/>
        <v>222.29030402759292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5.4233471127360584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5.4233471127360584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258.24239999999986</v>
      </c>
      <c r="CA188" s="13">
        <f t="shared" si="170"/>
        <v>62.347580891234152</v>
      </c>
      <c r="CB188" s="20">
        <f t="shared" si="171"/>
        <v>558.3608833855659</v>
      </c>
      <c r="CC188" s="59">
        <f t="shared" si="119"/>
        <v>851.69421671889927</v>
      </c>
      <c r="CD188" s="59">
        <f ca="1">AVERAGE(OFFSET($CC$3,0,0,'Données projet'!$E$12+1,1))-AVERAGE(OFFSET($H$3,0,0,'Données projet'!$E$12+1,1))</f>
        <v>281.84871057356037</v>
      </c>
      <c r="CE188" s="59">
        <f t="shared" si="148"/>
        <v>276.02211904126887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5.3491096568828462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5.3491096568828462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853.00000000000011</v>
      </c>
      <c r="O189" s="13">
        <f>N189*VLOOKUP('Données projet'!$B$9,Paramètres!$A$1:$I$89,3,0)*VLOOKUP('Données projet'!$B$9,Paramètres!$A$1:$I$89,5,0)</f>
        <v>399.20400000000006</v>
      </c>
      <c r="P189" s="13">
        <f t="shared" si="141"/>
        <v>91.615269732888521</v>
      </c>
      <c r="Q189" s="20">
        <f t="shared" si="162"/>
        <v>854.8435614514475</v>
      </c>
      <c r="R189" s="59">
        <f t="shared" si="109"/>
        <v>1148.1768947847809</v>
      </c>
      <c r="S189" s="59">
        <f ca="1">AVERAGE(OFFSET($R$3,0,0,'Données projet'!$E$9+1,1))-AVERAGE(OFFSET($H$3,0,0,'Données projet'!$E$9+1,1))</f>
        <v>414.8063171894658</v>
      </c>
      <c r="T189" s="59">
        <f t="shared" si="142"/>
        <v>354.21555670988619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16.98435188164779</v>
      </c>
      <c r="AA189" s="21">
        <f>EXP(-LN(2)/25)*AA188+(1-EXP(-LN(2)/25))/(LN(2)/25)*Calculateur!V189*Calculateur!X189*VLOOKUP('Données projet'!$B$9,Paramètres!$A$1:$I$89,3,0)*0.475*44/12</f>
        <v>0.64812167437959001</v>
      </c>
      <c r="AB189" s="21">
        <f>EXP(-LN(2)/2)*AB188+(1-EXP(-LN(2)/2))/(LN(2)/2)*V189*Y189*VLOOKUP('Données projet'!$B$9,Paramètres!$A$1:$I$89,3,0)*0.475*44/12</f>
        <v>2.6846509754371864E-24</v>
      </c>
      <c r="AC189" s="22">
        <f t="shared" si="163"/>
        <v>17.632473556027378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963.59256833510426</v>
      </c>
      <c r="AN189" s="59">
        <f ca="1">AVERAGE(OFFSET($AM$3,0,0,'Données projet'!$E$10+1,1))-AVERAGE(OFFSET($H$3,0,0,'Données projet'!$E$10+1,1))</f>
        <v>392.48436003609055</v>
      </c>
      <c r="AO189" s="59">
        <f t="shared" si="144"/>
        <v>236.3312446580419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212.42519999999985</v>
      </c>
      <c r="BF189" s="13">
        <f t="shared" si="167"/>
        <v>52.465198231787184</v>
      </c>
      <c r="BG189" s="20">
        <f t="shared" si="168"/>
        <v>461.35077692036231</v>
      </c>
      <c r="BH189" s="59">
        <f t="shared" si="116"/>
        <v>754.68411025369562</v>
      </c>
      <c r="BI189" s="59">
        <f ca="1">AVERAGE(OFFSET($BH$3,0,0,'Données projet'!$E$11+1,1))-AVERAGE(OFFSET($H$3,0,0,'Données projet'!$E$11+1,1))</f>
        <v>225.2323446080772</v>
      </c>
      <c r="BJ189" s="59">
        <f t="shared" si="146"/>
        <v>222.29030402759292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5.3169985837704132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5.3169985837704132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258.24239999999986</v>
      </c>
      <c r="CA189" s="13">
        <f t="shared" si="170"/>
        <v>62.347580891234152</v>
      </c>
      <c r="CB189" s="20">
        <f t="shared" si="171"/>
        <v>558.3608833855659</v>
      </c>
      <c r="CC189" s="59">
        <f t="shared" si="119"/>
        <v>851.69421671889927</v>
      </c>
      <c r="CD189" s="59">
        <f ca="1">AVERAGE(OFFSET($CC$3,0,0,'Données projet'!$E$12+1,1))-AVERAGE(OFFSET($H$3,0,0,'Données projet'!$E$12+1,1))</f>
        <v>281.84871057356037</v>
      </c>
      <c r="CE189" s="59">
        <f t="shared" si="148"/>
        <v>276.02211904126887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5.2442168791461059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5.2442168791461059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853.00000000000011</v>
      </c>
      <c r="O190" s="13">
        <f>N190*VLOOKUP('Données projet'!$B$9,Paramètres!$A$1:$I$89,3,0)*VLOOKUP('Données projet'!$B$9,Paramètres!$A$1:$I$89,5,0)</f>
        <v>399.20400000000006</v>
      </c>
      <c r="P190" s="13">
        <f t="shared" si="141"/>
        <v>91.615269732888521</v>
      </c>
      <c r="Q190" s="20">
        <f t="shared" si="162"/>
        <v>854.8435614514475</v>
      </c>
      <c r="R190" s="59">
        <f t="shared" si="109"/>
        <v>1148.1768947847809</v>
      </c>
      <c r="S190" s="59">
        <f ca="1">AVERAGE(OFFSET($R$3,0,0,'Données projet'!$E$9+1,1))-AVERAGE(OFFSET($H$3,0,0,'Données projet'!$E$9+1,1))</f>
        <v>414.8063171894658</v>
      </c>
      <c r="T190" s="59">
        <f t="shared" si="142"/>
        <v>354.21555670988619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16.651299100680415</v>
      </c>
      <c r="AA190" s="21">
        <f>EXP(-LN(2)/25)*AA189+(1-EXP(-LN(2)/25))/(LN(2)/25)*Calculateur!V190*Calculateur!X190*VLOOKUP('Données projet'!$B$9,Paramètres!$A$1:$I$89,3,0)*0.475*44/12</f>
        <v>0.63039875311044258</v>
      </c>
      <c r="AB190" s="21">
        <f>EXP(-LN(2)/2)*AB189+(1-EXP(-LN(2)/2))/(LN(2)/2)*V190*Y190*VLOOKUP('Données projet'!$B$9,Paramètres!$A$1:$I$89,3,0)*0.475*44/12</f>
        <v>1.8983349098507138E-24</v>
      </c>
      <c r="AC190" s="22">
        <f t="shared" si="163"/>
        <v>17.281697853790856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963.59256833510426</v>
      </c>
      <c r="AN190" s="59">
        <f ca="1">AVERAGE(OFFSET($AM$3,0,0,'Données projet'!$E$10+1,1))-AVERAGE(OFFSET($H$3,0,0,'Données projet'!$E$10+1,1))</f>
        <v>392.48436003609055</v>
      </c>
      <c r="AO190" s="59">
        <f t="shared" si="144"/>
        <v>236.3312446580419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212.42519999999985</v>
      </c>
      <c r="BF190" s="13">
        <f t="shared" si="167"/>
        <v>52.465198231787184</v>
      </c>
      <c r="BG190" s="20">
        <f t="shared" si="168"/>
        <v>461.35077692036231</v>
      </c>
      <c r="BH190" s="59">
        <f t="shared" si="116"/>
        <v>754.68411025369562</v>
      </c>
      <c r="BI190" s="59">
        <f ca="1">AVERAGE(OFFSET($BH$3,0,0,'Données projet'!$E$11+1,1))-AVERAGE(OFFSET($H$3,0,0,'Données projet'!$E$11+1,1))</f>
        <v>225.2323446080772</v>
      </c>
      <c r="BJ190" s="59">
        <f t="shared" si="146"/>
        <v>222.29030402759292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5.2127354845915868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5.2127354845915868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258.24239999999986</v>
      </c>
      <c r="CA190" s="13">
        <f t="shared" si="170"/>
        <v>62.347580891234152</v>
      </c>
      <c r="CB190" s="20">
        <f t="shared" si="171"/>
        <v>558.3608833855659</v>
      </c>
      <c r="CC190" s="59">
        <f t="shared" si="119"/>
        <v>851.69421671889927</v>
      </c>
      <c r="CD190" s="59">
        <f ca="1">AVERAGE(OFFSET($CC$3,0,0,'Données projet'!$E$12+1,1))-AVERAGE(OFFSET($H$3,0,0,'Données projet'!$E$12+1,1))</f>
        <v>281.84871057356037</v>
      </c>
      <c r="CE190" s="59">
        <f t="shared" si="148"/>
        <v>276.02211904126887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5.141380984802506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5.141380984802506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853.00000000000011</v>
      </c>
      <c r="O191" s="13">
        <f>N191*VLOOKUP('Données projet'!$B$9,Paramètres!$A$1:$I$89,3,0)*VLOOKUP('Données projet'!$B$9,Paramètres!$A$1:$I$89,5,0)</f>
        <v>399.20400000000006</v>
      </c>
      <c r="P191" s="13">
        <f t="shared" si="141"/>
        <v>91.615269732888521</v>
      </c>
      <c r="Q191" s="20">
        <f t="shared" si="162"/>
        <v>854.8435614514475</v>
      </c>
      <c r="R191" s="59">
        <f t="shared" si="109"/>
        <v>1148.1768947847809</v>
      </c>
      <c r="S191" s="59">
        <f ca="1">AVERAGE(OFFSET($R$3,0,0,'Données projet'!$E$9+1,1))-AVERAGE(OFFSET($H$3,0,0,'Données projet'!$E$9+1,1))</f>
        <v>414.8063171894658</v>
      </c>
      <c r="T191" s="59">
        <f t="shared" si="142"/>
        <v>354.21555670988619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16.324777281605673</v>
      </c>
      <c r="AA191" s="21">
        <f>EXP(-LN(2)/25)*AA190+(1-EXP(-LN(2)/25))/(LN(2)/25)*Calculateur!V191*Calculateur!X191*VLOOKUP('Données projet'!$B$9,Paramètres!$A$1:$I$89,3,0)*0.475*44/12</f>
        <v>0.61316046605540786</v>
      </c>
      <c r="AB191" s="21">
        <f>EXP(-LN(2)/2)*AB190+(1-EXP(-LN(2)/2))/(LN(2)/2)*V191*Y191*VLOOKUP('Données projet'!$B$9,Paramètres!$A$1:$I$89,3,0)*0.475*44/12</f>
        <v>1.3423254877185932E-24</v>
      </c>
      <c r="AC191" s="22">
        <f t="shared" si="163"/>
        <v>16.937937747661081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963.59256833510426</v>
      </c>
      <c r="AN191" s="59">
        <f ca="1">AVERAGE(OFFSET($AM$3,0,0,'Données projet'!$E$10+1,1))-AVERAGE(OFFSET($H$3,0,0,'Données projet'!$E$10+1,1))</f>
        <v>392.48436003609055</v>
      </c>
      <c r="AO191" s="59">
        <f t="shared" si="144"/>
        <v>236.3312446580419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212.42519999999985</v>
      </c>
      <c r="BF191" s="13">
        <f t="shared" si="167"/>
        <v>52.465198231787184</v>
      </c>
      <c r="BG191" s="20">
        <f t="shared" si="168"/>
        <v>461.35077692036231</v>
      </c>
      <c r="BH191" s="59">
        <f t="shared" si="116"/>
        <v>754.68411025369562</v>
      </c>
      <c r="BI191" s="59">
        <f ca="1">AVERAGE(OFFSET($BH$3,0,0,'Données projet'!$E$11+1,1))-AVERAGE(OFFSET($H$3,0,0,'Données projet'!$E$11+1,1))</f>
        <v>225.2323446080772</v>
      </c>
      <c r="BJ191" s="59">
        <f t="shared" si="146"/>
        <v>222.29030402759292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5.1105169211934465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5.1105169211934465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258.24239999999986</v>
      </c>
      <c r="CA191" s="13">
        <f t="shared" si="170"/>
        <v>62.347580891234152</v>
      </c>
      <c r="CB191" s="20">
        <f t="shared" si="171"/>
        <v>558.3608833855659</v>
      </c>
      <c r="CC191" s="59">
        <f t="shared" si="119"/>
        <v>851.69421671889927</v>
      </c>
      <c r="CD191" s="59">
        <f ca="1">AVERAGE(OFFSET($CC$3,0,0,'Données projet'!$E$12+1,1))-AVERAGE(OFFSET($H$3,0,0,'Données projet'!$E$12+1,1))</f>
        <v>281.84871057356037</v>
      </c>
      <c r="CE191" s="59">
        <f t="shared" si="148"/>
        <v>276.02211904126887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5.0405616396232817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5.0405616396232817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853.00000000000011</v>
      </c>
      <c r="O192" s="13">
        <f>N192*VLOOKUP('Données projet'!$B$9,Paramètres!$A$1:$I$89,3,0)*VLOOKUP('Données projet'!$B$9,Paramètres!$A$1:$I$89,5,0)</f>
        <v>399.20400000000006</v>
      </c>
      <c r="P192" s="13">
        <f t="shared" si="141"/>
        <v>91.615269732888521</v>
      </c>
      <c r="Q192" s="20">
        <f t="shared" si="162"/>
        <v>854.8435614514475</v>
      </c>
      <c r="R192" s="59">
        <f t="shared" si="109"/>
        <v>1148.1768947847809</v>
      </c>
      <c r="S192" s="59">
        <f ca="1">AVERAGE(OFFSET($R$3,0,0,'Données projet'!$E$9+1,1))-AVERAGE(OFFSET($H$3,0,0,'Données projet'!$E$9+1,1))</f>
        <v>414.8063171894658</v>
      </c>
      <c r="T192" s="59">
        <f t="shared" si="142"/>
        <v>354.21555670988619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16.004658356244342</v>
      </c>
      <c r="AA192" s="21">
        <f>EXP(-LN(2)/25)*AA191+(1-EXP(-LN(2)/25))/(LN(2)/25)*Calculateur!V192*Calculateur!X192*VLOOKUP('Données projet'!$B$9,Paramètres!$A$1:$I$89,3,0)*0.475*44/12</f>
        <v>0.59639356086641526</v>
      </c>
      <c r="AB192" s="21">
        <f>EXP(-LN(2)/2)*AB191+(1-EXP(-LN(2)/2))/(LN(2)/2)*V192*Y192*VLOOKUP('Données projet'!$B$9,Paramètres!$A$1:$I$89,3,0)*0.475*44/12</f>
        <v>9.4916745492535692E-25</v>
      </c>
      <c r="AC192" s="22">
        <f t="shared" si="163"/>
        <v>16.601051917110755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963.59256833510426</v>
      </c>
      <c r="AN192" s="59">
        <f ca="1">AVERAGE(OFFSET($AM$3,0,0,'Données projet'!$E$10+1,1))-AVERAGE(OFFSET($H$3,0,0,'Données projet'!$E$10+1,1))</f>
        <v>392.48436003609055</v>
      </c>
      <c r="AO192" s="59">
        <f t="shared" si="144"/>
        <v>236.3312446580419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212.42519999999985</v>
      </c>
      <c r="BF192" s="13">
        <f t="shared" si="167"/>
        <v>52.465198231787184</v>
      </c>
      <c r="BG192" s="20">
        <f t="shared" si="168"/>
        <v>461.35077692036231</v>
      </c>
      <c r="BH192" s="59">
        <f t="shared" si="116"/>
        <v>754.68411025369562</v>
      </c>
      <c r="BI192" s="59">
        <f ca="1">AVERAGE(OFFSET($BH$3,0,0,'Données projet'!$E$11+1,1))-AVERAGE(OFFSET($H$3,0,0,'Données projet'!$E$11+1,1))</f>
        <v>225.2323446080772</v>
      </c>
      <c r="BJ192" s="59">
        <f t="shared" si="146"/>
        <v>222.29030402759292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5.0103028014763762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5.0103028014763762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258.24239999999986</v>
      </c>
      <c r="CA192" s="13">
        <f t="shared" si="170"/>
        <v>62.347580891234152</v>
      </c>
      <c r="CB192" s="20">
        <f t="shared" si="171"/>
        <v>558.3608833855659</v>
      </c>
      <c r="CC192" s="59">
        <f t="shared" si="119"/>
        <v>851.69421671889927</v>
      </c>
      <c r="CD192" s="59">
        <f ca="1">AVERAGE(OFFSET($CC$3,0,0,'Données projet'!$E$12+1,1))-AVERAGE(OFFSET($H$3,0,0,'Données projet'!$E$12+1,1))</f>
        <v>281.84871057356037</v>
      </c>
      <c r="CE192" s="59">
        <f t="shared" si="148"/>
        <v>276.02211904126887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4.9417193003092938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4.9417193003092938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853.00000000000011</v>
      </c>
      <c r="O193" s="13">
        <f>N193*VLOOKUP('Données projet'!$B$9,Paramètres!$A$1:$I$89,3,0)*VLOOKUP('Données projet'!$B$9,Paramètres!$A$1:$I$89,5,0)</f>
        <v>399.20400000000006</v>
      </c>
      <c r="P193" s="13">
        <f t="shared" si="141"/>
        <v>91.615269732888521</v>
      </c>
      <c r="Q193" s="20">
        <f t="shared" si="162"/>
        <v>854.8435614514475</v>
      </c>
      <c r="R193" s="59">
        <f t="shared" si="109"/>
        <v>1148.1768947847809</v>
      </c>
      <c r="S193" s="59">
        <f ca="1">AVERAGE(OFFSET($R$3,0,0,'Données projet'!$E$9+1,1))-AVERAGE(OFFSET($H$3,0,0,'Données projet'!$E$9+1,1))</f>
        <v>414.8063171894658</v>
      </c>
      <c r="T193" s="59">
        <f t="shared" si="142"/>
        <v>354.21555670988619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15.690816767756083</v>
      </c>
      <c r="AA193" s="21">
        <f>EXP(-LN(2)/25)*AA192+(1-EXP(-LN(2)/25))/(LN(2)/25)*Calculateur!V193*Calculateur!X193*VLOOKUP('Données projet'!$B$9,Paramètres!$A$1:$I$89,3,0)*0.475*44/12</f>
        <v>0.58008514758154883</v>
      </c>
      <c r="AB193" s="21">
        <f>EXP(-LN(2)/2)*AB192+(1-EXP(-LN(2)/2))/(LN(2)/2)*V193*Y193*VLOOKUP('Données projet'!$B$9,Paramètres!$A$1:$I$89,3,0)*0.475*44/12</f>
        <v>6.7116274385929659E-25</v>
      </c>
      <c r="AC193" s="22">
        <f t="shared" si="163"/>
        <v>16.270901915337632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963.59256833510426</v>
      </c>
      <c r="AN193" s="59">
        <f ca="1">AVERAGE(OFFSET($AM$3,0,0,'Données projet'!$E$10+1,1))-AVERAGE(OFFSET($H$3,0,0,'Données projet'!$E$10+1,1))</f>
        <v>392.48436003609055</v>
      </c>
      <c r="AO193" s="59">
        <f t="shared" si="144"/>
        <v>236.3312446580419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212.42519999999985</v>
      </c>
      <c r="BF193" s="13">
        <f t="shared" si="167"/>
        <v>52.465198231787184</v>
      </c>
      <c r="BG193" s="20">
        <f t="shared" si="168"/>
        <v>461.35077692036231</v>
      </c>
      <c r="BH193" s="59">
        <f t="shared" si="116"/>
        <v>754.68411025369562</v>
      </c>
      <c r="BI193" s="59">
        <f ca="1">AVERAGE(OFFSET($BH$3,0,0,'Données projet'!$E$11+1,1))-AVERAGE(OFFSET($H$3,0,0,'Données projet'!$E$11+1,1))</f>
        <v>225.2323446080772</v>
      </c>
      <c r="BJ193" s="59">
        <f t="shared" si="146"/>
        <v>222.29030402759292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4.91205381952238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4.91205381952238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258.24239999999986</v>
      </c>
      <c r="CA193" s="13">
        <f t="shared" si="170"/>
        <v>62.347580891234152</v>
      </c>
      <c r="CB193" s="20">
        <f t="shared" si="171"/>
        <v>558.3608833855659</v>
      </c>
      <c r="CC193" s="59">
        <f t="shared" si="119"/>
        <v>851.69421671889927</v>
      </c>
      <c r="CD193" s="59">
        <f ca="1">AVERAGE(OFFSET($CC$3,0,0,'Données projet'!$E$12+1,1))-AVERAGE(OFFSET($H$3,0,0,'Données projet'!$E$12+1,1))</f>
        <v>281.84871057356037</v>
      </c>
      <c r="CE193" s="59">
        <f t="shared" si="148"/>
        <v>276.02211904126887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4.8448151989813795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4.8448151989813795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853.00000000000011</v>
      </c>
      <c r="O194" s="13">
        <f>N194*VLOOKUP('Données projet'!$B$9,Paramètres!$A$1:$I$89,3,0)*VLOOKUP('Données projet'!$B$9,Paramètres!$A$1:$I$89,5,0)</f>
        <v>399.20400000000006</v>
      </c>
      <c r="P194" s="13">
        <f t="shared" si="141"/>
        <v>91.615269732888521</v>
      </c>
      <c r="Q194" s="20">
        <f t="shared" si="162"/>
        <v>854.8435614514475</v>
      </c>
      <c r="R194" s="59">
        <f t="shared" si="109"/>
        <v>1148.1768947847809</v>
      </c>
      <c r="S194" s="59">
        <f ca="1">AVERAGE(OFFSET($R$3,0,0,'Données projet'!$E$9+1,1))-AVERAGE(OFFSET($H$3,0,0,'Données projet'!$E$9+1,1))</f>
        <v>414.8063171894658</v>
      </c>
      <c r="T194" s="59">
        <f t="shared" si="142"/>
        <v>354.21555670988619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15.38312942139361</v>
      </c>
      <c r="AA194" s="21">
        <f>EXP(-LN(2)/25)*AA193+(1-EXP(-LN(2)/25))/(LN(2)/25)*Calculateur!V194*Calculateur!X194*VLOOKUP('Données projet'!$B$9,Paramètres!$A$1:$I$89,3,0)*0.475*44/12</f>
        <v>0.56422268871557923</v>
      </c>
      <c r="AB194" s="21">
        <f>EXP(-LN(2)/2)*AB193+(1-EXP(-LN(2)/2))/(LN(2)/2)*V194*Y194*VLOOKUP('Données projet'!$B$9,Paramètres!$A$1:$I$89,3,0)*0.475*44/12</f>
        <v>4.7458372746267846E-25</v>
      </c>
      <c r="AC194" s="22">
        <f t="shared" si="163"/>
        <v>15.94735211010919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963.59256833510426</v>
      </c>
      <c r="AN194" s="59">
        <f ca="1">AVERAGE(OFFSET($AM$3,0,0,'Données projet'!$E$10+1,1))-AVERAGE(OFFSET($H$3,0,0,'Données projet'!$E$10+1,1))</f>
        <v>392.48436003609055</v>
      </c>
      <c r="AO194" s="59">
        <f t="shared" si="144"/>
        <v>236.3312446580419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212.42519999999985</v>
      </c>
      <c r="BF194" s="13">
        <f t="shared" si="167"/>
        <v>52.465198231787184</v>
      </c>
      <c r="BG194" s="20">
        <f t="shared" si="168"/>
        <v>461.35077692036231</v>
      </c>
      <c r="BH194" s="59">
        <f t="shared" si="116"/>
        <v>754.68411025369562</v>
      </c>
      <c r="BI194" s="59">
        <f ca="1">AVERAGE(OFFSET($BH$3,0,0,'Données projet'!$E$11+1,1))-AVERAGE(OFFSET($H$3,0,0,'Données projet'!$E$11+1,1))</f>
        <v>225.2323446080772</v>
      </c>
      <c r="BJ194" s="59">
        <f t="shared" si="146"/>
        <v>222.29030402759292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4.8157314401785403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4.8157314401785403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258.24239999999986</v>
      </c>
      <c r="CA194" s="13">
        <f t="shared" si="170"/>
        <v>62.347580891234152</v>
      </c>
      <c r="CB194" s="20">
        <f t="shared" si="171"/>
        <v>558.3608833855659</v>
      </c>
      <c r="CC194" s="59">
        <f t="shared" si="119"/>
        <v>851.69421671889927</v>
      </c>
      <c r="CD194" s="59">
        <f ca="1">AVERAGE(OFFSET($CC$3,0,0,'Données projet'!$E$12+1,1))-AVERAGE(OFFSET($H$3,0,0,'Données projet'!$E$12+1,1))</f>
        <v>281.84871057356037</v>
      </c>
      <c r="CE194" s="59">
        <f t="shared" si="148"/>
        <v>276.02211904126887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4.7498113279748395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4.7498113279748395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853.00000000000011</v>
      </c>
      <c r="O195" s="13">
        <f>N195*VLOOKUP('Données projet'!$B$9,Paramètres!$A$1:$I$89,3,0)*VLOOKUP('Données projet'!$B$9,Paramètres!$A$1:$I$89,5,0)</f>
        <v>399.20400000000006</v>
      </c>
      <c r="P195" s="13">
        <f t="shared" si="141"/>
        <v>91.615269732888521</v>
      </c>
      <c r="Q195" s="20">
        <f t="shared" si="162"/>
        <v>854.8435614514475</v>
      </c>
      <c r="R195" s="59">
        <f t="shared" ref="R195:R203" si="191">Q195+(I195+J195)*44/12</f>
        <v>1148.1768947847809</v>
      </c>
      <c r="S195" s="59">
        <f ca="1">AVERAGE(OFFSET($R$3,0,0,'Données projet'!$E$9+1,1))-AVERAGE(OFFSET($H$3,0,0,'Données projet'!$E$9+1,1))</f>
        <v>414.8063171894658</v>
      </c>
      <c r="T195" s="59">
        <f t="shared" si="142"/>
        <v>354.21555670988619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15.081475636222555</v>
      </c>
      <c r="AA195" s="21">
        <f>EXP(-LN(2)/25)*AA194+(1-EXP(-LN(2)/25))/(LN(2)/25)*Calculateur!V195*Calculateur!X195*VLOOKUP('Données projet'!$B$9,Paramètres!$A$1:$I$89,3,0)*0.475*44/12</f>
        <v>0.54879398962147008</v>
      </c>
      <c r="AB195" s="21">
        <f>EXP(-LN(2)/2)*AB194+(1-EXP(-LN(2)/2))/(LN(2)/2)*V195*Y195*VLOOKUP('Données projet'!$B$9,Paramètres!$A$1:$I$89,3,0)*0.475*44/12</f>
        <v>3.3558137192964829E-25</v>
      </c>
      <c r="AC195" s="22">
        <f t="shared" si="163"/>
        <v>15.630269625844026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963.59256833510426</v>
      </c>
      <c r="AN195" s="59">
        <f ca="1">AVERAGE(OFFSET($AM$3,0,0,'Données projet'!$E$10+1,1))-AVERAGE(OFFSET($H$3,0,0,'Données projet'!$E$10+1,1))</f>
        <v>392.48436003609055</v>
      </c>
      <c r="AO195" s="59">
        <f t="shared" si="144"/>
        <v>236.3312446580419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212.42519999999985</v>
      </c>
      <c r="BF195" s="13">
        <f t="shared" si="167"/>
        <v>52.465198231787184</v>
      </c>
      <c r="BG195" s="20">
        <f t="shared" si="168"/>
        <v>461.35077692036231</v>
      </c>
      <c r="BH195" s="59">
        <f t="shared" si="116"/>
        <v>754.68411025369562</v>
      </c>
      <c r="BI195" s="59">
        <f ca="1">AVERAGE(OFFSET($BH$3,0,0,'Données projet'!$E$11+1,1))-AVERAGE(OFFSET($H$3,0,0,'Données projet'!$E$11+1,1))</f>
        <v>225.2323446080772</v>
      </c>
      <c r="BJ195" s="59">
        <f t="shared" si="146"/>
        <v>222.29030402759292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4.7212978839427828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4.7212978839427828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258.24239999999986</v>
      </c>
      <c r="CA195" s="13">
        <f t="shared" si="170"/>
        <v>62.347580891234152</v>
      </c>
      <c r="CB195" s="20">
        <f t="shared" si="171"/>
        <v>558.3608833855659</v>
      </c>
      <c r="CC195" s="59">
        <f t="shared" si="119"/>
        <v>851.69421671889927</v>
      </c>
      <c r="CD195" s="59">
        <f ca="1">AVERAGE(OFFSET($CC$3,0,0,'Données projet'!$E$12+1,1))-AVERAGE(OFFSET($H$3,0,0,'Données projet'!$E$12+1,1))</f>
        <v>281.84871057356037</v>
      </c>
      <c r="CE195" s="59">
        <f t="shared" si="148"/>
        <v>276.02211904126887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4.6566704249320985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4.6566704249320985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853.00000000000011</v>
      </c>
      <c r="O196" s="13">
        <f>N196*VLOOKUP('Données projet'!$B$9,Paramètres!$A$1:$I$89,3,0)*VLOOKUP('Données projet'!$B$9,Paramètres!$A$1:$I$89,5,0)</f>
        <v>399.20400000000006</v>
      </c>
      <c r="P196" s="13">
        <f t="shared" si="141"/>
        <v>91.615269732888521</v>
      </c>
      <c r="Q196" s="20">
        <f t="shared" si="162"/>
        <v>854.8435614514475</v>
      </c>
      <c r="R196" s="59">
        <f t="shared" si="191"/>
        <v>1148.1768947847809</v>
      </c>
      <c r="S196" s="59">
        <f ca="1">AVERAGE(OFFSET($R$3,0,0,'Données projet'!$E$9+1,1))-AVERAGE(OFFSET($H$3,0,0,'Données projet'!$E$9+1,1))</f>
        <v>414.8063171894658</v>
      </c>
      <c r="T196" s="59">
        <f t="shared" si="142"/>
        <v>354.21555670988619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14.785737097788063</v>
      </c>
      <c r="AA196" s="21">
        <f>EXP(-LN(2)/25)*AA195+(1-EXP(-LN(2)/25))/(LN(2)/25)*Calculateur!V196*Calculateur!X196*VLOOKUP('Données projet'!$B$9,Paramètres!$A$1:$I$89,3,0)*0.475*44/12</f>
        <v>0.53378718911544931</v>
      </c>
      <c r="AB196" s="21">
        <f>EXP(-LN(2)/2)*AB195+(1-EXP(-LN(2)/2))/(LN(2)/2)*V196*Y196*VLOOKUP('Données projet'!$B$9,Paramètres!$A$1:$I$89,3,0)*0.475*44/12</f>
        <v>2.3729186373133923E-25</v>
      </c>
      <c r="AC196" s="22">
        <f t="shared" si="163"/>
        <v>15.319524286903512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963.59256833510426</v>
      </c>
      <c r="AN196" s="59">
        <f ca="1">AVERAGE(OFFSET($AM$3,0,0,'Données projet'!$E$10+1,1))-AVERAGE(OFFSET($H$3,0,0,'Données projet'!$E$10+1,1))</f>
        <v>392.48436003609055</v>
      </c>
      <c r="AO196" s="59">
        <f t="shared" si="144"/>
        <v>236.3312446580419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212.42519999999985</v>
      </c>
      <c r="BF196" s="13">
        <f t="shared" si="167"/>
        <v>52.465198231787184</v>
      </c>
      <c r="BG196" s="20">
        <f t="shared" si="168"/>
        <v>461.35077692036231</v>
      </c>
      <c r="BH196" s="59">
        <f t="shared" ref="BH196:BH203" si="194">BG196+(AY196+AZ196)*44/12</f>
        <v>754.68411025369562</v>
      </c>
      <c r="BI196" s="59">
        <f ca="1">AVERAGE(OFFSET($BH$3,0,0,'Données projet'!$E$11+1,1))-AVERAGE(OFFSET($H$3,0,0,'Données projet'!$E$11+1,1))</f>
        <v>225.2323446080772</v>
      </c>
      <c r="BJ196" s="59">
        <f t="shared" si="146"/>
        <v>222.29030402759292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4.6287161121460265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4.6287161121460265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258.24239999999986</v>
      </c>
      <c r="CA196" s="13">
        <f t="shared" si="170"/>
        <v>62.347580891234152</v>
      </c>
      <c r="CB196" s="20">
        <f t="shared" si="171"/>
        <v>558.3608833855659</v>
      </c>
      <c r="CC196" s="59">
        <f t="shared" ref="CC196:CC203" si="195">CB196+(BT196+BU196)*44/12</f>
        <v>851.69421671889927</v>
      </c>
      <c r="CD196" s="59">
        <f ca="1">AVERAGE(OFFSET($CC$3,0,0,'Données projet'!$E$12+1,1))-AVERAGE(OFFSET($H$3,0,0,'Données projet'!$E$12+1,1))</f>
        <v>281.84871057356037</v>
      </c>
      <c r="CE196" s="59">
        <f t="shared" si="148"/>
        <v>276.02211904126887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4.5653559581876841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4.5653559581876841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853.00000000000011</v>
      </c>
      <c r="O197" s="13">
        <f>N197*VLOOKUP('Données projet'!$B$9,Paramètres!$A$1:$I$89,3,0)*VLOOKUP('Données projet'!$B$9,Paramètres!$A$1:$I$89,5,0)</f>
        <v>399.20400000000006</v>
      </c>
      <c r="P197" s="13">
        <f t="shared" ref="P197:P203" si="203">EXP(-1.0587+0.8836*LN(O197)+0.284)</f>
        <v>91.615269732888521</v>
      </c>
      <c r="Q197" s="20">
        <f t="shared" si="162"/>
        <v>854.8435614514475</v>
      </c>
      <c r="R197" s="59">
        <f t="shared" si="191"/>
        <v>1148.1768947847809</v>
      </c>
      <c r="S197" s="59">
        <f ca="1">AVERAGE(OFFSET($R$3,0,0,'Données projet'!$E$9+1,1))-AVERAGE(OFFSET($H$3,0,0,'Données projet'!$E$9+1,1))</f>
        <v>414.8063171894658</v>
      </c>
      <c r="T197" s="59">
        <f t="shared" ref="T197:T203" si="204">$T$3</f>
        <v>354.21555670988619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14.495797811709576</v>
      </c>
      <c r="AA197" s="21">
        <f>EXP(-LN(2)/25)*AA196+(1-EXP(-LN(2)/25))/(LN(2)/25)*Calculateur!V197*Calculateur!X197*VLOOKUP('Données projet'!$B$9,Paramètres!$A$1:$I$89,3,0)*0.475*44/12</f>
        <v>0.51919075035843909</v>
      </c>
      <c r="AB197" s="21">
        <f>EXP(-LN(2)/2)*AB196+(1-EXP(-LN(2)/2))/(LN(2)/2)*V197*Y197*VLOOKUP('Données projet'!$B$9,Paramètres!$A$1:$I$89,3,0)*0.475*44/12</f>
        <v>1.6779068596482415E-25</v>
      </c>
      <c r="AC197" s="22">
        <f t="shared" si="163"/>
        <v>15.014988562068014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963.59256833510426</v>
      </c>
      <c r="AN197" s="59">
        <f ca="1">AVERAGE(OFFSET($AM$3,0,0,'Données projet'!$E$10+1,1))-AVERAGE(OFFSET($H$3,0,0,'Données projet'!$E$10+1,1))</f>
        <v>392.48436003609055</v>
      </c>
      <c r="AO197" s="59">
        <f t="shared" ref="AO197:AO203" si="205">$AO$3</f>
        <v>236.3312446580419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212.42519999999985</v>
      </c>
      <c r="BF197" s="13">
        <f t="shared" si="167"/>
        <v>52.465198231787184</v>
      </c>
      <c r="BG197" s="20">
        <f t="shared" si="168"/>
        <v>461.35077692036231</v>
      </c>
      <c r="BH197" s="59">
        <f t="shared" si="194"/>
        <v>754.68411025369562</v>
      </c>
      <c r="BI197" s="59">
        <f ca="1">AVERAGE(OFFSET($BH$3,0,0,'Données projet'!$E$11+1,1))-AVERAGE(OFFSET($H$3,0,0,'Données projet'!$E$11+1,1))</f>
        <v>225.2323446080772</v>
      </c>
      <c r="BJ197" s="59">
        <f t="shared" ref="BJ197:BJ203" si="206">$BJ$3</f>
        <v>222.29030402759292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4.5379498124249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4.5379498124249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258.24239999999986</v>
      </c>
      <c r="CA197" s="13">
        <f t="shared" si="170"/>
        <v>62.347580891234152</v>
      </c>
      <c r="CB197" s="20">
        <f t="shared" si="171"/>
        <v>558.3608833855659</v>
      </c>
      <c r="CC197" s="59">
        <f t="shared" si="195"/>
        <v>851.69421671889927</v>
      </c>
      <c r="CD197" s="59">
        <f ca="1">AVERAGE(OFFSET($CC$3,0,0,'Données projet'!$E$12+1,1))-AVERAGE(OFFSET($H$3,0,0,'Données projet'!$E$12+1,1))</f>
        <v>281.84871057356037</v>
      </c>
      <c r="CE197" s="59">
        <f t="shared" ref="CE197:CE203" si="207">$CE$3</f>
        <v>276.02211904126887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4.4758321124398028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4.4758321124398028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853.00000000000011</v>
      </c>
      <c r="O198" s="13">
        <f>N198*VLOOKUP('Données projet'!$B$9,Paramètres!$A$1:$I$89,3,0)*VLOOKUP('Données projet'!$B$9,Paramètres!$A$1:$I$89,5,0)</f>
        <v>399.20400000000006</v>
      </c>
      <c r="P198" s="13">
        <f t="shared" si="203"/>
        <v>91.615269732888521</v>
      </c>
      <c r="Q198" s="20">
        <f t="shared" si="162"/>
        <v>854.8435614514475</v>
      </c>
      <c r="R198" s="59">
        <f t="shared" si="191"/>
        <v>1148.1768947847809</v>
      </c>
      <c r="S198" s="59">
        <f ca="1">AVERAGE(OFFSET($R$3,0,0,'Données projet'!$E$9+1,1))-AVERAGE(OFFSET($H$3,0,0,'Données projet'!$E$9+1,1))</f>
        <v>414.8063171894658</v>
      </c>
      <c r="T198" s="59">
        <f t="shared" si="204"/>
        <v>354.21555670988619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14.211544058185584</v>
      </c>
      <c r="AA198" s="21">
        <f>EXP(-LN(2)/25)*AA197+(1-EXP(-LN(2)/25))/(LN(2)/25)*Calculateur!V198*Calculateur!X198*VLOOKUP('Données projet'!$B$9,Paramètres!$A$1:$I$89,3,0)*0.475*44/12</f>
        <v>0.50499345198683265</v>
      </c>
      <c r="AB198" s="21">
        <f>EXP(-LN(2)/2)*AB197+(1-EXP(-LN(2)/2))/(LN(2)/2)*V198*Y198*VLOOKUP('Données projet'!$B$9,Paramètres!$A$1:$I$89,3,0)*0.475*44/12</f>
        <v>1.1864593186566962E-25</v>
      </c>
      <c r="AC198" s="22">
        <f t="shared" si="163"/>
        <v>14.716537510172417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963.59256833510426</v>
      </c>
      <c r="AN198" s="59">
        <f ca="1">AVERAGE(OFFSET($AM$3,0,0,'Données projet'!$E$10+1,1))-AVERAGE(OFFSET($H$3,0,0,'Données projet'!$E$10+1,1))</f>
        <v>392.48436003609055</v>
      </c>
      <c r="AO198" s="59">
        <f t="shared" si="205"/>
        <v>236.3312446580419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212.42519999999985</v>
      </c>
      <c r="BF198" s="13">
        <f t="shared" si="167"/>
        <v>52.465198231787184</v>
      </c>
      <c r="BG198" s="20">
        <f t="shared" si="168"/>
        <v>461.35077692036231</v>
      </c>
      <c r="BH198" s="59">
        <f t="shared" si="194"/>
        <v>754.68411025369562</v>
      </c>
      <c r="BI198" s="59">
        <f ca="1">AVERAGE(OFFSET($BH$3,0,0,'Données projet'!$E$11+1,1))-AVERAGE(OFFSET($H$3,0,0,'Données projet'!$E$11+1,1))</f>
        <v>225.2323446080772</v>
      </c>
      <c r="BJ198" s="59">
        <f t="shared" si="206"/>
        <v>222.29030402759292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4.4489633844793284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4.4489633844793284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258.24239999999986</v>
      </c>
      <c r="CA198" s="13">
        <f t="shared" si="170"/>
        <v>62.347580891234152</v>
      </c>
      <c r="CB198" s="20">
        <f t="shared" si="171"/>
        <v>558.3608833855659</v>
      </c>
      <c r="CC198" s="59">
        <f t="shared" si="195"/>
        <v>851.69421671889927</v>
      </c>
      <c r="CD198" s="59">
        <f ca="1">AVERAGE(OFFSET($CC$3,0,0,'Données projet'!$E$12+1,1))-AVERAGE(OFFSET($H$3,0,0,'Données projet'!$E$12+1,1))</f>
        <v>281.84871057356037</v>
      </c>
      <c r="CE198" s="59">
        <f t="shared" si="207"/>
        <v>276.02211904126887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4.388063774702883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4.388063774702883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853.00000000000011</v>
      </c>
      <c r="O199" s="13">
        <f>N199*VLOOKUP('Données projet'!$B$9,Paramètres!$A$1:$I$89,3,0)*VLOOKUP('Données projet'!$B$9,Paramètres!$A$1:$I$89,5,0)</f>
        <v>399.20400000000006</v>
      </c>
      <c r="P199" s="13">
        <f t="shared" si="203"/>
        <v>91.615269732888521</v>
      </c>
      <c r="Q199" s="20">
        <f t="shared" si="162"/>
        <v>854.8435614514475</v>
      </c>
      <c r="R199" s="59">
        <f t="shared" si="191"/>
        <v>1148.1768947847809</v>
      </c>
      <c r="S199" s="59">
        <f ca="1">AVERAGE(OFFSET($R$3,0,0,'Données projet'!$E$9+1,1))-AVERAGE(OFFSET($H$3,0,0,'Données projet'!$E$9+1,1))</f>
        <v>414.8063171894658</v>
      </c>
      <c r="T199" s="59">
        <f t="shared" si="204"/>
        <v>354.21555670988619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13.932864347390527</v>
      </c>
      <c r="AA199" s="21">
        <f>EXP(-LN(2)/25)*AA198+(1-EXP(-LN(2)/25))/(LN(2)/25)*Calculateur!V199*Calculateur!X199*VLOOKUP('Données projet'!$B$9,Paramètres!$A$1:$I$89,3,0)*0.475*44/12</f>
        <v>0.49118437948580124</v>
      </c>
      <c r="AB199" s="21">
        <f>EXP(-LN(2)/2)*AB198+(1-EXP(-LN(2)/2))/(LN(2)/2)*V199*Y199*VLOOKUP('Données projet'!$B$9,Paramètres!$A$1:$I$89,3,0)*0.475*44/12</f>
        <v>8.3895342982412073E-26</v>
      </c>
      <c r="AC199" s="22">
        <f t="shared" si="163"/>
        <v>14.424048726876329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963.59256833510426</v>
      </c>
      <c r="AN199" s="59">
        <f ca="1">AVERAGE(OFFSET($AM$3,0,0,'Données projet'!$E$10+1,1))-AVERAGE(OFFSET($H$3,0,0,'Données projet'!$E$10+1,1))</f>
        <v>392.48436003609055</v>
      </c>
      <c r="AO199" s="59">
        <f t="shared" si="205"/>
        <v>236.3312446580419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212.42519999999985</v>
      </c>
      <c r="BF199" s="13">
        <f t="shared" si="167"/>
        <v>52.465198231787184</v>
      </c>
      <c r="BG199" s="20">
        <f t="shared" si="168"/>
        <v>461.35077692036231</v>
      </c>
      <c r="BH199" s="59">
        <f t="shared" si="194"/>
        <v>754.68411025369562</v>
      </c>
      <c r="BI199" s="59">
        <f ca="1">AVERAGE(OFFSET($BH$3,0,0,'Données projet'!$E$11+1,1))-AVERAGE(OFFSET($H$3,0,0,'Données projet'!$E$11+1,1))</f>
        <v>225.2323446080772</v>
      </c>
      <c r="BJ199" s="59">
        <f t="shared" si="206"/>
        <v>222.29030402759292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4.3617219261094071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4.3617219261094071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258.24239999999986</v>
      </c>
      <c r="CA199" s="13">
        <f t="shared" si="170"/>
        <v>62.347580891234152</v>
      </c>
      <c r="CB199" s="20">
        <f t="shared" si="171"/>
        <v>558.3608833855659</v>
      </c>
      <c r="CC199" s="59">
        <f t="shared" si="195"/>
        <v>851.69421671889927</v>
      </c>
      <c r="CD199" s="59">
        <f ca="1">AVERAGE(OFFSET($CC$3,0,0,'Données projet'!$E$12+1,1))-AVERAGE(OFFSET($H$3,0,0,'Données projet'!$E$12+1,1))</f>
        <v>281.84871057356037</v>
      </c>
      <c r="CE199" s="59">
        <f t="shared" si="207"/>
        <v>276.02211904126887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4.3020165205355845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4.3020165205355845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853.00000000000011</v>
      </c>
      <c r="O200" s="13">
        <f>N200*VLOOKUP('Données projet'!$B$9,Paramètres!$A$1:$I$89,3,0)*VLOOKUP('Données projet'!$B$9,Paramètres!$A$1:$I$89,5,0)</f>
        <v>399.20400000000006</v>
      </c>
      <c r="P200" s="13">
        <f t="shared" si="203"/>
        <v>91.615269732888521</v>
      </c>
      <c r="Q200" s="20">
        <f t="shared" si="162"/>
        <v>854.8435614514475</v>
      </c>
      <c r="R200" s="59">
        <f t="shared" si="191"/>
        <v>1148.1768947847809</v>
      </c>
      <c r="S200" s="59">
        <f ca="1">AVERAGE(OFFSET($R$3,0,0,'Données projet'!$E$9+1,1))-AVERAGE(OFFSET($H$3,0,0,'Données projet'!$E$9+1,1))</f>
        <v>414.8063171894658</v>
      </c>
      <c r="T200" s="59">
        <f t="shared" si="204"/>
        <v>354.21555670988619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13.659649375746323</v>
      </c>
      <c r="AA200" s="21">
        <f>EXP(-LN(2)/25)*AA199+(1-EXP(-LN(2)/25))/(LN(2)/25)*Calculateur!V200*Calculateur!X200*VLOOKUP('Données projet'!$B$9,Paramètres!$A$1:$I$89,3,0)*0.475*44/12</f>
        <v>0.47775291679849813</v>
      </c>
      <c r="AB200" s="21">
        <f>EXP(-LN(2)/2)*AB199+(1-EXP(-LN(2)/2))/(LN(2)/2)*V200*Y200*VLOOKUP('Données projet'!$B$9,Paramètres!$A$1:$I$89,3,0)*0.475*44/12</f>
        <v>5.9322965932834808E-26</v>
      </c>
      <c r="AC200" s="22">
        <f t="shared" si="163"/>
        <v>14.13740229254482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963.59256833510426</v>
      </c>
      <c r="AN200" s="59">
        <f ca="1">AVERAGE(OFFSET($AM$3,0,0,'Données projet'!$E$10+1,1))-AVERAGE(OFFSET($H$3,0,0,'Données projet'!$E$10+1,1))</f>
        <v>392.48436003609055</v>
      </c>
      <c r="AO200" s="59">
        <f t="shared" si="205"/>
        <v>236.3312446580419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212.42519999999985</v>
      </c>
      <c r="BF200" s="13">
        <f t="shared" si="167"/>
        <v>52.465198231787184</v>
      </c>
      <c r="BG200" s="20">
        <f t="shared" si="168"/>
        <v>461.35077692036231</v>
      </c>
      <c r="BH200" s="59">
        <f t="shared" si="194"/>
        <v>754.68411025369562</v>
      </c>
      <c r="BI200" s="59">
        <f ca="1">AVERAGE(OFFSET($BH$3,0,0,'Données projet'!$E$11+1,1))-AVERAGE(OFFSET($H$3,0,0,'Données projet'!$E$11+1,1))</f>
        <v>225.2323446080772</v>
      </c>
      <c r="BJ200" s="59">
        <f t="shared" si="206"/>
        <v>222.29030402759292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4.2761912195260852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4.2761912195260852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258.24239999999986</v>
      </c>
      <c r="CA200" s="13">
        <f t="shared" si="170"/>
        <v>62.347580891234152</v>
      </c>
      <c r="CB200" s="20">
        <f t="shared" si="171"/>
        <v>558.3608833855659</v>
      </c>
      <c r="CC200" s="59">
        <f t="shared" si="195"/>
        <v>851.69421671889927</v>
      </c>
      <c r="CD200" s="59">
        <f ca="1">AVERAGE(OFFSET($CC$3,0,0,'Données projet'!$E$12+1,1))-AVERAGE(OFFSET($H$3,0,0,'Données projet'!$E$12+1,1))</f>
        <v>281.84871057356037</v>
      </c>
      <c r="CE200" s="59">
        <f t="shared" si="207"/>
        <v>276.02211904126887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4.2176566005388638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4.2176566005388638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853.00000000000011</v>
      </c>
      <c r="O201" s="13">
        <f>N201*VLOOKUP('Données projet'!$B$9,Paramètres!$A$1:$I$89,3,0)*VLOOKUP('Données projet'!$B$9,Paramètres!$A$1:$I$89,5,0)</f>
        <v>399.20400000000006</v>
      </c>
      <c r="P201" s="13">
        <f t="shared" si="203"/>
        <v>91.615269732888521</v>
      </c>
      <c r="Q201" s="20">
        <f t="shared" si="162"/>
        <v>854.8435614514475</v>
      </c>
      <c r="R201" s="59">
        <f t="shared" si="191"/>
        <v>1148.1768947847809</v>
      </c>
      <c r="S201" s="59">
        <f ca="1">AVERAGE(OFFSET($R$3,0,0,'Données projet'!$E$9+1,1))-AVERAGE(OFFSET($H$3,0,0,'Données projet'!$E$9+1,1))</f>
        <v>414.8063171894658</v>
      </c>
      <c r="T201" s="59">
        <f t="shared" si="204"/>
        <v>354.21555670988619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13.391791983051384</v>
      </c>
      <c r="AA201" s="21">
        <f>EXP(-LN(2)/25)*AA200+(1-EXP(-LN(2)/25))/(LN(2)/25)*Calculateur!V201*Calculateur!X201*VLOOKUP('Données projet'!$B$9,Paramètres!$A$1:$I$89,3,0)*0.475*44/12</f>
        <v>0.46468873816470924</v>
      </c>
      <c r="AB201" s="21">
        <f>EXP(-LN(2)/2)*AB200+(1-EXP(-LN(2)/2))/(LN(2)/2)*V201*Y201*VLOOKUP('Données projet'!$B$9,Paramètres!$A$1:$I$89,3,0)*0.475*44/12</f>
        <v>4.1947671491206037E-26</v>
      </c>
      <c r="AC201" s="22">
        <f t="shared" si="163"/>
        <v>13.856480721216093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963.59256833510426</v>
      </c>
      <c r="AN201" s="59">
        <f ca="1">AVERAGE(OFFSET($AM$3,0,0,'Données projet'!$E$10+1,1))-AVERAGE(OFFSET($H$3,0,0,'Données projet'!$E$10+1,1))</f>
        <v>392.48436003609055</v>
      </c>
      <c r="AO201" s="59">
        <f t="shared" si="205"/>
        <v>236.3312446580419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212.42519999999985</v>
      </c>
      <c r="BF201" s="13">
        <f t="shared" si="167"/>
        <v>52.465198231787184</v>
      </c>
      <c r="BG201" s="20">
        <f t="shared" si="168"/>
        <v>461.35077692036231</v>
      </c>
      <c r="BH201" s="59">
        <f t="shared" si="194"/>
        <v>754.68411025369562</v>
      </c>
      <c r="BI201" s="59">
        <f ca="1">AVERAGE(OFFSET($BH$3,0,0,'Données projet'!$E$11+1,1))-AVERAGE(OFFSET($H$3,0,0,'Données projet'!$E$11+1,1))</f>
        <v>225.2323446080772</v>
      </c>
      <c r="BJ201" s="59">
        <f t="shared" si="206"/>
        <v>222.29030402759292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4.1923377179302825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4.1923377179302825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258.24239999999986</v>
      </c>
      <c r="CA201" s="13">
        <f t="shared" si="170"/>
        <v>62.347580891234152</v>
      </c>
      <c r="CB201" s="20">
        <f t="shared" si="171"/>
        <v>558.3608833855659</v>
      </c>
      <c r="CC201" s="59">
        <f t="shared" si="195"/>
        <v>851.69421671889927</v>
      </c>
      <c r="CD201" s="59">
        <f ca="1">AVERAGE(OFFSET($CC$3,0,0,'Données projet'!$E$12+1,1))-AVERAGE(OFFSET($H$3,0,0,'Données projet'!$E$12+1,1))</f>
        <v>281.84871057356037</v>
      </c>
      <c r="CE201" s="59">
        <f t="shared" si="207"/>
        <v>276.02211904126887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4.1349509271188083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4.1349509271188083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853.00000000000011</v>
      </c>
      <c r="O202" s="13">
        <f>N202*VLOOKUP('Données projet'!$B$9,Paramètres!$A$1:$I$89,3,0)*VLOOKUP('Données projet'!$B$9,Paramètres!$A$1:$I$89,5,0)</f>
        <v>399.20400000000006</v>
      </c>
      <c r="P202" s="13">
        <f t="shared" si="203"/>
        <v>91.615269732888521</v>
      </c>
      <c r="Q202" s="20">
        <f t="shared" si="162"/>
        <v>854.8435614514475</v>
      </c>
      <c r="R202" s="59">
        <f t="shared" si="191"/>
        <v>1148.1768947847809</v>
      </c>
      <c r="S202" s="59">
        <f ca="1">AVERAGE(OFFSET($R$3,0,0,'Données projet'!$E$9+1,1))-AVERAGE(OFFSET($H$3,0,0,'Données projet'!$E$9+1,1))</f>
        <v>414.8063171894658</v>
      </c>
      <c r="T202" s="59">
        <f t="shared" si="204"/>
        <v>354.21555670988619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13.129187110450314</v>
      </c>
      <c r="AA202" s="21">
        <f>EXP(-LN(2)/25)*AA201+(1-EXP(-LN(2)/25))/(LN(2)/25)*Calculateur!V202*Calculateur!X202*VLOOKUP('Données projet'!$B$9,Paramètres!$A$1:$I$89,3,0)*0.475*44/12</f>
        <v>0.45198180018267659</v>
      </c>
      <c r="AB202" s="21">
        <f>EXP(-LN(2)/2)*AB201+(1-EXP(-LN(2)/2))/(LN(2)/2)*V202*Y202*VLOOKUP('Données projet'!$B$9,Paramètres!$A$1:$I$89,3,0)*0.475*44/12</f>
        <v>2.9661482966417404E-26</v>
      </c>
      <c r="AC202" s="22">
        <f t="shared" si="163"/>
        <v>13.581168910632991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963.59256833510426</v>
      </c>
      <c r="AN202" s="59">
        <f ca="1">AVERAGE(OFFSET($AM$3,0,0,'Données projet'!$E$10+1,1))-AVERAGE(OFFSET($H$3,0,0,'Données projet'!$E$10+1,1))</f>
        <v>392.48436003609055</v>
      </c>
      <c r="AO202" s="59">
        <f t="shared" si="205"/>
        <v>236.3312446580419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212.42519999999985</v>
      </c>
      <c r="BF202" s="13">
        <f t="shared" si="167"/>
        <v>52.465198231787184</v>
      </c>
      <c r="BG202" s="20">
        <f t="shared" si="168"/>
        <v>461.35077692036231</v>
      </c>
      <c r="BH202" s="59">
        <f t="shared" si="194"/>
        <v>754.68411025369562</v>
      </c>
      <c r="BI202" s="59">
        <f ca="1">AVERAGE(OFFSET($BH$3,0,0,'Données projet'!$E$11+1,1))-AVERAGE(OFFSET($H$3,0,0,'Données projet'!$E$11+1,1))</f>
        <v>225.2323446080772</v>
      </c>
      <c r="BJ202" s="59">
        <f t="shared" si="206"/>
        <v>222.29030402759292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4.1101285323551879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4.1101285323551879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258.24239999999986</v>
      </c>
      <c r="CA202" s="13">
        <f t="shared" si="170"/>
        <v>62.347580891234152</v>
      </c>
      <c r="CB202" s="20">
        <f t="shared" si="171"/>
        <v>558.3608833855659</v>
      </c>
      <c r="CC202" s="59">
        <f t="shared" si="195"/>
        <v>851.69421671889927</v>
      </c>
      <c r="CD202" s="59">
        <f ca="1">AVERAGE(OFFSET($CC$3,0,0,'Données projet'!$E$12+1,1))-AVERAGE(OFFSET($H$3,0,0,'Données projet'!$E$12+1,1))</f>
        <v>281.84871057356037</v>
      </c>
      <c r="CE202" s="59">
        <f t="shared" si="207"/>
        <v>276.02211904126887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4.05386706150904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4.05386706150904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853.00000000000011</v>
      </c>
      <c r="O203" s="13">
        <f>N203*VLOOKUP('Données projet'!$B$9,Paramètres!$A$1:$I$89,3,0)*VLOOKUP('Données projet'!$B$9,Paramètres!$A$1:$I$89,5,0)</f>
        <v>399.20400000000006</v>
      </c>
      <c r="P203" s="13">
        <f t="shared" si="203"/>
        <v>91.615269732888521</v>
      </c>
      <c r="Q203" s="20">
        <f t="shared" si="162"/>
        <v>854.8435614514475</v>
      </c>
      <c r="R203" s="59">
        <f t="shared" si="191"/>
        <v>1148.1768947847809</v>
      </c>
      <c r="S203" s="59">
        <f ca="1">AVERAGE(OFFSET($R$3,0,0,'Données projet'!$E$9+1,1))-AVERAGE(OFFSET($H$3,0,0,'Données projet'!$E$9+1,1))</f>
        <v>414.8063171894658</v>
      </c>
      <c r="T203" s="59">
        <f t="shared" si="204"/>
        <v>354.21555670988619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12.871731759227794</v>
      </c>
      <c r="AA203" s="21">
        <f>EXP(-LN(2)/25)*AA202+(1-EXP(-LN(2)/25))/(LN(2)/25)*Calculateur!V203*Calculateur!X203*VLOOKUP('Données projet'!$B$9,Paramètres!$A$1:$I$89,3,0)*0.475*44/12</f>
        <v>0.43962233408799145</v>
      </c>
      <c r="AB203" s="21">
        <f>EXP(-LN(2)/2)*AB202+(1-EXP(-LN(2)/2))/(LN(2)/2)*V203*Y203*VLOOKUP('Données projet'!$B$9,Paramètres!$A$1:$I$89,3,0)*0.475*44/12</f>
        <v>2.0973835745603018E-26</v>
      </c>
      <c r="AC203" s="22">
        <f t="shared" si="163"/>
        <v>13.311354093315785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963.59256833510426</v>
      </c>
      <c r="AN203" s="59">
        <f ca="1">AVERAGE(OFFSET($AM$3,0,0,'Données projet'!$E$10+1,1))-AVERAGE(OFFSET($H$3,0,0,'Données projet'!$E$10+1,1))</f>
        <v>392.48436003609055</v>
      </c>
      <c r="AO203" s="59">
        <f t="shared" si="205"/>
        <v>236.3312446580419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212.42519999999985</v>
      </c>
      <c r="BF203" s="13">
        <f t="shared" si="167"/>
        <v>52.465198231787184</v>
      </c>
      <c r="BG203" s="20">
        <f t="shared" si="168"/>
        <v>461.35077692036231</v>
      </c>
      <c r="BH203" s="59">
        <f t="shared" si="194"/>
        <v>754.68411025369562</v>
      </c>
      <c r="BI203" s="59">
        <f ca="1">AVERAGE(OFFSET($BH$3,0,0,'Données projet'!$E$11+1,1))-AVERAGE(OFFSET($H$3,0,0,'Données projet'!$E$11+1,1))</f>
        <v>225.2323446080772</v>
      </c>
      <c r="BJ203" s="59">
        <f t="shared" si="206"/>
        <v>222.29030402759292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4.0295314187665685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4.0295314187665685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258.24239999999986</v>
      </c>
      <c r="CA203" s="13">
        <f t="shared" si="170"/>
        <v>62.347580891234152</v>
      </c>
      <c r="CB203" s="20">
        <f t="shared" si="171"/>
        <v>558.3608833855659</v>
      </c>
      <c r="CC203" s="59">
        <f t="shared" si="195"/>
        <v>851.69421671889927</v>
      </c>
      <c r="CD203" s="59">
        <f ca="1">AVERAGE(OFFSET($CC$3,0,0,'Données projet'!$E$12+1,1))-AVERAGE(OFFSET($H$3,0,0,'Données projet'!$E$12+1,1))</f>
        <v>281.84871057356037</v>
      </c>
      <c r="CE203" s="59">
        <f t="shared" si="207"/>
        <v>276.02211904126887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3.9743732010476047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3.9743732010476047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1.3370253457396568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1.2721747796233518</v>
      </c>
      <c r="BV205" s="81">
        <f>EXP(LN('Données projet'!B114)/'Données projet'!A114)</f>
        <v>1.2721747796233518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0.4</v>
      </c>
      <c r="C6" s="145">
        <f ca="1">IF(OR('Données projet'!B9="",'Données projet'!C9="",'Données projet'!C9=0%),0,Calculateur!S3)</f>
        <v>414.8063171894658</v>
      </c>
      <c r="D6" s="145">
        <f>IF(OR('Données projet'!B9="",'Données projet'!C9="",'Données projet'!C9=0%),0,Calculateur!T3)</f>
        <v>354.21555670988619</v>
      </c>
      <c r="E6" s="145">
        <f ca="1">MIN(C6,D6)</f>
        <v>354.21555670988619</v>
      </c>
      <c r="F6" s="145">
        <f ca="1">E6*B6</f>
        <v>141.68622268395447</v>
      </c>
      <c r="G6" s="145">
        <f ca="1">F6*(100%-'Données projet'!$C$24)*(100%-'Données projet'!$C$25)*(100%-'Données projet'!$C$26)*(100%-'Données projet'!$C$27)</f>
        <v>127.51760041555903</v>
      </c>
      <c r="H6" s="146">
        <f>IF(OR('Données projet'!B9="",'Données projet'!C9="",'Données projet'!C9=0%),0,AVERAGE(Calculateur!$AC$3:$AC$33)*B6)</f>
        <v>3.3503451288940385</v>
      </c>
      <c r="I6" s="147">
        <f>H6*(100%-'Données projet'!$C$24)*(100%-'Données projet'!$C$25)*(100%-'Données projet'!$C$26)*(100%-'Données projet'!$C$27)</f>
        <v>3.0153106160046348</v>
      </c>
      <c r="J6" s="148">
        <f>IF(OR('Données projet'!B9="",'Données projet'!C9="",'Données projet'!C9=0%),0,SUM(Calculateur!$V$3:$V$33)*VLOOKUP('Données projet'!$B$9,Paramètres!$A$1:$I$89,9,0)*B6)</f>
        <v>34.915999999999997</v>
      </c>
      <c r="K6" s="149">
        <f>J6*(100%-'Données projet'!$C$24)*(100%-'Données projet'!$C$25)*(100%-'Données projet'!$C$26)*(100%-'Données projet'!$C$27)</f>
        <v>31.424399999999999</v>
      </c>
      <c r="L6" s="150">
        <f ca="1">G6+I6+K6</f>
        <v>161.95731103156365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pubescent</v>
      </c>
      <c r="B7" s="152">
        <f>'Données projet'!D10</f>
        <v>0.33329999999999999</v>
      </c>
      <c r="C7" s="145">
        <f ca="1">IF(OR('Données projet'!B10="",'Données projet'!C10="",'Données projet'!C10=0%),0,Calculateur!AN3)</f>
        <v>392.48436003609055</v>
      </c>
      <c r="D7" s="145">
        <f>IF(OR('Données projet'!B10="",'Données projet'!C10="",'Données projet'!C10=0%),0,Calculateur!AO3)</f>
        <v>236.3312446580419</v>
      </c>
      <c r="E7" s="145">
        <f t="shared" ref="E7:E15" ca="1" si="0">MIN(C7,D7)</f>
        <v>236.3312446580419</v>
      </c>
      <c r="F7" s="145">
        <f t="shared" ref="F7:F15" ca="1" si="1">E7*B7</f>
        <v>78.769203844525364</v>
      </c>
      <c r="G7" s="145">
        <f ca="1">F7*(100%-'Données projet'!$C$24)*(100%-'Données projet'!$C$25)*(100%-'Données projet'!$C$26)*(100%-'Données projet'!$C$27)</f>
        <v>70.892283460072832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5.16615</v>
      </c>
      <c r="K7" s="149">
        <f>J7*(100%-'Données projet'!$C$24)*(100%-'Données projet'!$C$25)*(100%-'Données projet'!$C$26)*(100%-'Données projet'!$C$27)</f>
        <v>4.6495350000000002</v>
      </c>
      <c r="L7" s="150">
        <f t="shared" ref="L7:L15" ca="1" si="2">G7+I7+K7</f>
        <v>75.541818460072832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sycomore</v>
      </c>
      <c r="B8" s="152">
        <f>'Données projet'!D11</f>
        <v>0.16669999999999999</v>
      </c>
      <c r="C8" s="145">
        <f ca="1">IF(OR('Données projet'!B11="",'Données projet'!C11="",'Données projet'!C11=0%),0,Calculateur!BI3)</f>
        <v>225.2323446080772</v>
      </c>
      <c r="D8" s="145">
        <f>IF(OR('Données projet'!B11="",'Données projet'!C11="",'Données projet'!C11=0%),0,Calculateur!BJ3)</f>
        <v>222.29030402759292</v>
      </c>
      <c r="E8" s="145">
        <f t="shared" ca="1" si="0"/>
        <v>222.29030402759292</v>
      </c>
      <c r="F8" s="145">
        <f t="shared" ca="1" si="1"/>
        <v>37.055793681399734</v>
      </c>
      <c r="G8" s="145">
        <f ca="1">F8*(100%-'Données projet'!$C$24)*(100%-'Données projet'!$C$25)*(100%-'Données projet'!$C$26)*(100%-'Données projet'!$C$27)</f>
        <v>33.350214313259762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4.1258249999999999</v>
      </c>
      <c r="K8" s="149">
        <f>J8*(100%-'Données projet'!$C$24)*(100%-'Données projet'!$C$25)*(100%-'Données projet'!$C$26)*(100%-'Données projet'!$C$27)</f>
        <v>3.7132424999999998</v>
      </c>
      <c r="L8" s="150">
        <f t="shared" ca="1" si="2"/>
        <v>37.063456813259762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Alisier torminal</v>
      </c>
      <c r="B9" s="152">
        <f>'Données projet'!D12</f>
        <v>0.1</v>
      </c>
      <c r="C9" s="145">
        <f ca="1">IF(OR('Données projet'!B12="",'Données projet'!C12="",'Données projet'!C12=0%),0,Calculateur!CD3)</f>
        <v>281.84871057356037</v>
      </c>
      <c r="D9" s="145">
        <f>IF(OR('Données projet'!B12="",'Données projet'!C12="",'Données projet'!C12=0%),0,Calculateur!CE3)</f>
        <v>276.02211904126887</v>
      </c>
      <c r="E9" s="145">
        <f t="shared" ca="1" si="0"/>
        <v>276.02211904126887</v>
      </c>
      <c r="F9" s="145">
        <f t="shared" ca="1" si="1"/>
        <v>27.602211904126889</v>
      </c>
      <c r="G9" s="145">
        <f ca="1">F9*(100%-'Données projet'!$C$24)*(100%-'Données projet'!$C$25)*(100%-'Données projet'!$C$26)*(100%-'Données projet'!$C$27)</f>
        <v>24.8419907137142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2.4750000000000001</v>
      </c>
      <c r="K9" s="149">
        <f>J9*(100%-'Données projet'!$C$24)*(100%-'Données projet'!$C$25)*(100%-'Données projet'!$C$26)*(100%-'Données projet'!$C$27)</f>
        <v>2.2275</v>
      </c>
      <c r="L9" s="150">
        <f t="shared" ca="1" si="2"/>
        <v>27.069490713714199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285.11343211400646</v>
      </c>
      <c r="G16" s="164">
        <f t="shared" ca="1" si="3"/>
        <v>256.60208890260583</v>
      </c>
      <c r="H16" s="165">
        <f t="shared" si="3"/>
        <v>3.3503451288940385</v>
      </c>
      <c r="I16" s="165">
        <f t="shared" si="3"/>
        <v>3.0153106160046348</v>
      </c>
      <c r="J16" s="166">
        <f t="shared" si="3"/>
        <v>46.682974999999999</v>
      </c>
      <c r="K16" s="166">
        <f t="shared" si="3"/>
        <v>42.014677499999998</v>
      </c>
      <c r="L16" s="167">
        <f t="shared" ca="1" si="3"/>
        <v>301.63207701861046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C27" sqref="C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-2040.0486410582312</v>
      </c>
      <c r="U10" s="176">
        <f>'Données projet'!D9</f>
        <v>0.4</v>
      </c>
      <c r="V10" s="175">
        <f>U10*T10</f>
        <v>-816.01945642329247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pubescent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-3713.2521361154459</v>
      </c>
      <c r="U11" s="176">
        <f>'Données projet'!D10</f>
        <v>0.33329999999999999</v>
      </c>
      <c r="V11" s="175">
        <f t="shared" ref="V11" si="0">U11*T11</f>
        <v>-1237.626936967278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sycomore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-2989.8510422937543</v>
      </c>
      <c r="U12" s="176">
        <f>'Données projet'!D11</f>
        <v>0.16669999999999999</v>
      </c>
      <c r="V12" s="175">
        <f t="shared" ref="V12:V19" si="1">U12*T12</f>
        <v>-498.40816875036882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Alisier torminal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-5877.7010422937547</v>
      </c>
      <c r="U13" s="176">
        <f>'Données projet'!D12</f>
        <v>0.1</v>
      </c>
      <c r="V13" s="175">
        <f t="shared" si="1"/>
        <v>-587.77010422937553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45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3037.5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45.000000000000036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675.00000000000057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10080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708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708</v>
      </c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-16327.928201426226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49</v>
      </c>
      <c r="C24" s="191">
        <v>15</v>
      </c>
      <c r="D24" s="180">
        <f t="shared" ref="D24:D42" si="2">B24*C24</f>
        <v>735</v>
      </c>
      <c r="E24" s="191"/>
      <c r="F24" s="231"/>
      <c r="H24" s="188">
        <v>4</v>
      </c>
      <c r="I24" s="189">
        <v>708</v>
      </c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93.125947124989551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77</v>
      </c>
      <c r="C25" s="191">
        <v>15</v>
      </c>
      <c r="D25" s="180">
        <f t="shared" si="2"/>
        <v>1155</v>
      </c>
      <c r="E25" s="191"/>
      <c r="F25" s="231"/>
      <c r="H25" s="188">
        <v>5</v>
      </c>
      <c r="I25" s="189">
        <v>708</v>
      </c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-16421.054148551215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77</v>
      </c>
      <c r="C26" s="191">
        <v>15</v>
      </c>
      <c r="D26" s="180">
        <f t="shared" si="2"/>
        <v>1155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77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77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77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76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66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60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56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53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50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pubescent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3862.71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6</v>
      </c>
      <c r="C54" s="189">
        <v>15</v>
      </c>
      <c r="D54" s="177">
        <f>B54*C54</f>
        <v>90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28</v>
      </c>
      <c r="C55" s="189">
        <v>15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28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27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25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24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sycomore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3532.15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15</v>
      </c>
      <c r="C85" s="189">
        <v>15</v>
      </c>
      <c r="D85" s="177">
        <f>B85*C85</f>
        <v>225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28</v>
      </c>
      <c r="C86" s="189">
        <v>15</v>
      </c>
      <c r="D86" s="177">
        <f t="shared" ref="D86:D104" si="6">B86*C86</f>
        <v>420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28</v>
      </c>
      <c r="C88" s="189">
        <v>15</v>
      </c>
      <c r="D88" s="177">
        <f t="shared" si="6"/>
        <v>420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22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13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12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9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8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Alisier torminal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6420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15</v>
      </c>
      <c r="C116" s="189">
        <v>15</v>
      </c>
      <c r="D116" s="177">
        <f>B116*C116</f>
        <v>225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28</v>
      </c>
      <c r="C117" s="189">
        <v>15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28</v>
      </c>
      <c r="C118" s="189">
        <v>15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28</v>
      </c>
      <c r="C119" s="189">
        <v>15</v>
      </c>
      <c r="D119" s="177">
        <f t="shared" si="8"/>
        <v>420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22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17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13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12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11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10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9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8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2023-11-13T15:23:53Z</dcterms:modified>
</cp:coreProperties>
</file>