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1 - PROJETS/Jérémy Schneider_Sermaize/"/>
    </mc:Choice>
  </mc:AlternateContent>
  <xr:revisionPtr revIDLastSave="76" documentId="8_{57497873-0096-4BCB-BB9B-B89A8B8EFD03}" xr6:coauthVersionLast="47" xr6:coauthVersionMax="47" xr10:uidLastSave="{7DE4656D-E0BE-4545-8858-710E6FDD17A4}"/>
  <bookViews>
    <workbookView xWindow="15" yWindow="-16320" windowWidth="29040" windowHeight="1572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E12" i="1"/>
  <c r="E11" i="1"/>
  <c r="E10" i="1"/>
  <c r="E9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BR4" i="2"/>
  <c r="EA4" i="2"/>
  <c r="GL4" i="2"/>
  <c r="FQ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B7" i="2" l="1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X18" i="2"/>
  <c r="EW18" i="2"/>
  <c r="FS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G20" i="2"/>
  <c r="EW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V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W22" i="2"/>
  <c r="HG22" i="2"/>
  <c r="EA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FS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EB28" i="2"/>
  <c r="HG28" i="2"/>
  <c r="HI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V30" i="2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HG33" i="2"/>
  <c r="HH33" i="2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H38" i="2"/>
  <c r="HG38" i="2"/>
  <c r="EW38" i="2"/>
  <c r="FS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FS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HH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HH62" i="2"/>
  <c r="EA62" i="2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FS75" i="2"/>
  <c r="EA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EV78" i="2" s="1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B78" i="2"/>
  <c r="EW78" i="2"/>
  <c r="HI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HI85" i="2"/>
  <c r="EV85" i="2"/>
  <c r="EW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X87" i="2"/>
  <c r="HG87" i="2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HG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FS105" i="2"/>
  <c r="EA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EB107" i="2"/>
  <c r="EC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B108" i="2"/>
  <c r="FS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FS113" i="2"/>
  <c r="HG113" i="2"/>
  <c r="EX113" i="2"/>
  <c r="HI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EX120" i="2"/>
  <c r="HI120" i="2"/>
  <c r="FQ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EW122" i="2"/>
  <c r="FS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G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FS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HI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EX128" i="2"/>
  <c r="EV128" i="2"/>
  <c r="FS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HH130" i="2" s="1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G130" i="2" l="1"/>
  <c r="FS130" i="2"/>
  <c r="EB130" i="2"/>
  <c r="HI130" i="2"/>
  <c r="EX130" i="2"/>
  <c r="EW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HH139" i="2"/>
  <c r="FS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FR140" i="2"/>
  <c r="HG140" i="2"/>
  <c r="HH140" i="2"/>
  <c r="EX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EA141" i="2"/>
  <c r="HG141" i="2"/>
  <c r="FS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EB144" i="2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S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EC149" i="2"/>
  <c r="EX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EC150" i="2"/>
  <c r="HG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H154" i="2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DI154" i="2"/>
  <c r="AC154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AX152" i="2"/>
  <c r="ED155" i="2" l="1"/>
  <c r="AB156" i="2"/>
  <c r="EX156" i="2"/>
  <c r="EB156" i="2"/>
  <c r="FS156" i="2"/>
  <c r="DH156" i="2"/>
  <c r="H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CN156" i="2"/>
  <c r="EB157" i="2"/>
  <c r="HH157" i="2"/>
  <c r="EA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EV158" i="2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HI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DG160" i="2"/>
  <c r="HG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A161" i="2" l="1"/>
  <c r="ED160" i="2"/>
  <c r="EB161" i="2"/>
  <c r="EX161" i="2"/>
  <c r="AB161" i="2"/>
  <c r="FS161" i="2"/>
  <c r="AW161" i="2"/>
  <c r="EC161" i="2"/>
  <c r="ED161" i="2" s="1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DI161" i="2" l="1"/>
  <c r="EB162" i="2"/>
  <c r="EC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HI163" i="2"/>
  <c r="EV163" i="2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DH164" i="2" l="1"/>
  <c r="DI163" i="2"/>
  <c r="HH164" i="2"/>
  <c r="HG164" i="2"/>
  <c r="EA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B165" i="2"/>
  <c r="EA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ED165" i="2"/>
  <c r="CN165" i="2"/>
  <c r="HG166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EA167" i="2"/>
  <c r="EB167" i="2"/>
  <c r="FR167" i="2"/>
  <c r="HI167" i="2"/>
  <c r="DG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DI167" i="2"/>
  <c r="HI168" i="2"/>
  <c r="HH168" i="2"/>
  <c r="EV168" i="2"/>
  <c r="EW168" i="2"/>
  <c r="EC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FS169" i="2"/>
  <c r="HH169" i="2"/>
  <c r="EX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A172" i="2"/>
  <c r="EB172" i="2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HH173" i="2"/>
  <c r="EB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H174" i="2"/>
  <c r="HG174" i="2"/>
  <c r="EA174" i="2"/>
  <c r="EB174" i="2"/>
  <c r="ED174" i="2" s="1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B175" i="2" l="1"/>
  <c r="AA175" i="2"/>
  <c r="EA175" i="2"/>
  <c r="EW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FS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EB178" i="2"/>
  <c r="EA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EB179" i="2"/>
  <c r="EA179" i="2"/>
  <c r="HG179" i="2"/>
  <c r="HI179" i="2"/>
  <c r="EV179" i="2"/>
  <c r="DF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HI180" i="2" l="1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W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D182" i="2" l="1"/>
  <c r="FS183" i="2"/>
  <c r="EB183" i="2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 l="1"/>
  <c r="EW185" i="2"/>
  <c r="HH185" i="2"/>
  <c r="HG185" i="2"/>
  <c r="HI185" i="2"/>
  <c r="EB185" i="2"/>
  <c r="EA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A186" i="2" l="1"/>
  <c r="ED185" i="2"/>
  <c r="EB186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EC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EB189" i="2" l="1"/>
  <c r="HH189" i="2"/>
  <c r="AA189" i="2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W190" i="2" l="1"/>
  <c r="HH190" i="2"/>
  <c r="EB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B192" i="2" l="1"/>
  <c r="EA192" i="2"/>
  <c r="HI192" i="2"/>
  <c r="EW192" i="2"/>
  <c r="EC192" i="2"/>
  <c r="ED192" i="2" s="1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EB193" i="2" l="1"/>
  <c r="DI192" i="2"/>
  <c r="EX193" i="2"/>
  <c r="HI193" i="2"/>
  <c r="FS193" i="2"/>
  <c r="EC193" i="2"/>
  <c r="ED193" i="2" s="1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A194" i="2" l="1"/>
  <c r="EB194" i="2"/>
  <c r="CN193" i="2"/>
  <c r="HI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A195" i="2" l="1"/>
  <c r="DH195" i="2"/>
  <c r="EB195" i="2"/>
  <c r="AA195" i="2"/>
  <c r="FQ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C197" i="2" l="1"/>
  <c r="EW197" i="2"/>
  <c r="AA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EB199" i="2"/>
  <c r="FS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A201" i="2" l="1"/>
  <c r="DI200" i="2"/>
  <c r="FS201" i="2"/>
  <c r="HH201" i="2"/>
  <c r="HG201" i="2"/>
  <c r="EB201" i="2"/>
  <c r="HI201" i="2"/>
  <c r="EX201" i="2"/>
  <c r="AI5" i="2"/>
  <c r="EW201" i="2"/>
  <c r="EC201" i="2"/>
  <c r="ED201" i="2" s="1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R202" i="2" l="1"/>
  <c r="FZ6" i="2"/>
  <c r="HI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54" i="2" a="1"/>
  <c r="FY54" i="2" s="1"/>
  <c r="FY18" i="2" a="1"/>
  <c r="FY18" i="2" s="1"/>
  <c r="FY71" i="2" a="1"/>
  <c r="FY71" i="2" s="1"/>
  <c r="FY186" i="2" a="1"/>
  <c r="FY186" i="2" s="1"/>
  <c r="FY152" i="2" a="1"/>
  <c r="FY152" i="2" s="1"/>
  <c r="FY55" i="2" a="1"/>
  <c r="FY55" i="2" s="1"/>
  <c r="FY178" i="2" a="1"/>
  <c r="FY178" i="2" s="1"/>
  <c r="FY104" i="2" a="1"/>
  <c r="FY104" i="2" s="1"/>
  <c r="FY172" i="2" a="1"/>
  <c r="FY172" i="2" s="1"/>
  <c r="FD59" i="2" a="1"/>
  <c r="FD59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EI195" i="2" a="1"/>
  <c r="EI195" i="2" s="1"/>
  <c r="AH62" i="2" a="1"/>
  <c r="AH62" i="2" s="1"/>
  <c r="FY182" i="2" a="1"/>
  <c r="FY182" i="2" s="1"/>
  <c r="FY82" i="2" a="1"/>
  <c r="FY82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43" i="2" a="1"/>
  <c r="FD43" i="2" s="1"/>
  <c r="FD131" i="2" a="1"/>
  <c r="FD131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64" i="2" a="1"/>
  <c r="BC164" i="2" s="1"/>
  <c r="BC151" i="2" a="1"/>
  <c r="BC151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6" i="2" a="1"/>
  <c r="DN6" i="2" s="1"/>
  <c r="DO6" i="2" s="1"/>
  <c r="HJ202" i="2"/>
  <c r="EY202" i="2"/>
  <c r="AX200" i="2"/>
  <c r="CS114" i="2" l="1" a="1"/>
  <c r="CS114" i="2" s="1"/>
  <c r="CS56" i="2" a="1"/>
  <c r="CS56" i="2" s="1"/>
  <c r="CS38" i="2" a="1"/>
  <c r="CS38" i="2" s="1"/>
  <c r="AH163" i="2" a="1"/>
  <c r="AH163" i="2" s="1"/>
  <c r="DN168" i="2" a="1"/>
  <c r="DN168" i="2" s="1"/>
  <c r="DN152" i="2" a="1"/>
  <c r="DN152" i="2" s="1"/>
  <c r="DN31" i="2" a="1"/>
  <c r="DN31" i="2" s="1"/>
  <c r="DN66" i="2" a="1"/>
  <c r="DN66" i="2" s="1"/>
  <c r="CS77" i="2" a="1"/>
  <c r="CS77" i="2" s="1"/>
  <c r="CS72" i="2" a="1"/>
  <c r="CS72" i="2" s="1"/>
  <c r="CS116" i="2" a="1"/>
  <c r="CS116" i="2" s="1"/>
  <c r="CS24" i="2" a="1"/>
  <c r="CS24" i="2" s="1"/>
  <c r="CS120" i="2" a="1"/>
  <c r="CS120" i="2" s="1"/>
  <c r="BP203" i="2"/>
  <c r="BC34" i="2" a="1"/>
  <c r="BC34" i="2" s="1"/>
  <c r="BC83" i="2" a="1"/>
  <c r="BC83" i="2" s="1"/>
  <c r="BC185" i="2" a="1"/>
  <c r="BC185" i="2" s="1"/>
  <c r="BC7" i="2" a="1"/>
  <c r="BC7" i="2" s="1"/>
  <c r="BC143" i="2" a="1"/>
  <c r="BC143" i="2" s="1"/>
  <c r="AH19" i="2" a="1"/>
  <c r="AH19" i="2" s="1"/>
  <c r="AH90" i="2" a="1"/>
  <c r="AH90" i="2" s="1"/>
  <c r="AH151" i="2" a="1"/>
  <c r="AH151" i="2" s="1"/>
  <c r="DN188" i="2" a="1"/>
  <c r="DN188" i="2" s="1"/>
  <c r="DN16" i="2" a="1"/>
  <c r="DN16" i="2" s="1"/>
  <c r="DN86" i="2" a="1"/>
  <c r="DN86" i="2" s="1"/>
  <c r="FY133" i="2" a="1"/>
  <c r="FY133" i="2" s="1"/>
  <c r="DN43" i="2" a="1"/>
  <c r="DN43" i="2" s="1"/>
  <c r="FY188" i="2" a="1"/>
  <c r="FY188" i="2" s="1"/>
  <c r="FY58" i="2" a="1"/>
  <c r="FY58" i="2" s="1"/>
  <c r="DN115" i="2" a="1"/>
  <c r="DN115" i="2" s="1"/>
  <c r="FY149" i="2" a="1"/>
  <c r="FY149" i="2" s="1"/>
  <c r="FY143" i="2" a="1"/>
  <c r="FY143" i="2" s="1"/>
  <c r="FY47" i="2" a="1"/>
  <c r="FY47" i="2" s="1"/>
  <c r="DN164" i="2" a="1"/>
  <c r="DN164" i="2" s="1"/>
  <c r="FY121" i="2" a="1"/>
  <c r="FY121" i="2" s="1"/>
  <c r="DN153" i="2" a="1"/>
  <c r="DN153" i="2" s="1"/>
  <c r="BC47" i="2" a="1"/>
  <c r="BC47" i="2" s="1"/>
  <c r="FY78" i="2" a="1"/>
  <c r="FY78" i="2" s="1"/>
  <c r="DN190" i="2" a="1"/>
  <c r="DN190" i="2" s="1"/>
  <c r="DN135" i="2" a="1"/>
  <c r="DN135" i="2" s="1"/>
  <c r="BC84" i="2" a="1"/>
  <c r="BC84" i="2" s="1"/>
  <c r="FD107" i="2" a="1"/>
  <c r="FD107" i="2" s="1"/>
  <c r="FY167" i="2" a="1"/>
  <c r="FY167" i="2" s="1"/>
  <c r="CS105" i="2" a="1"/>
  <c r="CS105" i="2" s="1"/>
  <c r="CS137" i="2" a="1"/>
  <c r="CS137" i="2" s="1"/>
  <c r="DN170" i="2" a="1"/>
  <c r="DN170" i="2" s="1"/>
  <c r="CS129" i="2" a="1"/>
  <c r="CS129" i="2" s="1"/>
  <c r="BC68" i="2" a="1"/>
  <c r="BC68" i="2" s="1"/>
  <c r="FY124" i="2" a="1"/>
  <c r="FY124" i="2" s="1"/>
  <c r="FY174" i="2" a="1"/>
  <c r="FY174" i="2" s="1"/>
  <c r="FY110" i="2" a="1"/>
  <c r="FY110" i="2" s="1"/>
  <c r="FY165" i="2" a="1"/>
  <c r="FY165" i="2" s="1"/>
  <c r="HG203" i="2"/>
  <c r="DN167" i="2" a="1"/>
  <c r="DN167" i="2" s="1"/>
  <c r="DN41" i="2" a="1"/>
  <c r="DN41" i="2" s="1"/>
  <c r="FY34" i="2" a="1"/>
  <c r="FY34" i="2" s="1"/>
  <c r="FY109" i="2" a="1"/>
  <c r="FY109" i="2" s="1"/>
  <c r="DN177" i="2" a="1"/>
  <c r="DN177" i="2" s="1"/>
  <c r="FY79" i="2" a="1"/>
  <c r="FY79" i="2" s="1"/>
  <c r="DN103" i="2" a="1"/>
  <c r="DN103" i="2" s="1"/>
  <c r="DN186" i="2" a="1"/>
  <c r="DN186" i="2" s="1"/>
  <c r="FY28" i="2" a="1"/>
  <c r="FY28" i="2" s="1"/>
  <c r="FY29" i="2" a="1"/>
  <c r="FY29" i="2" s="1"/>
  <c r="DN176" i="2" a="1"/>
  <c r="DN176" i="2" s="1"/>
  <c r="BC31" i="2" a="1"/>
  <c r="BC31" i="2" s="1"/>
  <c r="DN137" i="2" a="1"/>
  <c r="DN137" i="2" s="1"/>
  <c r="FY24" i="2" a="1"/>
  <c r="FY24" i="2" s="1"/>
  <c r="FY191" i="2" a="1"/>
  <c r="FY191" i="2" s="1"/>
  <c r="FY35" i="2" a="1"/>
  <c r="FY35" i="2" s="1"/>
  <c r="FR203" i="2"/>
  <c r="DN187" i="2" a="1"/>
  <c r="DN187" i="2" s="1"/>
  <c r="FD82" i="2" a="1"/>
  <c r="FD82" i="2" s="1"/>
  <c r="DN133" i="2" a="1"/>
  <c r="DN133" i="2" s="1"/>
  <c r="DN38" i="2" a="1"/>
  <c r="DN38" i="2" s="1"/>
  <c r="BC32" i="2" a="1"/>
  <c r="BC32" i="2" s="1"/>
  <c r="FD167" i="2" a="1"/>
  <c r="FD167" i="2" s="1"/>
  <c r="FY142" i="2" a="1"/>
  <c r="FY142" i="2" s="1"/>
  <c r="CS161" i="2" a="1"/>
  <c r="CS161" i="2" s="1"/>
  <c r="DN123" i="2" a="1"/>
  <c r="DN123" i="2" s="1"/>
  <c r="DN129" i="2" a="1"/>
  <c r="DN129" i="2" s="1"/>
  <c r="CS52" i="2" a="1"/>
  <c r="CS52" i="2" s="1"/>
  <c r="BC58" i="2" a="1"/>
  <c r="BC58" i="2" s="1"/>
  <c r="FY169" i="2" a="1"/>
  <c r="FY169" i="2" s="1"/>
  <c r="FY99" i="2" a="1"/>
  <c r="FY99" i="2" s="1"/>
  <c r="FY153" i="2" a="1"/>
  <c r="FY153" i="2" s="1"/>
  <c r="FY146" i="2" a="1"/>
  <c r="FY146" i="2" s="1"/>
  <c r="DN30" i="2" a="1"/>
  <c r="DN30" i="2" s="1"/>
  <c r="FY115" i="2" a="1"/>
  <c r="FY115" i="2" s="1"/>
  <c r="FY173" i="2" a="1"/>
  <c r="FY173" i="2" s="1"/>
  <c r="DN46" i="2" a="1"/>
  <c r="DN46" i="2" s="1"/>
  <c r="DN114" i="2" a="1"/>
  <c r="DN114" i="2" s="1"/>
  <c r="FY159" i="2" a="1"/>
  <c r="FY159" i="2" s="1"/>
  <c r="DN49" i="2" a="1"/>
  <c r="DN49" i="2" s="1"/>
  <c r="BX107" i="2" a="1"/>
  <c r="BX107" i="2" s="1"/>
  <c r="FY80" i="2" a="1"/>
  <c r="FY80" i="2" s="1"/>
  <c r="DN124" i="2" a="1"/>
  <c r="DN124" i="2" s="1"/>
  <c r="FY116" i="2" a="1"/>
  <c r="FY116" i="2" s="1"/>
  <c r="DN63" i="2" a="1"/>
  <c r="DN63" i="2" s="1"/>
  <c r="FY92" i="2" a="1"/>
  <c r="FY92" i="2" s="1"/>
  <c r="FY22" i="2" a="1"/>
  <c r="FY22" i="2" s="1"/>
  <c r="DN45" i="2" a="1"/>
  <c r="DN45" i="2" s="1"/>
  <c r="DN80" i="2" a="1"/>
  <c r="DN80" i="2" s="1"/>
  <c r="BC18" i="2" a="1"/>
  <c r="BC18" i="2" s="1"/>
  <c r="BC55" i="2" a="1"/>
  <c r="BC55" i="2" s="1"/>
  <c r="FD64" i="2" a="1"/>
  <c r="FD64" i="2" s="1"/>
  <c r="FY42" i="2" a="1"/>
  <c r="FY42" i="2" s="1"/>
  <c r="AH199" i="2" a="1"/>
  <c r="AH199" i="2" s="1"/>
  <c r="DN150" i="2" a="1"/>
  <c r="DN150" i="2" s="1"/>
  <c r="DN25" i="2" a="1"/>
  <c r="DN25" i="2" s="1"/>
  <c r="DN155" i="2" a="1"/>
  <c r="DN155" i="2" s="1"/>
  <c r="DN56" i="2" a="1"/>
  <c r="DN56" i="2" s="1"/>
  <c r="FD144" i="2" a="1"/>
  <c r="FD144" i="2" s="1"/>
  <c r="FY72" i="2" a="1"/>
  <c r="FY72" i="2" s="1"/>
  <c r="FY111" i="2" a="1"/>
  <c r="FY111" i="2" s="1"/>
  <c r="FY66" i="2" a="1"/>
  <c r="FY66" i="2" s="1"/>
  <c r="FY90" i="2" a="1"/>
  <c r="FY90" i="2" s="1"/>
  <c r="DN132" i="2" a="1"/>
  <c r="DN132" i="2" s="1"/>
  <c r="DN29" i="2" a="1"/>
  <c r="DN29" i="2" s="1"/>
  <c r="FY126" i="2" a="1"/>
  <c r="FY126" i="2" s="1"/>
  <c r="DN162" i="2" a="1"/>
  <c r="DN162" i="2" s="1"/>
  <c r="FY86" i="2" a="1"/>
  <c r="FY86" i="2" s="1"/>
  <c r="FY164" i="2" a="1"/>
  <c r="FY164" i="2" s="1"/>
  <c r="FY140" i="2" a="1"/>
  <c r="FY140" i="2" s="1"/>
  <c r="DN65" i="2" a="1"/>
  <c r="DN65" i="2" s="1"/>
  <c r="DN50" i="2" a="1"/>
  <c r="DN50" i="2" s="1"/>
  <c r="FY62" i="2" a="1"/>
  <c r="FY62" i="2" s="1"/>
  <c r="FY102" i="2" a="1"/>
  <c r="FY102" i="2" s="1"/>
  <c r="FY32" i="2" a="1"/>
  <c r="FY32" i="2" s="1"/>
  <c r="FS203" i="2"/>
  <c r="DN70" i="2" a="1"/>
  <c r="DN70" i="2" s="1"/>
  <c r="BC192" i="2" a="1"/>
  <c r="BC192" i="2" s="1"/>
  <c r="FY30" i="2" a="1"/>
  <c r="FY30" i="2" s="1"/>
  <c r="DN113" i="2" a="1"/>
  <c r="DN113" i="2" s="1"/>
  <c r="FY190" i="2" a="1"/>
  <c r="FY190" i="2" s="1"/>
  <c r="FY69" i="2" a="1"/>
  <c r="FY69" i="2" s="1"/>
  <c r="DN55" i="2" a="1"/>
  <c r="DN55" i="2" s="1"/>
  <c r="CS134" i="2" a="1"/>
  <c r="CS134" i="2" s="1"/>
  <c r="DN110" i="2" a="1"/>
  <c r="DN110" i="2" s="1"/>
  <c r="CS185" i="2" a="1"/>
  <c r="CS185" i="2" s="1"/>
  <c r="BC38" i="2" a="1"/>
  <c r="BC38" i="2" s="1"/>
  <c r="BC130" i="2" a="1"/>
  <c r="BC130" i="2" s="1"/>
  <c r="FD189" i="2" a="1"/>
  <c r="FD189" i="2" s="1"/>
  <c r="FY196" i="2" a="1"/>
  <c r="FY196" i="2" s="1"/>
  <c r="AH166" i="2" a="1"/>
  <c r="AH166" i="2" s="1"/>
  <c r="DN192" i="2" a="1"/>
  <c r="DN192" i="2" s="1"/>
  <c r="DN184" i="2" a="1"/>
  <c r="DN184" i="2" s="1"/>
  <c r="BC117" i="2" a="1"/>
  <c r="BC117" i="2" s="1"/>
  <c r="FD21" i="2" a="1"/>
  <c r="FD21" i="2" s="1"/>
  <c r="AH92" i="2" a="1"/>
  <c r="AH92" i="2" s="1"/>
  <c r="FY73" i="2" a="1"/>
  <c r="FY73" i="2" s="1"/>
  <c r="FY120" i="2" a="1"/>
  <c r="FY120" i="2" s="1"/>
  <c r="FY57" i="2" a="1"/>
  <c r="FY57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1" i="2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CD9" i="2" l="1"/>
  <c r="CD38" i="2"/>
  <c r="CD67" i="2"/>
  <c r="CD8" i="2"/>
  <c r="CD19" i="2"/>
  <c r="CD113" i="2"/>
  <c r="CD191" i="2"/>
  <c r="CD187" i="2"/>
  <c r="CD135" i="2"/>
  <c r="CD173" i="2"/>
  <c r="CD32" i="2"/>
  <c r="CD69" i="2"/>
  <c r="CD101" i="2"/>
  <c r="CD170" i="2"/>
  <c r="CD81" i="2"/>
  <c r="CD76" i="2"/>
  <c r="CD194" i="2"/>
  <c r="CD84" i="2"/>
  <c r="CD177" i="2"/>
  <c r="CD167" i="2"/>
  <c r="CD35" i="2"/>
  <c r="CD146" i="2"/>
  <c r="CD14" i="2"/>
  <c r="CD109" i="2"/>
  <c r="CD10" i="2"/>
  <c r="CD39" i="2"/>
  <c r="CD92" i="2"/>
  <c r="CD65" i="2"/>
  <c r="CD13" i="2"/>
  <c r="CD202" i="2"/>
  <c r="CD58" i="2"/>
  <c r="CD117" i="2"/>
  <c r="CD60" i="2"/>
  <c r="CD103" i="2"/>
  <c r="CD88" i="2"/>
  <c r="CD160" i="2"/>
  <c r="CD64" i="2"/>
  <c r="CD94" i="2"/>
  <c r="CD112" i="2"/>
  <c r="CD175" i="2"/>
  <c r="CD162" i="2"/>
  <c r="CD23" i="2"/>
  <c r="CD181" i="2"/>
  <c r="CD102" i="2"/>
  <c r="CD155" i="2"/>
  <c r="CD47" i="2"/>
  <c r="CD79" i="2"/>
  <c r="CD25" i="2"/>
  <c r="CD151" i="2"/>
  <c r="CD149" i="2"/>
  <c r="CD91" i="2"/>
  <c r="CD20" i="2"/>
  <c r="CD195" i="2"/>
  <c r="CD43" i="2"/>
  <c r="CD93" i="2"/>
  <c r="CD18" i="2"/>
  <c r="CD203" i="2"/>
  <c r="CD199" i="2"/>
  <c r="CD119" i="2"/>
  <c r="CD190" i="2"/>
  <c r="CD73" i="2"/>
  <c r="CD31" i="2"/>
  <c r="CD184" i="2"/>
  <c r="CD36" i="2"/>
  <c r="CD197" i="2"/>
  <c r="CD166" i="2"/>
  <c r="CD142" i="2"/>
  <c r="CD106" i="2"/>
  <c r="CD77" i="2"/>
  <c r="CD123" i="2"/>
  <c r="CD139" i="2"/>
  <c r="CD120" i="2"/>
  <c r="CD98" i="2"/>
  <c r="CD29" i="2"/>
  <c r="CD180" i="2"/>
  <c r="CD28" i="2"/>
  <c r="CD21" i="2"/>
  <c r="CD99" i="2"/>
  <c r="CD80" i="2"/>
  <c r="CD157" i="2"/>
  <c r="CD37" i="2"/>
  <c r="CD133" i="2"/>
  <c r="CD134" i="2"/>
  <c r="CD15" i="2"/>
  <c r="CD164" i="2"/>
  <c r="CD121" i="2"/>
  <c r="CD122" i="2"/>
  <c r="CD129" i="2"/>
  <c r="CD130" i="2"/>
  <c r="CD118" i="2"/>
  <c r="CD178" i="2"/>
  <c r="CD169" i="2"/>
  <c r="CD78" i="2"/>
  <c r="CD105" i="2"/>
  <c r="CD172" i="2"/>
  <c r="CD41" i="2"/>
  <c r="CD193" i="2"/>
  <c r="CD59" i="2"/>
  <c r="CD174" i="2"/>
  <c r="CD83" i="2"/>
  <c r="CD72" i="2"/>
  <c r="CD45" i="2"/>
  <c r="CD51" i="2"/>
  <c r="CD42" i="2"/>
  <c r="CD26" i="2"/>
  <c r="CD159" i="2"/>
  <c r="CD185" i="2"/>
  <c r="CD27" i="2"/>
  <c r="CD100" i="2"/>
  <c r="CD136" i="2"/>
  <c r="CD54" i="2"/>
  <c r="CD150" i="2"/>
  <c r="CD40" i="2"/>
  <c r="CD144" i="2"/>
  <c r="CD66" i="2"/>
  <c r="CD46" i="2"/>
  <c r="CD138" i="2"/>
  <c r="CD107" i="2"/>
  <c r="CD165" i="2"/>
  <c r="CD11" i="2"/>
  <c r="CD34" i="2"/>
  <c r="CD156" i="2"/>
  <c r="CD176" i="2"/>
  <c r="CD56" i="2"/>
  <c r="CD126" i="2"/>
  <c r="CD63" i="2"/>
  <c r="CD140" i="2"/>
  <c r="CD182" i="2"/>
  <c r="CD16" i="2"/>
  <c r="CD171" i="2"/>
  <c r="CD97" i="2"/>
  <c r="CD192" i="2"/>
  <c r="CD5" i="2"/>
  <c r="CD200" i="2"/>
  <c r="CD3" i="2"/>
  <c r="C9" i="4" s="1"/>
  <c r="E9" i="4" s="1"/>
  <c r="F9" i="4" s="1"/>
  <c r="G9" i="4" s="1"/>
  <c r="L9" i="4" s="1"/>
  <c r="CD145" i="2"/>
  <c r="CD30" i="2"/>
  <c r="CD24" i="2"/>
  <c r="CD127" i="2"/>
  <c r="CD111" i="2"/>
  <c r="CD90" i="2"/>
  <c r="CD22" i="2"/>
  <c r="CD89" i="2"/>
  <c r="CD137" i="2"/>
  <c r="CD115" i="2"/>
  <c r="CD52" i="2"/>
  <c r="CD108" i="2"/>
  <c r="CD143" i="2"/>
  <c r="CD128" i="2"/>
  <c r="CD75" i="2"/>
  <c r="CD198" i="2"/>
  <c r="CD68" i="2"/>
  <c r="CD183" i="2"/>
  <c r="CD131" i="2"/>
  <c r="CD6" i="2"/>
  <c r="CD154" i="2"/>
  <c r="CD12" i="2"/>
  <c r="CD114" i="2"/>
  <c r="CD141" i="2"/>
  <c r="CD110" i="2"/>
  <c r="CD57" i="2"/>
  <c r="CD153" i="2"/>
  <c r="CD82" i="2"/>
  <c r="CD196" i="2"/>
  <c r="CD87" i="2"/>
  <c r="CD71" i="2"/>
  <c r="CD152" i="2"/>
  <c r="CD116" i="2"/>
  <c r="CD188" i="2"/>
  <c r="CD49" i="2"/>
  <c r="CD4" i="2"/>
  <c r="CD168" i="2"/>
  <c r="CD161" i="2"/>
  <c r="CD70" i="2"/>
  <c r="CD61" i="2"/>
  <c r="CD179" i="2"/>
  <c r="CD50" i="2"/>
  <c r="CD124" i="2"/>
  <c r="CD189" i="2"/>
  <c r="CD148" i="2"/>
  <c r="CD132" i="2"/>
  <c r="CD186" i="2"/>
  <c r="CD33" i="2"/>
  <c r="CD201" i="2"/>
  <c r="CD125" i="2"/>
  <c r="CD158" i="2"/>
  <c r="CD85" i="2"/>
  <c r="CD86" i="2"/>
  <c r="CD48" i="2"/>
  <c r="CD7" i="2"/>
  <c r="CD104" i="2"/>
  <c r="CD147" i="2"/>
  <c r="CD44" i="2"/>
  <c r="CD53" i="2"/>
  <c r="CD62" i="2"/>
  <c r="CD163" i="2"/>
  <c r="CD96" i="2"/>
  <c r="CD95" i="2"/>
  <c r="CD74" i="2"/>
  <c r="CD17" i="2"/>
  <c r="CD55" i="2"/>
  <c r="FE135" i="2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CY102" i="2" l="1"/>
  <c r="CY62" i="2"/>
  <c r="CY178" i="2"/>
  <c r="CY132" i="2"/>
  <c r="CY195" i="2"/>
  <c r="CY202" i="2"/>
  <c r="CY83" i="2"/>
  <c r="CY66" i="2"/>
  <c r="CY7" i="2"/>
  <c r="CY58" i="2"/>
  <c r="CY82" i="2"/>
  <c r="CY184" i="2"/>
  <c r="CY113" i="2"/>
  <c r="CY173" i="2"/>
  <c r="CY141" i="2"/>
  <c r="CY163" i="2"/>
  <c r="CY89" i="2"/>
  <c r="CY70" i="2"/>
  <c r="CY91" i="2"/>
  <c r="CY54" i="2"/>
  <c r="CY12" i="2"/>
  <c r="CY104" i="2"/>
  <c r="CY64" i="2"/>
  <c r="CY53" i="2"/>
  <c r="CY149" i="2"/>
  <c r="CY105" i="2"/>
  <c r="CY129" i="2"/>
  <c r="CY79" i="2"/>
  <c r="CY144" i="2"/>
  <c r="CY128" i="2"/>
  <c r="CY98" i="2"/>
  <c r="CY21" i="2"/>
  <c r="CY203" i="2"/>
  <c r="CY107" i="2"/>
  <c r="CY122" i="2"/>
  <c r="CY161" i="2"/>
  <c r="CY170" i="2"/>
  <c r="CY166" i="2"/>
  <c r="CY189" i="2"/>
  <c r="CY73" i="2"/>
  <c r="CY187" i="2"/>
  <c r="CY101" i="2"/>
  <c r="CY61" i="2"/>
  <c r="CY108" i="2"/>
  <c r="CY65" i="2"/>
  <c r="CY63" i="2"/>
  <c r="CY190" i="2"/>
  <c r="CY120" i="2"/>
  <c r="CY119" i="2"/>
  <c r="CY130" i="2"/>
  <c r="CY169" i="2"/>
  <c r="CY196" i="2"/>
  <c r="CY24" i="2"/>
  <c r="CY160" i="2"/>
  <c r="CY186" i="2"/>
  <c r="CY3" i="2"/>
  <c r="C10" i="4" s="1"/>
  <c r="E10" i="4" s="1"/>
  <c r="F10" i="4" s="1"/>
  <c r="G10" i="4" s="1"/>
  <c r="L10" i="4" s="1"/>
  <c r="CY95" i="2"/>
  <c r="CY23" i="2"/>
  <c r="CY33" i="2"/>
  <c r="CY118" i="2"/>
  <c r="CY103" i="2"/>
  <c r="CY162" i="2"/>
  <c r="CY175" i="2"/>
  <c r="CY197" i="2"/>
  <c r="CY123" i="2"/>
  <c r="CY60" i="2"/>
  <c r="CY134" i="2"/>
  <c r="CY99" i="2"/>
  <c r="CY51" i="2"/>
  <c r="CY183" i="2"/>
  <c r="CY46" i="2"/>
  <c r="CY138" i="2"/>
  <c r="CY49" i="2"/>
  <c r="CY29" i="2"/>
  <c r="CY8" i="2"/>
  <c r="CY188" i="2"/>
  <c r="CY181" i="2"/>
  <c r="CY143" i="2"/>
  <c r="CY135" i="2"/>
  <c r="CY42" i="2"/>
  <c r="CY47" i="2"/>
  <c r="CY15" i="2"/>
  <c r="CY37" i="2"/>
  <c r="CY114" i="2"/>
  <c r="CY38" i="2"/>
  <c r="CY50" i="2"/>
  <c r="CY174" i="2"/>
  <c r="CY121" i="2"/>
  <c r="CY142" i="2"/>
  <c r="CY18" i="2"/>
  <c r="CY57" i="2"/>
  <c r="CY11" i="2"/>
  <c r="CY32" i="2"/>
  <c r="CY14" i="2"/>
  <c r="CY199" i="2"/>
  <c r="CY176" i="2"/>
  <c r="CY159" i="2"/>
  <c r="CY4" i="2"/>
  <c r="CY100" i="2"/>
  <c r="CY96" i="2"/>
  <c r="CY76" i="2"/>
  <c r="CY185" i="2"/>
  <c r="CY5" i="2"/>
  <c r="CY171" i="2"/>
  <c r="CY179" i="2"/>
  <c r="CY182" i="2"/>
  <c r="CY59" i="2"/>
  <c r="CY140" i="2"/>
  <c r="CY154" i="2"/>
  <c r="CY67" i="2"/>
  <c r="CY124" i="2"/>
  <c r="CY86" i="2"/>
  <c r="CY55" i="2"/>
  <c r="CY165" i="2"/>
  <c r="CY109" i="2"/>
  <c r="CY139" i="2"/>
  <c r="CY81" i="2"/>
  <c r="CY19" i="2"/>
  <c r="CY56" i="2"/>
  <c r="CY172" i="2"/>
  <c r="CY133" i="2"/>
  <c r="CY6" i="2"/>
  <c r="CY78" i="2"/>
  <c r="CY68" i="2"/>
  <c r="CY136" i="2"/>
  <c r="CY145" i="2"/>
  <c r="CY22" i="2"/>
  <c r="CY72" i="2"/>
  <c r="CY35" i="2"/>
  <c r="CY10" i="2"/>
  <c r="CY200" i="2"/>
  <c r="CY137" i="2"/>
  <c r="CY94" i="2"/>
  <c r="CY13" i="2"/>
  <c r="CY191" i="2"/>
  <c r="CY168" i="2"/>
  <c r="CY74" i="2"/>
  <c r="CY112" i="2"/>
  <c r="CY75" i="2"/>
  <c r="CY40" i="2"/>
  <c r="CY125" i="2"/>
  <c r="CY48" i="2"/>
  <c r="CY158" i="2"/>
  <c r="CY198" i="2"/>
  <c r="CY71" i="2"/>
  <c r="CY31" i="2"/>
  <c r="CY69" i="2"/>
  <c r="CY45" i="2"/>
  <c r="CY34" i="2"/>
  <c r="CY194" i="2"/>
  <c r="CY110" i="2"/>
  <c r="CY26" i="2"/>
  <c r="CY155" i="2"/>
  <c r="CY147" i="2"/>
  <c r="CY151" i="2"/>
  <c r="CY146" i="2"/>
  <c r="CY156" i="2"/>
  <c r="CY192" i="2"/>
  <c r="CY85" i="2"/>
  <c r="CY27" i="2"/>
  <c r="CY43" i="2"/>
  <c r="CY164" i="2"/>
  <c r="CY177" i="2"/>
  <c r="CY148" i="2"/>
  <c r="CY157" i="2"/>
  <c r="CY80" i="2"/>
  <c r="CY106" i="2"/>
  <c r="CY20" i="2"/>
  <c r="CY127" i="2"/>
  <c r="CY111" i="2"/>
  <c r="CY36" i="2"/>
  <c r="CY153" i="2"/>
  <c r="CY41" i="2"/>
  <c r="CY16" i="2"/>
  <c r="CY52" i="2"/>
  <c r="CY25" i="2"/>
  <c r="CY88" i="2"/>
  <c r="CY87" i="2"/>
  <c r="CY167" i="2"/>
  <c r="CY180" i="2"/>
  <c r="CY201" i="2"/>
  <c r="CY90" i="2"/>
  <c r="CY28" i="2"/>
  <c r="CY92" i="2"/>
  <c r="CY30" i="2"/>
  <c r="CY152" i="2"/>
  <c r="CY116" i="2"/>
  <c r="CY93" i="2"/>
  <c r="CY84" i="2"/>
  <c r="CY126" i="2"/>
  <c r="CY39" i="2"/>
  <c r="CY150" i="2"/>
  <c r="CY17" i="2"/>
  <c r="CY193" i="2"/>
  <c r="CY9" i="2"/>
  <c r="CY117" i="2"/>
  <c r="CY131" i="2"/>
  <c r="CY44" i="2"/>
  <c r="CY97" i="2"/>
  <c r="CY115" i="2"/>
  <c r="CY77" i="2"/>
  <c r="FE170" i="2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<sst xmlns="http://schemas.openxmlformats.org/spreadsheetml/2006/main" count="1210" uniqueCount="346">
  <si>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</si>
  <si>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</si>
  <si>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</si>
  <si>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</si>
  <si>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</si>
  <si>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</si>
  <si>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</si>
  <si>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</si>
  <si>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</si>
  <si>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</si>
  <si>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</si>
  <si>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</si>
  <si>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</si>
  <si>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</si>
  <si>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</si>
  <si>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</si>
  <si>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Peuplier Koster</t>
  </si>
  <si>
    <t>NB : La durée de révolution doit être identique à la dernière année indiquée dans la table de production renseignée en dessous</t>
  </si>
  <si>
    <t>Essence 2</t>
  </si>
  <si>
    <t>Erable plane</t>
  </si>
  <si>
    <t>Essence 3</t>
  </si>
  <si>
    <t>Aulne glutineux</t>
  </si>
  <si>
    <t>Essence 4</t>
  </si>
  <si>
    <t>Chêne sessile</t>
  </si>
  <si>
    <t>Essence 5</t>
  </si>
  <si>
    <t>Chêne rouge d'Amérique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</si>
  <si>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</si>
  <si>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</si>
  <si>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</si>
  <si>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</si>
  <si>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</si>
  <si>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</si>
  <si>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</si>
  <si>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</si>
  <si>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</si>
  <si>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</si>
  <si>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</si>
  <si>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</si>
  <si>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</si>
  <si>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</si>
  <si>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</si>
  <si>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</si>
  <si>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</si>
  <si>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</si>
  <si>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</si>
  <si>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</si>
  <si>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</si>
  <si>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</si>
  <si>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</si>
  <si>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</si>
  <si>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</si>
  <si>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</si>
  <si>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</si>
  <si>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</si>
  <si>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</si>
  <si>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</si>
  <si>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</si>
  <si>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</si>
  <si>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CR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</si>
  <si>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</si>
  <si>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</si>
  <si>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</si>
  <si>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</si>
  <si>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</si>
  <si>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</si>
  <si>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</si>
  <si>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</si>
  <si>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</si>
  <si>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</si>
  <si>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</si>
  <si>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</si>
  <si>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</si>
  <si>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</si>
  <si>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Conifères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</si>
  <si>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</si>
  <si>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</si>
  <si>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</si>
  <si>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</si>
  <si>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</si>
  <si>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</si>
  <si>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</si>
  <si>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</si>
  <si>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</si>
  <si>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</si>
  <si>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</si>
  <si>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</si>
  <si>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</si>
  <si>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</si>
  <si>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</si>
  <si>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</si>
  <si>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</si>
  <si>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</si>
  <si>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</si>
  <si>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</si>
  <si>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</si>
  <si>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</si>
  <si>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</si>
  <si>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</si>
  <si>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</si>
  <si>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</si>
  <si>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</si>
  <si>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</si>
  <si>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</si>
  <si>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</si>
  <si>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</si>
  <si>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</si>
  <si>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</si>
  <si>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</si>
  <si>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</si>
  <si>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</si>
  <si>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</si>
  <si>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</si>
  <si>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</si>
  <si>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</si>
  <si>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</si>
  <si>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</si>
  <si>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</si>
  <si>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</si>
  <si>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</si>
  <si>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</si>
  <si>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</si>
  <si>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</si>
  <si>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</si>
  <si>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</si>
  <si>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</si>
  <si>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</si>
  <si>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</si>
  <si>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</si>
  <si>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</si>
  <si>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</si>
  <si>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</si>
  <si>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</si>
  <si>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</si>
  <si>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</si>
  <si>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</si>
  <si>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</si>
  <si>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</si>
  <si>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</si>
  <si>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</si>
  <si>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</si>
  <si>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</si>
  <si>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</si>
  <si>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</si>
  <si>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</si>
  <si>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</si>
  <si>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</si>
  <si>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Quercus rubra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</si>
  <si>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</si>
  <si>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</si>
  <si>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</si>
  <si>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</si>
  <si>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</si>
  <si>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</si>
  <si>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</si>
  <si>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</si>
  <si>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</si>
  <si>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</si>
  <si>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</si>
  <si>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</si>
  <si>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</si>
  <si>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</si>
  <si>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</si>
  <si>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</si>
  <si>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</si>
  <si>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</si>
  <si>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</si>
  <si>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</si>
  <si>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</si>
  <si>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</si>
  <si>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</si>
  <si>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</si>
  <si>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</si>
  <si>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</si>
  <si>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</si>
  <si>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</si>
  <si>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</si>
  <si>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</si>
  <si>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</si>
  <si>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</si>
  <si>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</si>
  <si>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</si>
  <si>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</si>
  <si>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</si>
  <si>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</si>
  <si>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</si>
  <si>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</si>
  <si>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</si>
  <si>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</si>
  <si>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</si>
  <si>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</si>
  <si>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</si>
  <si>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</si>
  <si>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</si>
  <si>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</si>
  <si>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</si>
  <si>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</si>
  <si>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</si>
  <si>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</si>
  <si>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</si>
  <si>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</si>
  <si>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</si>
  <si>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</si>
  <si>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</si>
  <si>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</si>
  <si>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</si>
  <si>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</si>
  <si>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</si>
  <si>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</si>
  <si>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</si>
  <si>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</si>
  <si>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</si>
  <si>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</si>
  <si>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</si>
  <si>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</si>
  <si>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</si>
  <si>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</si>
  <si>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</si>
  <si>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</si>
  <si>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</si>
  <si>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</si>
  <si>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</si>
  <si>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</si>
  <si>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</si>
  <si>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</si>
  <si>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</si>
  <si>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</si>
  <si>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</si>
  <si>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</si>
  <si>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</si>
  <si>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</si>
  <si>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</si>
  <si>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</si>
  <si>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</si>
  <si>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</si>
  <si>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</si>
  <si>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</si>
  <si>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</si>
  <si>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</si>
  <si>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</si>
  <si>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</si>
  <si>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</si>
  <si>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</si>
  <si>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</si>
  <si>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</si>
  <si>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</si>
  <si>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</si>
  <si>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</si>
  <si>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</si>
  <si>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</si>
  <si>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</si>
  <si>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</si>
  <si>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</si>
  <si>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</si>
  <si>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</si>
  <si>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</si>
  <si>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</si>
  <si>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</si>
  <si>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</si>
  <si>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</si>
  <si>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</si>
  <si>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</si>
  <si>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</si>
  <si>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</si>
  <si>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</si>
  <si>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</si>
  <si>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</si>
  <si>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</si>
  <si>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</si>
  <si>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</si>
  <si>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</si>
  <si>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</si>
  <si>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</si>
  <si>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</si>
  <si>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</si>
  <si>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</si>
  <si>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</si>
  <si>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</si>
  <si>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</si>
  <si>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</si>
  <si>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Feuillus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</si>
  <si>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</si>
  <si>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</si>
  <si>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</si>
  <si>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</si>
  <si>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</si>
  <si>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</si>
  <si>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</si>
  <si>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</si>
  <si>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</si>
  <si>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</si>
  <si>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</si>
  <si>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</si>
  <si>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</si>
  <si>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</si>
  <si>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</si>
  <si>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</si>
  <si>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</si>
  <si>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</si>
  <si>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</si>
  <si>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</si>
  <si>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</si>
  <si>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</si>
  <si>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</si>
  <si>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</si>
  <si>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</si>
  <si>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</si>
  <si>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</si>
  <si>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</si>
  <si>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</si>
  <si>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</si>
  <si>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</si>
  <si>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</si>
  <si>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</si>
  <si>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</si>
  <si>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</si>
  <si>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</si>
  <si>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</si>
  <si>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</si>
  <si>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</si>
  <si>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</si>
  <si>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</si>
  <si>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</si>
  <si>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</si>
  <si>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</si>
  <si>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</si>
  <si>
    <t>1</t>
  </si>
  <si>
    <t>5</t>
  </si>
  <si>
    <t>12</t>
  </si>
  <si>
    <t>24</t>
  </si>
  <si>
    <t>26</t>
  </si>
  <si>
    <t>28</t>
  </si>
  <si>
    <t>27</t>
  </si>
  <si>
    <t>25</t>
  </si>
  <si>
    <t>22</t>
  </si>
  <si>
    <t>21</t>
  </si>
  <si>
    <t>19</t>
  </si>
  <si>
    <t>18</t>
  </si>
  <si>
    <t>16</t>
  </si>
  <si>
    <t>15</t>
  </si>
  <si>
    <t>na</t>
  </si>
  <si>
    <t>29</t>
  </si>
  <si>
    <t>20</t>
  </si>
  <si>
    <t>17</t>
  </si>
  <si>
    <t>14</t>
  </si>
  <si>
    <t>11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</si>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</sst>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1.7202304100925723</c:v>
                </c:pt>
                <c:pt idx="2">
                  <c:v>2.2298741320266284</c:v>
                </c:pt>
                <c:pt idx="3">
                  <c:v>2.8911257088074844</c:v>
                </c:pt>
                <c:pt idx="4">
                  <c:v>3.7492588904152253</c:v>
                </c:pt>
                <c:pt idx="5">
                  <c:v>9.4527708386346081</c:v>
                </c:pt>
                <c:pt idx="6">
                  <c:v>16.799486671896954</c:v>
                </c:pt>
                <c:pt idx="7">
                  <c:v>25.664243314453273</c:v>
                </c:pt>
                <c:pt idx="8">
                  <c:v>35.922764560948956</c:v>
                </c:pt>
                <c:pt idx="9">
                  <c:v>47.453531707676156</c:v>
                </c:pt>
                <c:pt idx="10">
                  <c:v>60.137455844870459</c:v>
                </c:pt>
                <c:pt idx="11">
                  <c:v>73.857406838666478</c:v>
                </c:pt>
                <c:pt idx="12">
                  <c:v>88.497823262041379</c:v>
                </c:pt>
                <c:pt idx="13">
                  <c:v>103.94441176932362</c:v>
                </c:pt>
                <c:pt idx="14">
                  <c:v>120.08391644444065</c:v>
                </c:pt>
                <c:pt idx="15">
                  <c:v>136.80393960137704</c:v>
                </c:pt>
                <c:pt idx="16">
                  <c:v>153.99280012767676</c:v>
                </c:pt>
                <c:pt idx="17">
                  <c:v>171.53941943248637</c:v>
                </c:pt>
                <c:pt idx="18">
                  <c:v>189.3332279334883</c:v>
                </c:pt>
                <c:pt idx="19">
                  <c:v>207.26408700923182</c:v>
                </c:pt>
                <c:pt idx="20">
                  <c:v>225.22222271584272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2.7107663053215236</c:v>
                </c:pt>
                <c:pt idx="2">
                  <c:v>3.6004031596664068</c:v>
                </c:pt>
                <c:pt idx="3">
                  <c:v>4.7832008576956815</c:v>
                </c:pt>
                <c:pt idx="4">
                  <c:v>6.3561344603907548</c:v>
                </c:pt>
                <c:pt idx="5">
                  <c:v>8.4483718197588118</c:v>
                </c:pt>
                <c:pt idx="6">
                  <c:v>11.231995762089561</c:v>
                </c:pt>
                <c:pt idx="7">
                  <c:v>14.936308191087944</c:v>
                </c:pt>
                <c:pt idx="8">
                  <c:v>19.866916000031427</c:v>
                </c:pt>
                <c:pt idx="9">
                  <c:v>26.431201628981615</c:v>
                </c:pt>
                <c:pt idx="10">
                  <c:v>35.172319671970541</c:v>
                </c:pt>
                <c:pt idx="11">
                  <c:v>48.765659367999113</c:v>
                </c:pt>
                <c:pt idx="12">
                  <c:v>74.616063262010528</c:v>
                </c:pt>
                <c:pt idx="13">
                  <c:v>100.2341790211712</c:v>
                </c:pt>
                <c:pt idx="14">
                  <c:v>125.68871343321821</c:v>
                </c:pt>
                <c:pt idx="15">
                  <c:v>151.01770664748466</c:v>
                </c:pt>
                <c:pt idx="16">
                  <c:v>105.82562490242275</c:v>
                </c:pt>
                <c:pt idx="17">
                  <c:v>133.68129041989656</c:v>
                </c:pt>
                <c:pt idx="18">
                  <c:v>161.39639888364613</c:v>
                </c:pt>
                <c:pt idx="19">
                  <c:v>188.99857543760822</c:v>
                </c:pt>
                <c:pt idx="20">
                  <c:v>216.50666233809889</c:v>
                </c:pt>
                <c:pt idx="21">
                  <c:v>173.13987981714703</c:v>
                </c:pt>
                <c:pt idx="22">
                  <c:v>202.07571754604893</c:v>
                </c:pt>
                <c:pt idx="23">
                  <c:v>230.91548802122449</c:v>
                </c:pt>
                <c:pt idx="24">
                  <c:v>259.67288191053939</c:v>
                </c:pt>
                <c:pt idx="25">
                  <c:v>288.35830325418618</c:v>
                </c:pt>
                <c:pt idx="26">
                  <c:v>244.6190581615721</c:v>
                </c:pt>
                <c:pt idx="27">
                  <c:v>272.65800236133896</c:v>
                </c:pt>
                <c:pt idx="28">
                  <c:v>300.63210759978887</c:v>
                </c:pt>
                <c:pt idx="29">
                  <c:v>328.5482515646346</c:v>
                </c:pt>
                <c:pt idx="30">
                  <c:v>356.41204743833867</c:v>
                </c:pt>
                <c:pt idx="31">
                  <c:v>310.85173466328649</c:v>
                </c:pt>
                <c:pt idx="32">
                  <c:v>336.70870355604046</c:v>
                </c:pt>
                <c:pt idx="33">
                  <c:v>362.52196090538217</c:v>
                </c:pt>
                <c:pt idx="34">
                  <c:v>388.29505404723028</c:v>
                </c:pt>
                <c:pt idx="35">
                  <c:v>414.03102119238082</c:v>
                </c:pt>
                <c:pt idx="36">
                  <c:v>365.23675297080769</c:v>
                </c:pt>
                <c:pt idx="37">
                  <c:v>387.61730275601627</c:v>
                </c:pt>
                <c:pt idx="38">
                  <c:v>409.96980401857422</c:v>
                </c:pt>
                <c:pt idx="39">
                  <c:v>432.29599994035453</c:v>
                </c:pt>
                <c:pt idx="40">
                  <c:v>454.59743907080411</c:v>
                </c:pt>
                <c:pt idx="41">
                  <c:v>406.24625838591629</c:v>
                </c:pt>
                <c:pt idx="42">
                  <c:v>425.53316796502639</c:v>
                </c:pt>
                <c:pt idx="43">
                  <c:v>444.80127884250447</c:v>
                </c:pt>
                <c:pt idx="44">
                  <c:v>464.05151945493071</c:v>
                </c:pt>
                <c:pt idx="45">
                  <c:v>483.28473497109485</c:v>
                </c:pt>
                <c:pt idx="46">
                  <c:v>455.94827709810426</c:v>
                </c:pt>
                <c:pt idx="47">
                  <c:v>472.48918916409235</c:v>
                </c:pt>
                <c:pt idx="48">
                  <c:v>489.0177774143724</c:v>
                </c:pt>
                <c:pt idx="49">
                  <c:v>505.53451684876785</c:v>
                </c:pt>
                <c:pt idx="50">
                  <c:v>522.03984891229663</c:v>
                </c:pt>
                <c:pt idx="51">
                  <c:v>500.81663116885539</c:v>
                </c:pt>
                <c:pt idx="52">
                  <c:v>514.96750495828326</c:v>
                </c:pt>
                <c:pt idx="53">
                  <c:v>529.11017351371675</c:v>
                </c:pt>
                <c:pt idx="54">
                  <c:v>543.24488697768527</c:v>
                </c:pt>
                <c:pt idx="55">
                  <c:v>557.37188141896695</c:v>
                </c:pt>
                <c:pt idx="56">
                  <c:v>539.54369365856019</c:v>
                </c:pt>
                <c:pt idx="57">
                  <c:v>551.99106495921342</c:v>
                </c:pt>
                <c:pt idx="58">
                  <c:v>564.43255421132858</c:v>
                </c:pt>
                <c:pt idx="59">
                  <c:v>576.86830930740882</c:v>
                </c:pt>
                <c:pt idx="60">
                  <c:v>589.29847124546529</c:v>
                </c:pt>
                <c:pt idx="61">
                  <c:v>570.81918970877257</c:v>
                </c:pt>
                <c:pt idx="62">
                  <c:v>580.90031938116931</c:v>
                </c:pt>
                <c:pt idx="63">
                  <c:v>590.97780129118485</c:v>
                </c:pt>
                <c:pt idx="64">
                  <c:v>601.05170640358597</c:v>
                </c:pt>
                <c:pt idx="65">
                  <c:v>611.12210311064734</c:v>
                </c:pt>
                <c:pt idx="66">
                  <c:v>592.99286623276123</c:v>
                </c:pt>
                <c:pt idx="67">
                  <c:v>601.7231745921265</c:v>
                </c:pt>
                <c:pt idx="68">
                  <c:v>610.45085114558412</c:v>
                </c:pt>
                <c:pt idx="69">
                  <c:v>619.17593882471431</c:v>
                </c:pt>
                <c:pt idx="70">
                  <c:v>627.89847925254264</c:v>
                </c:pt>
                <c:pt idx="71">
                  <c:v>610.78647904168156</c:v>
                </c:pt>
                <c:pt idx="72">
                  <c:v>618.84040589332551</c:v>
                </c:pt>
                <c:pt idx="73">
                  <c:v>626.89216097508961</c:v>
                </c:pt>
                <c:pt idx="74">
                  <c:v>634.94177611424914</c:v>
                </c:pt>
                <c:pt idx="75">
                  <c:v>642.98928226528881</c:v>
                </c:pt>
                <c:pt idx="76">
                  <c:v>626.22126355197054</c:v>
                </c:pt>
                <c:pt idx="77">
                  <c:v>632.92957124167299</c:v>
                </c:pt>
                <c:pt idx="78">
                  <c:v>639.63640905269347</c:v>
                </c:pt>
                <c:pt idx="79">
                  <c:v>646.34179457229197</c:v>
                </c:pt>
                <c:pt idx="80">
                  <c:v>653.0457449930251</c:v>
                </c:pt>
                <c:pt idx="81">
                  <c:v>631.25263281623893</c:v>
                </c:pt>
                <c:pt idx="82">
                  <c:v>631.25263281623893</c:v>
                </c:pt>
                <c:pt idx="83">
                  <c:v>631.25263281623893</c:v>
                </c:pt>
                <c:pt idx="84">
                  <c:v>631.25263281623893</c:v>
                </c:pt>
                <c:pt idx="85">
                  <c:v>631.25263281623893</c:v>
                </c:pt>
                <c:pt idx="86">
                  <c:v>631.25263281623893</c:v>
                </c:pt>
                <c:pt idx="87">
                  <c:v>631.25263281623893</c:v>
                </c:pt>
                <c:pt idx="88">
                  <c:v>631.25263281623893</c:v>
                </c:pt>
                <c:pt idx="89">
                  <c:v>631.25263281623893</c:v>
                </c:pt>
                <c:pt idx="90">
                  <c:v>631.25263281623893</c:v>
                </c:pt>
                <c:pt idx="91">
                  <c:v>631.25263281623893</c:v>
                </c:pt>
                <c:pt idx="92">
                  <c:v>631.25263281623893</c:v>
                </c:pt>
                <c:pt idx="93">
                  <c:v>631.25263281623893</c:v>
                </c:pt>
                <c:pt idx="94">
                  <c:v>631.25263281623893</c:v>
                </c:pt>
                <c:pt idx="95">
                  <c:v>631.25263281623893</c:v>
                </c:pt>
                <c:pt idx="96">
                  <c:v>631.25263281623893</c:v>
                </c:pt>
                <c:pt idx="97">
                  <c:v>631.25263281623893</c:v>
                </c:pt>
                <c:pt idx="98">
                  <c:v>631.25263281623893</c:v>
                </c:pt>
                <c:pt idx="99">
                  <c:v>631.25263281623893</c:v>
                </c:pt>
                <c:pt idx="100">
                  <c:v>631.25263281623893</c:v>
                </c:pt>
                <c:pt idx="101">
                  <c:v>631.25263281623893</c:v>
                </c:pt>
                <c:pt idx="102">
                  <c:v>631.25263281623893</c:v>
                </c:pt>
                <c:pt idx="103">
                  <c:v>631.25263281623893</c:v>
                </c:pt>
                <c:pt idx="104">
                  <c:v>631.25263281623893</c:v>
                </c:pt>
                <c:pt idx="105">
                  <c:v>631.25263281623893</c:v>
                </c:pt>
                <c:pt idx="106">
                  <c:v>631.25263281623893</c:v>
                </c:pt>
                <c:pt idx="107">
                  <c:v>631.25263281623893</c:v>
                </c:pt>
                <c:pt idx="108">
                  <c:v>631.25263281623893</c:v>
                </c:pt>
                <c:pt idx="109">
                  <c:v>631.25263281623893</c:v>
                </c:pt>
                <c:pt idx="110">
                  <c:v>631.25263281623893</c:v>
                </c:pt>
                <c:pt idx="111">
                  <c:v>631.25263281623893</c:v>
                </c:pt>
                <c:pt idx="112">
                  <c:v>631.25263281623893</c:v>
                </c:pt>
                <c:pt idx="113">
                  <c:v>631.25263281623893</c:v>
                </c:pt>
                <c:pt idx="114">
                  <c:v>631.25263281623893</c:v>
                </c:pt>
                <c:pt idx="115">
                  <c:v>631.25263281623893</c:v>
                </c:pt>
                <c:pt idx="116">
                  <c:v>631.25263281623893</c:v>
                </c:pt>
                <c:pt idx="117">
                  <c:v>631.25263281623893</c:v>
                </c:pt>
                <c:pt idx="118">
                  <c:v>631.25263281623893</c:v>
                </c:pt>
                <c:pt idx="119">
                  <c:v>631.25263281623893</c:v>
                </c:pt>
                <c:pt idx="120">
                  <c:v>631.25263281623893</c:v>
                </c:pt>
                <c:pt idx="121">
                  <c:v>631.25263281623893</c:v>
                </c:pt>
                <c:pt idx="122">
                  <c:v>631.25263281623893</c:v>
                </c:pt>
                <c:pt idx="123">
                  <c:v>631.25263281623893</c:v>
                </c:pt>
                <c:pt idx="124">
                  <c:v>631.25263281623893</c:v>
                </c:pt>
                <c:pt idx="125">
                  <c:v>631.25263281623893</c:v>
                </c:pt>
                <c:pt idx="126">
                  <c:v>631.25263281623893</c:v>
                </c:pt>
                <c:pt idx="127">
                  <c:v>631.25263281623893</c:v>
                </c:pt>
                <c:pt idx="128">
                  <c:v>631.25263281623893</c:v>
                </c:pt>
                <c:pt idx="129">
                  <c:v>631.25263281623893</c:v>
                </c:pt>
                <c:pt idx="130">
                  <c:v>631.25263281623893</c:v>
                </c:pt>
                <c:pt idx="131">
                  <c:v>631.25263281623893</c:v>
                </c:pt>
                <c:pt idx="132">
                  <c:v>631.25263281623893</c:v>
                </c:pt>
                <c:pt idx="133">
                  <c:v>631.25263281623893</c:v>
                </c:pt>
                <c:pt idx="134">
                  <c:v>631.25263281623893</c:v>
                </c:pt>
                <c:pt idx="135">
                  <c:v>631.25263281623893</c:v>
                </c:pt>
                <c:pt idx="136">
                  <c:v>631.25263281623893</c:v>
                </c:pt>
                <c:pt idx="137">
                  <c:v>631.25263281623893</c:v>
                </c:pt>
                <c:pt idx="138">
                  <c:v>631.25263281623893</c:v>
                </c:pt>
                <c:pt idx="139">
                  <c:v>631.25263281623893</c:v>
                </c:pt>
                <c:pt idx="140">
                  <c:v>631.25263281623893</c:v>
                </c:pt>
                <c:pt idx="141">
                  <c:v>631.25263281623893</c:v>
                </c:pt>
                <c:pt idx="142">
                  <c:v>631.25263281623893</c:v>
                </c:pt>
                <c:pt idx="143">
                  <c:v>631.25263281623893</c:v>
                </c:pt>
                <c:pt idx="144">
                  <c:v>631.25263281623893</c:v>
                </c:pt>
                <c:pt idx="145">
                  <c:v>631.25263281623893</c:v>
                </c:pt>
                <c:pt idx="146">
                  <c:v>631.25263281623893</c:v>
                </c:pt>
                <c:pt idx="147">
                  <c:v>631.25263281623893</c:v>
                </c:pt>
                <c:pt idx="148">
                  <c:v>631.25263281623893</c:v>
                </c:pt>
                <c:pt idx="149">
                  <c:v>631.25263281623893</c:v>
                </c:pt>
                <c:pt idx="150">
                  <c:v>631.25263281623893</c:v>
                </c:pt>
                <c:pt idx="151">
                  <c:v>631.25263281623893</c:v>
                </c:pt>
                <c:pt idx="152">
                  <c:v>631.25263281623893</c:v>
                </c:pt>
                <c:pt idx="153">
                  <c:v>631.25263281623893</c:v>
                </c:pt>
                <c:pt idx="154">
                  <c:v>631.25263281623893</c:v>
                </c:pt>
                <c:pt idx="155">
                  <c:v>631.25263281623893</c:v>
                </c:pt>
                <c:pt idx="156">
                  <c:v>631.25263281623893</c:v>
                </c:pt>
                <c:pt idx="157">
                  <c:v>631.25263281623893</c:v>
                </c:pt>
                <c:pt idx="158">
                  <c:v>631.25263281623893</c:v>
                </c:pt>
                <c:pt idx="159">
                  <c:v>631.25263281623893</c:v>
                </c:pt>
                <c:pt idx="160">
                  <c:v>631.25263281623893</c:v>
                </c:pt>
                <c:pt idx="161">
                  <c:v>631.25263281623893</c:v>
                </c:pt>
                <c:pt idx="162">
                  <c:v>631.25263281623893</c:v>
                </c:pt>
                <c:pt idx="163">
                  <c:v>631.25263281623893</c:v>
                </c:pt>
                <c:pt idx="164">
                  <c:v>631.25263281623893</c:v>
                </c:pt>
                <c:pt idx="165">
                  <c:v>631.25263281623893</c:v>
                </c:pt>
                <c:pt idx="166">
                  <c:v>631.25263281623893</c:v>
                </c:pt>
                <c:pt idx="167">
                  <c:v>631.25263281623893</c:v>
                </c:pt>
                <c:pt idx="168">
                  <c:v>631.25263281623893</c:v>
                </c:pt>
                <c:pt idx="169">
                  <c:v>631.25263281623893</c:v>
                </c:pt>
                <c:pt idx="170">
                  <c:v>631.25263281623893</c:v>
                </c:pt>
                <c:pt idx="171">
                  <c:v>631.25263281623893</c:v>
                </c:pt>
                <c:pt idx="172">
                  <c:v>631.25263281623893</c:v>
                </c:pt>
                <c:pt idx="173">
                  <c:v>631.25263281623893</c:v>
                </c:pt>
                <c:pt idx="174">
                  <c:v>631.25263281623893</c:v>
                </c:pt>
                <c:pt idx="175">
                  <c:v>631.25263281623893</c:v>
                </c:pt>
                <c:pt idx="176">
                  <c:v>631.25263281623893</c:v>
                </c:pt>
                <c:pt idx="177">
                  <c:v>631.25263281623893</c:v>
                </c:pt>
                <c:pt idx="178">
                  <c:v>631.25263281623893</c:v>
                </c:pt>
                <c:pt idx="179">
                  <c:v>631.25263281623893</c:v>
                </c:pt>
                <c:pt idx="180">
                  <c:v>631.25263281623893</c:v>
                </c:pt>
                <c:pt idx="181">
                  <c:v>631.25263281623893</c:v>
                </c:pt>
                <c:pt idx="182">
                  <c:v>631.25263281623893</c:v>
                </c:pt>
                <c:pt idx="183">
                  <c:v>631.25263281623893</c:v>
                </c:pt>
                <c:pt idx="184">
                  <c:v>631.25263281623893</c:v>
                </c:pt>
                <c:pt idx="185">
                  <c:v>631.25263281623893</c:v>
                </c:pt>
                <c:pt idx="186">
                  <c:v>631.25263281623893</c:v>
                </c:pt>
                <c:pt idx="187">
                  <c:v>631.25263281623893</c:v>
                </c:pt>
                <c:pt idx="188">
                  <c:v>631.25263281623893</c:v>
                </c:pt>
                <c:pt idx="189">
                  <c:v>631.25263281623893</c:v>
                </c:pt>
                <c:pt idx="190">
                  <c:v>631.25263281623893</c:v>
                </c:pt>
                <c:pt idx="191">
                  <c:v>631.25263281623893</c:v>
                </c:pt>
                <c:pt idx="192">
                  <c:v>631.25263281623893</c:v>
                </c:pt>
                <c:pt idx="193">
                  <c:v>631.25263281623893</c:v>
                </c:pt>
                <c:pt idx="194">
                  <c:v>631.25263281623893</c:v>
                </c:pt>
                <c:pt idx="195">
                  <c:v>631.25263281623893</c:v>
                </c:pt>
                <c:pt idx="196">
                  <c:v>631.25263281623893</c:v>
                </c:pt>
                <c:pt idx="197">
                  <c:v>631.25263281623893</c:v>
                </c:pt>
                <c:pt idx="198">
                  <c:v>631.25263281623893</c:v>
                </c:pt>
                <c:pt idx="199">
                  <c:v>631.25263281623893</c:v>
                </c:pt>
                <c:pt idx="200">
                  <c:v>631.25263281623893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2.1832588351718871</c:v>
                </c:pt>
                <c:pt idx="2">
                  <c:v>2.8151424126467504</c:v>
                </c:pt>
                <c:pt idx="3">
                  <c:v>3.6306435125259271</c:v>
                </c:pt>
                <c:pt idx="4">
                  <c:v>4.6833209032273171</c:v>
                </c:pt>
                <c:pt idx="5">
                  <c:v>6.0424108050733842</c:v>
                </c:pt>
                <c:pt idx="6">
                  <c:v>7.7974308907853205</c:v>
                </c:pt>
                <c:pt idx="7">
                  <c:v>10.064140401541296</c:v>
                </c:pt>
                <c:pt idx="8">
                  <c:v>12.992256920461166</c:v>
                </c:pt>
                <c:pt idx="9">
                  <c:v>16.775448944382362</c:v>
                </c:pt>
                <c:pt idx="10">
                  <c:v>21.664277189769351</c:v>
                </c:pt>
                <c:pt idx="11">
                  <c:v>31.806312236626585</c:v>
                </c:pt>
                <c:pt idx="12">
                  <c:v>43.329863343915491</c:v>
                </c:pt>
                <c:pt idx="13">
                  <c:v>54.770372387271664</c:v>
                </c:pt>
                <c:pt idx="14">
                  <c:v>66.147809420658987</c:v>
                </c:pt>
                <c:pt idx="15">
                  <c:v>77.474616883044959</c:v>
                </c:pt>
                <c:pt idx="16">
                  <c:v>90.492041210372676</c:v>
                </c:pt>
                <c:pt idx="17">
                  <c:v>110.65058636488233</c:v>
                </c:pt>
                <c:pt idx="18">
                  <c:v>130.71867792989391</c:v>
                </c:pt>
                <c:pt idx="19">
                  <c:v>150.71219948673746</c:v>
                </c:pt>
                <c:pt idx="20">
                  <c:v>170.6424524976421</c:v>
                </c:pt>
                <c:pt idx="21">
                  <c:v>169.22076873606747</c:v>
                </c:pt>
                <c:pt idx="22">
                  <c:v>184.84436712462625</c:v>
                </c:pt>
                <c:pt idx="23">
                  <c:v>200.43711831314488</c:v>
                </c:pt>
                <c:pt idx="24">
                  <c:v>216.00176068460652</c:v>
                </c:pt>
                <c:pt idx="25">
                  <c:v>231.54060536306486</c:v>
                </c:pt>
                <c:pt idx="26">
                  <c:v>211.75950715739978</c:v>
                </c:pt>
                <c:pt idx="27">
                  <c:v>225.89297020726829</c:v>
                </c:pt>
                <c:pt idx="28">
                  <c:v>240.00618343044377</c:v>
                </c:pt>
                <c:pt idx="29">
                  <c:v>254.10050561748861</c:v>
                </c:pt>
                <c:pt idx="30">
                  <c:v>268.17713242968813</c:v>
                </c:pt>
                <c:pt idx="31">
                  <c:v>245.08225003541099</c:v>
                </c:pt>
                <c:pt idx="32">
                  <c:v>258.60689820869146</c:v>
                </c:pt>
                <c:pt idx="33">
                  <c:v>272.11556422776465</c:v>
                </c:pt>
                <c:pt idx="34">
                  <c:v>285.60915345709321</c:v>
                </c:pt>
                <c:pt idx="35">
                  <c:v>299.08847869495401</c:v>
                </c:pt>
                <c:pt idx="36">
                  <c:v>272.11556422776465</c:v>
                </c:pt>
                <c:pt idx="37">
                  <c:v>284.48524314677445</c:v>
                </c:pt>
                <c:pt idx="38">
                  <c:v>296.842883014341</c:v>
                </c:pt>
                <c:pt idx="39">
                  <c:v>309.18905580466088</c:v>
                </c:pt>
                <c:pt idx="40">
                  <c:v>321.52428406625791</c:v>
                </c:pt>
                <c:pt idx="41">
                  <c:v>293.75456953309532</c:v>
                </c:pt>
                <c:pt idx="42">
                  <c:v>305.26193924769092</c:v>
                </c:pt>
                <c:pt idx="43">
                  <c:v>316.75966637275303</c:v>
                </c:pt>
                <c:pt idx="44">
                  <c:v>328.24815038016737</c:v>
                </c:pt>
                <c:pt idx="45">
                  <c:v>339.72776048524321</c:v>
                </c:pt>
                <c:pt idx="46">
                  <c:v>310.87176573267203</c:v>
                </c:pt>
                <c:pt idx="47">
                  <c:v>321.24405593004218</c:v>
                </c:pt>
                <c:pt idx="48">
                  <c:v>331.60893904924779</c:v>
                </c:pt>
                <c:pt idx="49">
                  <c:v>341.96667936306943</c:v>
                </c:pt>
                <c:pt idx="50">
                  <c:v>352.31752382065224</c:v>
                </c:pt>
                <c:pt idx="51">
                  <c:v>324.0460947549708</c:v>
                </c:pt>
                <c:pt idx="52">
                  <c:v>333.56905164618536</c:v>
                </c:pt>
                <c:pt idx="53">
                  <c:v>343.08601778170441</c:v>
                </c:pt>
                <c:pt idx="54">
                  <c:v>352.59718287003483</c:v>
                </c:pt>
                <c:pt idx="55">
                  <c:v>362.10272554390014</c:v>
                </c:pt>
                <c:pt idx="56">
                  <c:v>336.08882358493906</c:v>
                </c:pt>
                <c:pt idx="57">
                  <c:v>345.04466702323003</c:v>
                </c:pt>
                <c:pt idx="58">
                  <c:v>353.99540526070876</c:v>
                </c:pt>
                <c:pt idx="59">
                  <c:v>362.9411856670547</c:v>
                </c:pt>
                <c:pt idx="60">
                  <c:v>371.88214774985954</c:v>
                </c:pt>
                <c:pt idx="61">
                  <c:v>346.44355255688725</c:v>
                </c:pt>
                <c:pt idx="62">
                  <c:v>354.554660299337</c:v>
                </c:pt>
                <c:pt idx="63">
                  <c:v>362.66170366967111</c:v>
                </c:pt>
                <c:pt idx="64">
                  <c:v>370.76478640470532</c:v>
                </c:pt>
                <c:pt idx="65">
                  <c:v>378.86400733367782</c:v>
                </c:pt>
                <c:pt idx="66">
                  <c:v>355.67311242421277</c:v>
                </c:pt>
                <c:pt idx="67">
                  <c:v>363.2206629596339</c:v>
                </c:pt>
                <c:pt idx="68">
                  <c:v>370.76478640470532</c:v>
                </c:pt>
                <c:pt idx="69">
                  <c:v>378.30556238289756</c:v>
                </c:pt>
                <c:pt idx="70">
                  <c:v>385.8430670819634</c:v>
                </c:pt>
                <c:pt idx="71">
                  <c:v>363.2206629596339</c:v>
                </c:pt>
                <c:pt idx="72">
                  <c:v>369.9267171991865</c:v>
                </c:pt>
                <c:pt idx="73">
                  <c:v>376.63011972145614</c:v>
                </c:pt>
                <c:pt idx="74">
                  <c:v>383.3309244229302</c:v>
                </c:pt>
                <c:pt idx="75">
                  <c:v>390.02918316043593</c:v>
                </c:pt>
                <c:pt idx="76">
                  <c:v>369.92671719918661</c:v>
                </c:pt>
                <c:pt idx="77">
                  <c:v>376.35086351579042</c:v>
                </c:pt>
                <c:pt idx="78">
                  <c:v>382.77262197501403</c:v>
                </c:pt>
                <c:pt idx="79">
                  <c:v>389.19203832615466</c:v>
                </c:pt>
                <c:pt idx="80">
                  <c:v>395.60915668482608</c:v>
                </c:pt>
                <c:pt idx="81">
                  <c:v>376.35086351579042</c:v>
                </c:pt>
                <c:pt idx="82">
                  <c:v>382.2143018184168</c:v>
                </c:pt>
                <c:pt idx="83">
                  <c:v>388.07578438405881</c:v>
                </c:pt>
                <c:pt idx="84">
                  <c:v>393.93534494873728</c:v>
                </c:pt>
                <c:pt idx="85">
                  <c:v>399.79301616201786</c:v>
                </c:pt>
                <c:pt idx="86">
                  <c:v>382.77262197501403</c:v>
                </c:pt>
                <c:pt idx="87">
                  <c:v>388.07578438405881</c:v>
                </c:pt>
                <c:pt idx="88">
                  <c:v>393.3773734678868</c:v>
                </c:pt>
                <c:pt idx="89">
                  <c:v>398.67741344442743</c:v>
                </c:pt>
                <c:pt idx="90">
                  <c:v>403.97592783450415</c:v>
                </c:pt>
                <c:pt idx="91">
                  <c:v>383.05177541071242</c:v>
                </c:pt>
                <c:pt idx="92">
                  <c:v>383.05177541071242</c:v>
                </c:pt>
                <c:pt idx="93">
                  <c:v>383.05177541071242</c:v>
                </c:pt>
                <c:pt idx="94">
                  <c:v>383.05177541071242</c:v>
                </c:pt>
                <c:pt idx="95">
                  <c:v>383.05177541071242</c:v>
                </c:pt>
                <c:pt idx="96">
                  <c:v>383.05177541071242</c:v>
                </c:pt>
                <c:pt idx="97">
                  <c:v>383.05177541071242</c:v>
                </c:pt>
                <c:pt idx="98">
                  <c:v>383.05177541071242</c:v>
                </c:pt>
                <c:pt idx="99">
                  <c:v>383.05177541071242</c:v>
                </c:pt>
                <c:pt idx="100">
                  <c:v>383.05177541071242</c:v>
                </c:pt>
                <c:pt idx="101">
                  <c:v>383.05177541071242</c:v>
                </c:pt>
                <c:pt idx="102">
                  <c:v>383.05177541071242</c:v>
                </c:pt>
                <c:pt idx="103">
                  <c:v>383.05177541071242</c:v>
                </c:pt>
                <c:pt idx="104">
                  <c:v>383.05177541071242</c:v>
                </c:pt>
                <c:pt idx="105">
                  <c:v>383.05177541071242</c:v>
                </c:pt>
                <c:pt idx="106">
                  <c:v>383.05177541071242</c:v>
                </c:pt>
                <c:pt idx="107">
                  <c:v>383.05177541071242</c:v>
                </c:pt>
                <c:pt idx="108">
                  <c:v>383.05177541071242</c:v>
                </c:pt>
                <c:pt idx="109">
                  <c:v>383.05177541071242</c:v>
                </c:pt>
                <c:pt idx="110">
                  <c:v>383.05177541071242</c:v>
                </c:pt>
                <c:pt idx="111">
                  <c:v>383.05177541071242</c:v>
                </c:pt>
                <c:pt idx="112">
                  <c:v>383.05177541071242</c:v>
                </c:pt>
                <c:pt idx="113">
                  <c:v>383.05177541071242</c:v>
                </c:pt>
                <c:pt idx="114">
                  <c:v>383.05177541071242</c:v>
                </c:pt>
                <c:pt idx="115">
                  <c:v>383.05177541071242</c:v>
                </c:pt>
                <c:pt idx="116">
                  <c:v>383.05177541071242</c:v>
                </c:pt>
                <c:pt idx="117">
                  <c:v>383.05177541071242</c:v>
                </c:pt>
                <c:pt idx="118">
                  <c:v>383.05177541071242</c:v>
                </c:pt>
                <c:pt idx="119">
                  <c:v>383.05177541071242</c:v>
                </c:pt>
                <c:pt idx="120">
                  <c:v>383.05177541071242</c:v>
                </c:pt>
                <c:pt idx="121">
                  <c:v>383.05177541071242</c:v>
                </c:pt>
                <c:pt idx="122">
                  <c:v>383.05177541071242</c:v>
                </c:pt>
                <c:pt idx="123">
                  <c:v>383.05177541071242</c:v>
                </c:pt>
                <c:pt idx="124">
                  <c:v>383.05177541071242</c:v>
                </c:pt>
                <c:pt idx="125">
                  <c:v>383.05177541071242</c:v>
                </c:pt>
                <c:pt idx="126">
                  <c:v>383.05177541071242</c:v>
                </c:pt>
                <c:pt idx="127">
                  <c:v>383.05177541071242</c:v>
                </c:pt>
                <c:pt idx="128">
                  <c:v>383.05177541071242</c:v>
                </c:pt>
                <c:pt idx="129">
                  <c:v>383.05177541071242</c:v>
                </c:pt>
                <c:pt idx="130">
                  <c:v>383.05177541071242</c:v>
                </c:pt>
                <c:pt idx="131">
                  <c:v>383.05177541071242</c:v>
                </c:pt>
                <c:pt idx="132">
                  <c:v>383.05177541071242</c:v>
                </c:pt>
                <c:pt idx="133">
                  <c:v>383.05177541071242</c:v>
                </c:pt>
                <c:pt idx="134">
                  <c:v>383.05177541071242</c:v>
                </c:pt>
                <c:pt idx="135">
                  <c:v>383.05177541071242</c:v>
                </c:pt>
                <c:pt idx="136">
                  <c:v>383.05177541071242</c:v>
                </c:pt>
                <c:pt idx="137">
                  <c:v>383.05177541071242</c:v>
                </c:pt>
                <c:pt idx="138">
                  <c:v>383.05177541071242</c:v>
                </c:pt>
                <c:pt idx="139">
                  <c:v>383.05177541071242</c:v>
                </c:pt>
                <c:pt idx="140">
                  <c:v>383.05177541071242</c:v>
                </c:pt>
                <c:pt idx="141">
                  <c:v>383.05177541071242</c:v>
                </c:pt>
                <c:pt idx="142">
                  <c:v>383.05177541071242</c:v>
                </c:pt>
                <c:pt idx="143">
                  <c:v>383.05177541071242</c:v>
                </c:pt>
                <c:pt idx="144">
                  <c:v>383.05177541071242</c:v>
                </c:pt>
                <c:pt idx="145">
                  <c:v>383.05177541071242</c:v>
                </c:pt>
                <c:pt idx="146">
                  <c:v>383.05177541071242</c:v>
                </c:pt>
                <c:pt idx="147">
                  <c:v>383.05177541071242</c:v>
                </c:pt>
                <c:pt idx="148">
                  <c:v>383.05177541071242</c:v>
                </c:pt>
                <c:pt idx="149">
                  <c:v>383.05177541071242</c:v>
                </c:pt>
                <c:pt idx="150">
                  <c:v>383.05177541071242</c:v>
                </c:pt>
                <c:pt idx="151">
                  <c:v>383.05177541071242</c:v>
                </c:pt>
                <c:pt idx="152">
                  <c:v>383.05177541071242</c:v>
                </c:pt>
                <c:pt idx="153">
                  <c:v>383.05177541071242</c:v>
                </c:pt>
                <c:pt idx="154">
                  <c:v>383.05177541071242</c:v>
                </c:pt>
                <c:pt idx="155">
                  <c:v>383.05177541071242</c:v>
                </c:pt>
                <c:pt idx="156">
                  <c:v>383.05177541071242</c:v>
                </c:pt>
                <c:pt idx="157">
                  <c:v>383.05177541071242</c:v>
                </c:pt>
                <c:pt idx="158">
                  <c:v>383.05177541071242</c:v>
                </c:pt>
                <c:pt idx="159">
                  <c:v>383.05177541071242</c:v>
                </c:pt>
                <c:pt idx="160">
                  <c:v>383.05177541071242</c:v>
                </c:pt>
                <c:pt idx="161">
                  <c:v>383.05177541071242</c:v>
                </c:pt>
                <c:pt idx="162">
                  <c:v>383.05177541071242</c:v>
                </c:pt>
                <c:pt idx="163">
                  <c:v>383.05177541071242</c:v>
                </c:pt>
                <c:pt idx="164">
                  <c:v>383.05177541071242</c:v>
                </c:pt>
                <c:pt idx="165">
                  <c:v>383.05177541071242</c:v>
                </c:pt>
                <c:pt idx="166">
                  <c:v>383.05177541071242</c:v>
                </c:pt>
                <c:pt idx="167">
                  <c:v>383.05177541071242</c:v>
                </c:pt>
                <c:pt idx="168">
                  <c:v>383.05177541071242</c:v>
                </c:pt>
                <c:pt idx="169">
                  <c:v>383.05177541071242</c:v>
                </c:pt>
                <c:pt idx="170">
                  <c:v>383.05177541071242</c:v>
                </c:pt>
                <c:pt idx="171">
                  <c:v>383.05177541071242</c:v>
                </c:pt>
                <c:pt idx="172">
                  <c:v>383.05177541071242</c:v>
                </c:pt>
                <c:pt idx="173">
                  <c:v>383.05177541071242</c:v>
                </c:pt>
                <c:pt idx="174">
                  <c:v>383.05177541071242</c:v>
                </c:pt>
                <c:pt idx="175">
                  <c:v>383.05177541071242</c:v>
                </c:pt>
                <c:pt idx="176">
                  <c:v>383.05177541071242</c:v>
                </c:pt>
                <c:pt idx="177">
                  <c:v>383.05177541071242</c:v>
                </c:pt>
                <c:pt idx="178">
                  <c:v>383.05177541071242</c:v>
                </c:pt>
                <c:pt idx="179">
                  <c:v>383.05177541071242</c:v>
                </c:pt>
                <c:pt idx="180">
                  <c:v>383.05177541071242</c:v>
                </c:pt>
                <c:pt idx="181">
                  <c:v>383.05177541071242</c:v>
                </c:pt>
                <c:pt idx="182">
                  <c:v>383.05177541071242</c:v>
                </c:pt>
                <c:pt idx="183">
                  <c:v>383.05177541071242</c:v>
                </c:pt>
                <c:pt idx="184">
                  <c:v>383.05177541071242</c:v>
                </c:pt>
                <c:pt idx="185">
                  <c:v>383.05177541071242</c:v>
                </c:pt>
                <c:pt idx="186">
                  <c:v>383.05177541071242</c:v>
                </c:pt>
                <c:pt idx="187">
                  <c:v>383.05177541071242</c:v>
                </c:pt>
                <c:pt idx="188">
                  <c:v>383.05177541071242</c:v>
                </c:pt>
                <c:pt idx="189">
                  <c:v>383.05177541071242</c:v>
                </c:pt>
                <c:pt idx="190">
                  <c:v>383.05177541071242</c:v>
                </c:pt>
                <c:pt idx="191">
                  <c:v>383.05177541071242</c:v>
                </c:pt>
                <c:pt idx="192">
                  <c:v>383.05177541071242</c:v>
                </c:pt>
                <c:pt idx="193">
                  <c:v>383.05177541071242</c:v>
                </c:pt>
                <c:pt idx="194">
                  <c:v>383.05177541071242</c:v>
                </c:pt>
                <c:pt idx="195">
                  <c:v>383.05177541071242</c:v>
                </c:pt>
                <c:pt idx="196">
                  <c:v>383.05177541071242</c:v>
                </c:pt>
                <c:pt idx="197">
                  <c:v>383.05177541071242</c:v>
                </c:pt>
                <c:pt idx="198">
                  <c:v>383.05177541071242</c:v>
                </c:pt>
                <c:pt idx="199">
                  <c:v>383.05177541071242</c:v>
                </c:pt>
                <c:pt idx="200">
                  <c:v>383.05177541071242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2.6958578672528142</c:v>
                </c:pt>
                <c:pt idx="2">
                  <c:v>3.1456024429294316</c:v>
                </c:pt>
                <c:pt idx="3">
                  <c:v>3.6706496543126392</c:v>
                </c:pt>
                <c:pt idx="4">
                  <c:v>4.283650861728133</c:v>
                </c:pt>
                <c:pt idx="5">
                  <c:v>4.999389736367446</c:v>
                </c:pt>
                <c:pt idx="6">
                  <c:v>5.8351427156981037</c:v>
                </c:pt>
                <c:pt idx="7">
                  <c:v>6.811100558946122</c:v>
                </c:pt>
                <c:pt idx="8">
                  <c:v>7.9508613856785146</c:v>
                </c:pt>
                <c:pt idx="9">
                  <c:v>9.2820073490102306</c:v>
                </c:pt>
                <c:pt idx="10">
                  <c:v>10.836779165307254</c:v>
                </c:pt>
                <c:pt idx="11">
                  <c:v>12.65286514607409</c:v>
                </c:pt>
                <c:pt idx="12">
                  <c:v>14.774324215459131</c:v>
                </c:pt>
                <c:pt idx="13">
                  <c:v>17.252665719305359</c:v>
                </c:pt>
                <c:pt idx="14">
                  <c:v>20.148112721871815</c:v>
                </c:pt>
                <c:pt idx="15">
                  <c:v>23.531080041429274</c:v>
                </c:pt>
                <c:pt idx="16">
                  <c:v>27.483903609727193</c:v>
                </c:pt>
                <c:pt idx="17">
                  <c:v>32.102863986196247</c:v>
                </c:pt>
                <c:pt idx="18">
                  <c:v>37.500554171921223</c:v>
                </c:pt>
                <c:pt idx="19">
                  <c:v>43.808650433928051</c:v>
                </c:pt>
                <c:pt idx="20">
                  <c:v>51.181154881613445</c:v>
                </c:pt>
                <c:pt idx="21">
                  <c:v>59.798190285451518</c:v>
                </c:pt>
                <c:pt idx="22">
                  <c:v>69.870441387809549</c:v>
                </c:pt>
                <c:pt idx="23">
                  <c:v>81.644353071705368</c:v>
                </c:pt>
                <c:pt idx="24">
                  <c:v>95.408214629786869</c:v>
                </c:pt>
                <c:pt idx="25">
                  <c:v>111.49928148626357</c:v>
                </c:pt>
                <c:pt idx="26">
                  <c:v>130.31211162387879</c:v>
                </c:pt>
                <c:pt idx="27">
                  <c:v>152.30832430653254</c:v>
                </c:pt>
                <c:pt idx="28">
                  <c:v>178.02802422784376</c:v>
                </c:pt>
                <c:pt idx="29">
                  <c:v>208.10317584974769</c:v>
                </c:pt>
                <c:pt idx="30">
                  <c:v>243.27326146963856</c:v>
                </c:pt>
                <c:pt idx="31">
                  <c:v>258.94814067849398</c:v>
                </c:pt>
                <c:pt idx="32">
                  <c:v>274.60158300734776</c:v>
                </c:pt>
                <c:pt idx="33">
                  <c:v>290.23498252743815</c:v>
                </c:pt>
                <c:pt idx="34">
                  <c:v>305.8495708284089</c:v>
                </c:pt>
                <c:pt idx="35">
                  <c:v>321.44644345960916</c:v>
                </c:pt>
                <c:pt idx="36">
                  <c:v>221.82117142251082</c:v>
                </c:pt>
                <c:pt idx="37">
                  <c:v>239.97776963491205</c:v>
                </c:pt>
                <c:pt idx="38">
                  <c:v>258.10309568549474</c:v>
                </c:pt>
                <c:pt idx="39">
                  <c:v>276.19965445716304</c:v>
                </c:pt>
                <c:pt idx="40">
                  <c:v>294.26959568611358</c:v>
                </c:pt>
                <c:pt idx="41">
                  <c:v>312.31478349482404</c:v>
                </c:pt>
                <c:pt idx="42">
                  <c:v>255.72039353124975</c:v>
                </c:pt>
                <c:pt idx="43">
                  <c:v>273.88106684535092</c:v>
                </c:pt>
                <c:pt idx="44">
                  <c:v>292.01468408800253</c:v>
                </c:pt>
                <c:pt idx="45">
                  <c:v>310.12316145287969</c:v>
                </c:pt>
                <c:pt idx="46">
                  <c:v>328.20817307415149</c:v>
                </c:pt>
                <c:pt idx="47">
                  <c:v>346.2711935372065</c:v>
                </c:pt>
                <c:pt idx="48">
                  <c:v>364.31353104988256</c:v>
                </c:pt>
                <c:pt idx="49">
                  <c:v>288.58007809052594</c:v>
                </c:pt>
                <c:pt idx="50">
                  <c:v>305.77968125048289</c:v>
                </c:pt>
                <c:pt idx="51">
                  <c:v>322.95778432037201</c:v>
                </c:pt>
                <c:pt idx="52">
                  <c:v>340.11569160143591</c:v>
                </c:pt>
                <c:pt idx="53">
                  <c:v>357.25456506572573</c:v>
                </c:pt>
                <c:pt idx="54">
                  <c:v>374.37544611289854</c:v>
                </c:pt>
                <c:pt idx="55">
                  <c:v>391.47927313799437</c:v>
                </c:pt>
                <c:pt idx="56">
                  <c:v>320.48361258921813</c:v>
                </c:pt>
                <c:pt idx="57">
                  <c:v>336.67903038787375</c:v>
                </c:pt>
                <c:pt idx="58">
                  <c:v>352.85729940854367</c:v>
                </c:pt>
                <c:pt idx="59">
                  <c:v>369.01931645885981</c:v>
                </c:pt>
                <c:pt idx="60">
                  <c:v>385.16589338963877</c:v>
                </c:pt>
                <c:pt idx="61">
                  <c:v>401.29776844134739</c:v>
                </c:pt>
                <c:pt idx="62">
                  <c:v>417.41561567067316</c:v>
                </c:pt>
                <c:pt idx="63">
                  <c:v>433.52005284512506</c:v>
                </c:pt>
                <c:pt idx="64">
                  <c:v>368.77354749804016</c:v>
                </c:pt>
                <c:pt idx="65">
                  <c:v>384.3921999612694</c:v>
                </c:pt>
                <c:pt idx="66">
                  <c:v>399.99706566096552</c:v>
                </c:pt>
                <c:pt idx="67">
                  <c:v>415.58875807076902</c:v>
                </c:pt>
                <c:pt idx="68">
                  <c:v>431.16784088676076</c:v>
                </c:pt>
                <c:pt idx="69">
                  <c:v>446.73483375648311</c:v>
                </c:pt>
                <c:pt idx="70">
                  <c:v>462.29021716786883</c:v>
                </c:pt>
                <c:pt idx="71">
                  <c:v>477.83443664595069</c:v>
                </c:pt>
                <c:pt idx="72">
                  <c:v>416.18008617132006</c:v>
                </c:pt>
                <c:pt idx="73">
                  <c:v>431.26352307198721</c:v>
                </c:pt>
                <c:pt idx="74">
                  <c:v>446.33562973688805</c:v>
                </c:pt>
                <c:pt idx="75">
                  <c:v>461.39684255815035</c:v>
                </c:pt>
                <c:pt idx="76">
                  <c:v>476.44756712169959</c:v>
                </c:pt>
                <c:pt idx="77">
                  <c:v>491.4881813066504</c:v>
                </c:pt>
                <c:pt idx="78">
                  <c:v>506.51903798562756</c:v>
                </c:pt>
                <c:pt idx="79">
                  <c:v>521.54046738795989</c:v>
                </c:pt>
                <c:pt idx="80">
                  <c:v>536.55277917652313</c:v>
                </c:pt>
                <c:pt idx="81">
                  <c:v>463.50656260260456</c:v>
                </c:pt>
                <c:pt idx="82">
                  <c:v>477.88908984737282</c:v>
                </c:pt>
                <c:pt idx="83">
                  <c:v>492.26241502045315</c:v>
                </c:pt>
                <c:pt idx="84">
                  <c:v>506.62684458100858</c:v>
                </c:pt>
                <c:pt idx="85">
                  <c:v>520.98266619811488</c:v>
                </c:pt>
                <c:pt idx="86">
                  <c:v>535.33015039964971</c:v>
                </c:pt>
                <c:pt idx="87">
                  <c:v>549.66955203526948</c:v>
                </c:pt>
                <c:pt idx="88">
                  <c:v>564.00111157883305</c:v>
                </c:pt>
                <c:pt idx="89">
                  <c:v>578.32505629161233</c:v>
                </c:pt>
                <c:pt idx="90">
                  <c:v>497.54781834683286</c:v>
                </c:pt>
                <c:pt idx="91">
                  <c:v>511.30218344601343</c:v>
                </c:pt>
                <c:pt idx="92">
                  <c:v>525.04873548621742</c:v>
                </c:pt>
                <c:pt idx="93">
                  <c:v>538.78770778433511</c:v>
                </c:pt>
                <c:pt idx="94">
                  <c:v>552.51932079162145</c:v>
                </c:pt>
                <c:pt idx="95">
                  <c:v>566.24378311192481</c:v>
                </c:pt>
                <c:pt idx="96">
                  <c:v>579.96129241609697</c:v>
                </c:pt>
                <c:pt idx="97">
                  <c:v>593.67203626542459</c:v>
                </c:pt>
                <c:pt idx="98">
                  <c:v>607.37619285506855</c:v>
                </c:pt>
                <c:pt idx="99">
                  <c:v>621.07393168694841</c:v>
                </c:pt>
                <c:pt idx="100">
                  <c:v>542.69775145946721</c:v>
                </c:pt>
                <c:pt idx="101">
                  <c:v>556.07428889692233</c:v>
                </c:pt>
                <c:pt idx="102">
                  <c:v>569.44408833111697</c:v>
                </c:pt>
                <c:pt idx="103">
                  <c:v>582.80733019679417</c:v>
                </c:pt>
                <c:pt idx="104">
                  <c:v>596.16418598267205</c:v>
                </c:pt>
                <c:pt idx="105">
                  <c:v>609.51481886966792</c:v>
                </c:pt>
                <c:pt idx="106">
                  <c:v>622.85938431032366</c:v>
                </c:pt>
                <c:pt idx="107">
                  <c:v>636.19803055601596</c:v>
                </c:pt>
                <c:pt idx="108">
                  <c:v>649.53089913767474</c:v>
                </c:pt>
                <c:pt idx="109">
                  <c:v>662.85812530500039</c:v>
                </c:pt>
                <c:pt idx="110">
                  <c:v>578.06785471008277</c:v>
                </c:pt>
                <c:pt idx="111">
                  <c:v>591.14539111471311</c:v>
                </c:pt>
                <c:pt idx="112">
                  <c:v>604.2169063902378</c:v>
                </c:pt>
                <c:pt idx="113">
                  <c:v>617.28254910051839</c:v>
                </c:pt>
                <c:pt idx="114">
                  <c:v>630.34246101011377</c:v>
                </c:pt>
                <c:pt idx="115">
                  <c:v>643.39677753283047</c:v>
                </c:pt>
                <c:pt idx="116">
                  <c:v>656.4456281419931</c:v>
                </c:pt>
                <c:pt idx="117">
                  <c:v>669.48913674641415</c:v>
                </c:pt>
                <c:pt idx="118">
                  <c:v>682.52742203555931</c:v>
                </c:pt>
                <c:pt idx="119">
                  <c:v>695.56059779698069</c:v>
                </c:pt>
                <c:pt idx="120">
                  <c:v>415.93410136559527</c:v>
                </c:pt>
                <c:pt idx="121">
                  <c:v>423.30201611855699</c:v>
                </c:pt>
                <c:pt idx="122">
                  <c:v>430.66717084686161</c:v>
                </c:pt>
                <c:pt idx="123">
                  <c:v>438.02961943852802</c:v>
                </c:pt>
                <c:pt idx="124">
                  <c:v>293.61402449000764</c:v>
                </c:pt>
                <c:pt idx="125">
                  <c:v>298.14022151190994</c:v>
                </c:pt>
                <c:pt idx="126">
                  <c:v>302.66488711697406</c:v>
                </c:pt>
                <c:pt idx="127">
                  <c:v>307.1880474666238</c:v>
                </c:pt>
                <c:pt idx="128">
                  <c:v>213.06200089969045</c:v>
                </c:pt>
                <c:pt idx="129">
                  <c:v>216.00348689034277</c:v>
                </c:pt>
                <c:pt idx="130">
                  <c:v>218.94405119022034</c:v>
                </c:pt>
                <c:pt idx="131">
                  <c:v>221.88370795711012</c:v>
                </c:pt>
                <c:pt idx="132">
                  <c:v>1.2017247746441865E-11</c:v>
                </c:pt>
                <c:pt idx="133">
                  <c:v>1.2017247746441865E-11</c:v>
                </c:pt>
                <c:pt idx="134">
                  <c:v>1.2017247746441865E-11</c:v>
                </c:pt>
                <c:pt idx="135">
                  <c:v>1.2017247746441865E-11</c:v>
                </c:pt>
                <c:pt idx="136">
                  <c:v>1.2017247746441865E-11</c:v>
                </c:pt>
                <c:pt idx="137">
                  <c:v>1.2017247746441865E-11</c:v>
                </c:pt>
                <c:pt idx="138">
                  <c:v>1.2017247746441865E-11</c:v>
                </c:pt>
                <c:pt idx="139">
                  <c:v>1.2017247746441865E-11</c:v>
                </c:pt>
                <c:pt idx="140">
                  <c:v>1.2017247746441865E-11</c:v>
                </c:pt>
                <c:pt idx="141">
                  <c:v>1.2017247746441865E-11</c:v>
                </c:pt>
                <c:pt idx="142">
                  <c:v>1.2017247746441865E-11</c:v>
                </c:pt>
                <c:pt idx="143">
                  <c:v>1.2017247746441865E-11</c:v>
                </c:pt>
                <c:pt idx="144">
                  <c:v>1.2017247746441865E-11</c:v>
                </c:pt>
                <c:pt idx="145">
                  <c:v>1.2017247746441865E-11</c:v>
                </c:pt>
                <c:pt idx="146">
                  <c:v>1.2017247746441865E-11</c:v>
                </c:pt>
                <c:pt idx="147">
                  <c:v>1.2017247746441865E-11</c:v>
                </c:pt>
                <c:pt idx="148">
                  <c:v>1.2017247746441865E-11</c:v>
                </c:pt>
                <c:pt idx="149">
                  <c:v>1.2017247746441865E-11</c:v>
                </c:pt>
                <c:pt idx="150">
                  <c:v>1.2017247746441865E-11</c:v>
                </c:pt>
                <c:pt idx="151">
                  <c:v>1.2017247746441865E-11</c:v>
                </c:pt>
                <c:pt idx="152">
                  <c:v>1.2017247746441865E-11</c:v>
                </c:pt>
                <c:pt idx="153">
                  <c:v>1.2017247746441865E-11</c:v>
                </c:pt>
                <c:pt idx="154">
                  <c:v>1.2017247746441865E-11</c:v>
                </c:pt>
                <c:pt idx="155">
                  <c:v>1.2017247746441865E-11</c:v>
                </c:pt>
                <c:pt idx="156">
                  <c:v>1.2017247746441865E-11</c:v>
                </c:pt>
                <c:pt idx="157">
                  <c:v>1.2017247746441865E-11</c:v>
                </c:pt>
                <c:pt idx="158">
                  <c:v>1.2017247746441865E-11</c:v>
                </c:pt>
                <c:pt idx="159">
                  <c:v>1.2017247746441865E-11</c:v>
                </c:pt>
                <c:pt idx="160">
                  <c:v>1.2017247746441865E-11</c:v>
                </c:pt>
                <c:pt idx="161">
                  <c:v>1.2017247746441865E-11</c:v>
                </c:pt>
                <c:pt idx="162">
                  <c:v>1.2017247746441865E-11</c:v>
                </c:pt>
                <c:pt idx="163">
                  <c:v>1.2017247746441865E-11</c:v>
                </c:pt>
                <c:pt idx="164">
                  <c:v>1.2017247746441865E-11</c:v>
                </c:pt>
                <c:pt idx="165">
                  <c:v>1.2017247746441865E-11</c:v>
                </c:pt>
                <c:pt idx="166">
                  <c:v>1.2017247746441865E-11</c:v>
                </c:pt>
                <c:pt idx="167">
                  <c:v>1.2017247746441865E-11</c:v>
                </c:pt>
                <c:pt idx="168">
                  <c:v>1.2017247746441865E-11</c:v>
                </c:pt>
                <c:pt idx="169">
                  <c:v>1.2017247746441865E-11</c:v>
                </c:pt>
                <c:pt idx="170">
                  <c:v>1.2017247746441865E-11</c:v>
                </c:pt>
                <c:pt idx="171">
                  <c:v>1.2017247746441865E-11</c:v>
                </c:pt>
                <c:pt idx="172">
                  <c:v>1.2017247746441865E-11</c:v>
                </c:pt>
                <c:pt idx="173">
                  <c:v>1.2017247746441865E-11</c:v>
                </c:pt>
                <c:pt idx="174">
                  <c:v>1.2017247746441865E-11</c:v>
                </c:pt>
                <c:pt idx="175">
                  <c:v>1.2017247746441865E-11</c:v>
                </c:pt>
                <c:pt idx="176">
                  <c:v>1.2017247746441865E-11</c:v>
                </c:pt>
                <c:pt idx="177">
                  <c:v>1.2017247746441865E-11</c:v>
                </c:pt>
                <c:pt idx="178">
                  <c:v>1.2017247746441865E-11</c:v>
                </c:pt>
                <c:pt idx="179">
                  <c:v>1.2017247746441865E-11</c:v>
                </c:pt>
                <c:pt idx="180">
                  <c:v>1.2017247746441865E-11</c:v>
                </c:pt>
                <c:pt idx="181">
                  <c:v>1.2017247746441865E-11</c:v>
                </c:pt>
                <c:pt idx="182">
                  <c:v>1.2017247746441865E-11</c:v>
                </c:pt>
                <c:pt idx="183">
                  <c:v>1.2017247746441865E-11</c:v>
                </c:pt>
                <c:pt idx="184">
                  <c:v>1.2017247746441865E-11</c:v>
                </c:pt>
                <c:pt idx="185">
                  <c:v>1.2017247746441865E-11</c:v>
                </c:pt>
                <c:pt idx="186">
                  <c:v>1.2017247746441865E-11</c:v>
                </c:pt>
                <c:pt idx="187">
                  <c:v>1.2017247746441865E-11</c:v>
                </c:pt>
                <c:pt idx="188">
                  <c:v>1.2017247746441865E-11</c:v>
                </c:pt>
                <c:pt idx="189">
                  <c:v>1.2017247746441865E-11</c:v>
                </c:pt>
                <c:pt idx="190">
                  <c:v>1.2017247746441865E-11</c:v>
                </c:pt>
                <c:pt idx="191">
                  <c:v>1.2017247746441865E-11</c:v>
                </c:pt>
                <c:pt idx="192">
                  <c:v>1.2017247746441865E-11</c:v>
                </c:pt>
                <c:pt idx="193">
                  <c:v>1.2017247746441865E-11</c:v>
                </c:pt>
                <c:pt idx="194">
                  <c:v>1.2017247746441865E-11</c:v>
                </c:pt>
                <c:pt idx="195">
                  <c:v>1.2017247746441865E-11</c:v>
                </c:pt>
                <c:pt idx="196">
                  <c:v>1.2017247746441865E-11</c:v>
                </c:pt>
                <c:pt idx="197">
                  <c:v>1.2017247746441865E-11</c:v>
                </c:pt>
                <c:pt idx="198">
                  <c:v>1.2017247746441865E-11</c:v>
                </c:pt>
                <c:pt idx="199">
                  <c:v>1.2017247746441865E-11</c:v>
                </c:pt>
                <c:pt idx="200">
                  <c:v>1.2017247746441865E-11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2.9509973995419365</c:v>
                </c:pt>
                <c:pt idx="2">
                  <c:v>3.8993800326575379</c:v>
                </c:pt>
                <c:pt idx="3">
                  <c:v>5.1537861360321822</c:v>
                </c:pt>
                <c:pt idx="4">
                  <c:v>6.8133379322758998</c:v>
                </c:pt>
                <c:pt idx="5">
                  <c:v>9.0093769867322209</c:v>
                </c:pt>
                <c:pt idx="6">
                  <c:v>11.915971094051232</c:v>
                </c:pt>
                <c:pt idx="7">
                  <c:v>15.763857741989639</c:v>
                </c:pt>
                <c:pt idx="8">
                  <c:v>20.858951242140964</c:v>
                </c:pt>
                <c:pt idx="9">
                  <c:v>27.606911179441123</c:v>
                </c:pt>
                <c:pt idx="10">
                  <c:v>36.545762498237771</c:v>
                </c:pt>
                <c:pt idx="11">
                  <c:v>47.934246794954014</c:v>
                </c:pt>
                <c:pt idx="12">
                  <c:v>59.250271506484466</c:v>
                </c:pt>
                <c:pt idx="13">
                  <c:v>70.509737306549212</c:v>
                </c:pt>
                <c:pt idx="14">
                  <c:v>81.722993273441304</c:v>
                </c:pt>
                <c:pt idx="15">
                  <c:v>92.897294511118176</c:v>
                </c:pt>
                <c:pt idx="16">
                  <c:v>108.25587760652974</c:v>
                </c:pt>
                <c:pt idx="17">
                  <c:v>123.56076610518875</c:v>
                </c:pt>
                <c:pt idx="18">
                  <c:v>138.8195597916295</c:v>
                </c:pt>
                <c:pt idx="19">
                  <c:v>154.03804513155393</c:v>
                </c:pt>
                <c:pt idx="20">
                  <c:v>169.22076873606747</c:v>
                </c:pt>
                <c:pt idx="21">
                  <c:v>129.28787235572034</c:v>
                </c:pt>
                <c:pt idx="22">
                  <c:v>144.53094857798482</c:v>
                </c:pt>
                <c:pt idx="23">
                  <c:v>159.73554413485536</c:v>
                </c:pt>
                <c:pt idx="24">
                  <c:v>174.90584046860877</c:v>
                </c:pt>
                <c:pt idx="25">
                  <c:v>190.04523308883151</c:v>
                </c:pt>
                <c:pt idx="26">
                  <c:v>169.22076873606747</c:v>
                </c:pt>
                <c:pt idx="27">
                  <c:v>184.37139305479852</c:v>
                </c:pt>
                <c:pt idx="28">
                  <c:v>199.49292850815041</c:v>
                </c:pt>
                <c:pt idx="29">
                  <c:v>214.58789130305843</c:v>
                </c:pt>
                <c:pt idx="30">
                  <c:v>229.65841439261331</c:v>
                </c:pt>
                <c:pt idx="31">
                  <c:v>205.53397529366751</c:v>
                </c:pt>
                <c:pt idx="32">
                  <c:v>219.11152587483457</c:v>
                </c:pt>
                <c:pt idx="33">
                  <c:v>232.66975188863589</c:v>
                </c:pt>
                <c:pt idx="34">
                  <c:v>246.20993843849078</c:v>
                </c:pt>
                <c:pt idx="35">
                  <c:v>259.73321764902875</c:v>
                </c:pt>
                <c:pt idx="36">
                  <c:v>235.30394147234665</c:v>
                </c:pt>
                <c:pt idx="37">
                  <c:v>248.46496383915087</c:v>
                </c:pt>
                <c:pt idx="38">
                  <c:v>261.61017170872901</c:v>
                </c:pt>
                <c:pt idx="39">
                  <c:v>274.74047191396772</c:v>
                </c:pt>
                <c:pt idx="40">
                  <c:v>287.85667749117118</c:v>
                </c:pt>
                <c:pt idx="41">
                  <c:v>262.36086804994295</c:v>
                </c:pt>
                <c:pt idx="42">
                  <c:v>274.36551974723062</c:v>
                </c:pt>
                <c:pt idx="43">
                  <c:v>286.35837196420749</c:v>
                </c:pt>
                <c:pt idx="44">
                  <c:v>298.33998870460442</c:v>
                </c:pt>
                <c:pt idx="45">
                  <c:v>310.31088495066086</c:v>
                </c:pt>
                <c:pt idx="46">
                  <c:v>285.98376820295522</c:v>
                </c:pt>
                <c:pt idx="47">
                  <c:v>297.21717518827558</c:v>
                </c:pt>
                <c:pt idx="48">
                  <c:v>308.44111949657554</c:v>
                </c:pt>
                <c:pt idx="49">
                  <c:v>319.65599415471291</c:v>
                </c:pt>
                <c:pt idx="50">
                  <c:v>330.86216234726913</c:v>
                </c:pt>
                <c:pt idx="51">
                  <c:v>306.94512587259828</c:v>
                </c:pt>
                <c:pt idx="52">
                  <c:v>316.66622670451306</c:v>
                </c:pt>
                <c:pt idx="53">
                  <c:v>326.38071774395229</c:v>
                </c:pt>
                <c:pt idx="54">
                  <c:v>336.08882358493901</c:v>
                </c:pt>
                <c:pt idx="55">
                  <c:v>345.79075477962851</c:v>
                </c:pt>
                <c:pt idx="56">
                  <c:v>323.39233379750681</c:v>
                </c:pt>
                <c:pt idx="57">
                  <c:v>332.72903457884451</c:v>
                </c:pt>
                <c:pt idx="58">
                  <c:v>342.05996063814399</c:v>
                </c:pt>
                <c:pt idx="59">
                  <c:v>351.38529181133845</c:v>
                </c:pt>
                <c:pt idx="60">
                  <c:v>360.70519760433905</c:v>
                </c:pt>
                <c:pt idx="61">
                  <c:v>339.07468141574077</c:v>
                </c:pt>
                <c:pt idx="62">
                  <c:v>347.28282429814129</c:v>
                </c:pt>
                <c:pt idx="63">
                  <c:v>355.4867090941064</c:v>
                </c:pt>
                <c:pt idx="64">
                  <c:v>363.68644800338274</c:v>
                </c:pt>
                <c:pt idx="65">
                  <c:v>371.88214774985954</c:v>
                </c:pt>
                <c:pt idx="66">
                  <c:v>351.75819111537254</c:v>
                </c:pt>
                <c:pt idx="67">
                  <c:v>359.58708999068585</c:v>
                </c:pt>
                <c:pt idx="68">
                  <c:v>367.41226056988808</c:v>
                </c:pt>
                <c:pt idx="69">
                  <c:v>375.23379351840316</c:v>
                </c:pt>
                <c:pt idx="70">
                  <c:v>383.05177541071203</c:v>
                </c:pt>
                <c:pt idx="71">
                  <c:v>363.31382101236346</c:v>
                </c:pt>
                <c:pt idx="72">
                  <c:v>369.64735159591163</c:v>
                </c:pt>
                <c:pt idx="73">
                  <c:v>375.97851488636002</c:v>
                </c:pt>
                <c:pt idx="74">
                  <c:v>382.30735640887292</c:v>
                </c:pt>
                <c:pt idx="75">
                  <c:v>388.63392005694874</c:v>
                </c:pt>
                <c:pt idx="76">
                  <c:v>372.25458524998072</c:v>
                </c:pt>
                <c:pt idx="77">
                  <c:v>378.2124864803136</c:v>
                </c:pt>
                <c:pt idx="78">
                  <c:v>384.16834495549637</c:v>
                </c:pt>
                <c:pt idx="79">
                  <c:v>390.12219684408677</c:v>
                </c:pt>
                <c:pt idx="80">
                  <c:v>396.07407711953459</c:v>
                </c:pt>
                <c:pt idx="81">
                  <c:v>380.81842375711989</c:v>
                </c:pt>
                <c:pt idx="82">
                  <c:v>386.02913755517028</c:v>
                </c:pt>
                <c:pt idx="83">
                  <c:v>391.23832354179837</c:v>
                </c:pt>
                <c:pt idx="84">
                  <c:v>396.4460049513109</c:v>
                </c:pt>
                <c:pt idx="85">
                  <c:v>401.65220435716361</c:v>
                </c:pt>
                <c:pt idx="86">
                  <c:v>388.26183154386268</c:v>
                </c:pt>
                <c:pt idx="87">
                  <c:v>393.47036990588708</c:v>
                </c:pt>
                <c:pt idx="88">
                  <c:v>398.67741344442726</c:v>
                </c:pt>
                <c:pt idx="89">
                  <c:v>403.88298445816571</c:v>
                </c:pt>
                <c:pt idx="90">
                  <c:v>409.08710462349336</c:v>
                </c:pt>
                <c:pt idx="91">
                  <c:v>395.7021417186665</c:v>
                </c:pt>
                <c:pt idx="92">
                  <c:v>400.9085514815776</c:v>
                </c:pt>
                <c:pt idx="93">
                  <c:v>406.11349808426439</c:v>
                </c:pt>
                <c:pt idx="94">
                  <c:v>411.31700294422802</c:v>
                </c:pt>
                <c:pt idx="95">
                  <c:v>416.51908689232147</c:v>
                </c:pt>
                <c:pt idx="96">
                  <c:v>401.65220435716384</c:v>
                </c:pt>
                <c:pt idx="97">
                  <c:v>407.22865549260922</c:v>
                </c:pt>
                <c:pt idx="98">
                  <c:v>412.80345673799087</c:v>
                </c:pt>
                <c:pt idx="99">
                  <c:v>418.37663353903253</c:v>
                </c:pt>
                <c:pt idx="100">
                  <c:v>423.9482106076091</c:v>
                </c:pt>
                <c:pt idx="101">
                  <c:v>403.5112063253232</c:v>
                </c:pt>
                <c:pt idx="102">
                  <c:v>403.5112063253232</c:v>
                </c:pt>
                <c:pt idx="103">
                  <c:v>403.5112063253232</c:v>
                </c:pt>
                <c:pt idx="104">
                  <c:v>403.5112063253232</c:v>
                </c:pt>
                <c:pt idx="105">
                  <c:v>403.5112063253232</c:v>
                </c:pt>
                <c:pt idx="106">
                  <c:v>403.5112063253232</c:v>
                </c:pt>
                <c:pt idx="107">
                  <c:v>403.5112063253232</c:v>
                </c:pt>
                <c:pt idx="108">
                  <c:v>403.5112063253232</c:v>
                </c:pt>
                <c:pt idx="109">
                  <c:v>403.5112063253232</c:v>
                </c:pt>
                <c:pt idx="110">
                  <c:v>403.5112063253232</c:v>
                </c:pt>
                <c:pt idx="111">
                  <c:v>403.5112063253232</c:v>
                </c:pt>
                <c:pt idx="112">
                  <c:v>403.5112063253232</c:v>
                </c:pt>
                <c:pt idx="113">
                  <c:v>403.5112063253232</c:v>
                </c:pt>
                <c:pt idx="114">
                  <c:v>403.5112063253232</c:v>
                </c:pt>
                <c:pt idx="115">
                  <c:v>403.5112063253232</c:v>
                </c:pt>
                <c:pt idx="116">
                  <c:v>403.5112063253232</c:v>
                </c:pt>
                <c:pt idx="117">
                  <c:v>403.5112063253232</c:v>
                </c:pt>
                <c:pt idx="118">
                  <c:v>403.5112063253232</c:v>
                </c:pt>
                <c:pt idx="119">
                  <c:v>403.5112063253232</c:v>
                </c:pt>
                <c:pt idx="120">
                  <c:v>403.5112063253232</c:v>
                </c:pt>
                <c:pt idx="121">
                  <c:v>403.5112063253232</c:v>
                </c:pt>
                <c:pt idx="122">
                  <c:v>403.5112063253232</c:v>
                </c:pt>
                <c:pt idx="123">
                  <c:v>403.5112063253232</c:v>
                </c:pt>
                <c:pt idx="124">
                  <c:v>403.5112063253232</c:v>
                </c:pt>
                <c:pt idx="125">
                  <c:v>403.5112063253232</c:v>
                </c:pt>
                <c:pt idx="126">
                  <c:v>403.5112063253232</c:v>
                </c:pt>
                <c:pt idx="127">
                  <c:v>403.5112063253232</c:v>
                </c:pt>
                <c:pt idx="128">
                  <c:v>403.5112063253232</c:v>
                </c:pt>
                <c:pt idx="129">
                  <c:v>403.5112063253232</c:v>
                </c:pt>
                <c:pt idx="130">
                  <c:v>403.5112063253232</c:v>
                </c:pt>
                <c:pt idx="131">
                  <c:v>403.5112063253232</c:v>
                </c:pt>
                <c:pt idx="132">
                  <c:v>403.5112063253232</c:v>
                </c:pt>
                <c:pt idx="133">
                  <c:v>403.5112063253232</c:v>
                </c:pt>
                <c:pt idx="134">
                  <c:v>403.5112063253232</c:v>
                </c:pt>
                <c:pt idx="135">
                  <c:v>403.5112063253232</c:v>
                </c:pt>
                <c:pt idx="136">
                  <c:v>403.5112063253232</c:v>
                </c:pt>
                <c:pt idx="137">
                  <c:v>403.5112063253232</c:v>
                </c:pt>
                <c:pt idx="138">
                  <c:v>403.5112063253232</c:v>
                </c:pt>
                <c:pt idx="139">
                  <c:v>403.5112063253232</c:v>
                </c:pt>
                <c:pt idx="140">
                  <c:v>403.5112063253232</c:v>
                </c:pt>
                <c:pt idx="141">
                  <c:v>403.5112063253232</c:v>
                </c:pt>
                <c:pt idx="142">
                  <c:v>403.5112063253232</c:v>
                </c:pt>
                <c:pt idx="143">
                  <c:v>403.5112063253232</c:v>
                </c:pt>
                <c:pt idx="144">
                  <c:v>403.5112063253232</c:v>
                </c:pt>
                <c:pt idx="145">
                  <c:v>403.5112063253232</c:v>
                </c:pt>
                <c:pt idx="146">
                  <c:v>403.5112063253232</c:v>
                </c:pt>
                <c:pt idx="147">
                  <c:v>403.5112063253232</c:v>
                </c:pt>
                <c:pt idx="148">
                  <c:v>403.5112063253232</c:v>
                </c:pt>
                <c:pt idx="149">
                  <c:v>403.5112063253232</c:v>
                </c:pt>
                <c:pt idx="150">
                  <c:v>403.5112063253232</c:v>
                </c:pt>
                <c:pt idx="151">
                  <c:v>403.5112063253232</c:v>
                </c:pt>
                <c:pt idx="152">
                  <c:v>403.5112063253232</c:v>
                </c:pt>
                <c:pt idx="153">
                  <c:v>403.5112063253232</c:v>
                </c:pt>
                <c:pt idx="154">
                  <c:v>403.5112063253232</c:v>
                </c:pt>
                <c:pt idx="155">
                  <c:v>403.5112063253232</c:v>
                </c:pt>
                <c:pt idx="156">
                  <c:v>403.5112063253232</c:v>
                </c:pt>
                <c:pt idx="157">
                  <c:v>403.5112063253232</c:v>
                </c:pt>
                <c:pt idx="158">
                  <c:v>403.5112063253232</c:v>
                </c:pt>
                <c:pt idx="159">
                  <c:v>403.5112063253232</c:v>
                </c:pt>
                <c:pt idx="160">
                  <c:v>403.5112063253232</c:v>
                </c:pt>
                <c:pt idx="161">
                  <c:v>403.5112063253232</c:v>
                </c:pt>
                <c:pt idx="162">
                  <c:v>403.5112063253232</c:v>
                </c:pt>
                <c:pt idx="163">
                  <c:v>403.5112063253232</c:v>
                </c:pt>
                <c:pt idx="164">
                  <c:v>403.5112063253232</c:v>
                </c:pt>
                <c:pt idx="165">
                  <c:v>403.5112063253232</c:v>
                </c:pt>
                <c:pt idx="166">
                  <c:v>403.5112063253232</c:v>
                </c:pt>
                <c:pt idx="167">
                  <c:v>403.5112063253232</c:v>
                </c:pt>
                <c:pt idx="168">
                  <c:v>403.5112063253232</c:v>
                </c:pt>
                <c:pt idx="169">
                  <c:v>403.5112063253232</c:v>
                </c:pt>
                <c:pt idx="170">
                  <c:v>403.5112063253232</c:v>
                </c:pt>
                <c:pt idx="171">
                  <c:v>403.5112063253232</c:v>
                </c:pt>
                <c:pt idx="172">
                  <c:v>403.5112063253232</c:v>
                </c:pt>
                <c:pt idx="173">
                  <c:v>403.5112063253232</c:v>
                </c:pt>
                <c:pt idx="174">
                  <c:v>403.5112063253232</c:v>
                </c:pt>
                <c:pt idx="175">
                  <c:v>403.5112063253232</c:v>
                </c:pt>
                <c:pt idx="176">
                  <c:v>403.5112063253232</c:v>
                </c:pt>
                <c:pt idx="177">
                  <c:v>403.5112063253232</c:v>
                </c:pt>
                <c:pt idx="178">
                  <c:v>403.5112063253232</c:v>
                </c:pt>
                <c:pt idx="179">
                  <c:v>403.5112063253232</c:v>
                </c:pt>
                <c:pt idx="180">
                  <c:v>403.5112063253232</c:v>
                </c:pt>
                <c:pt idx="181">
                  <c:v>403.5112063253232</c:v>
                </c:pt>
                <c:pt idx="182">
                  <c:v>403.5112063253232</c:v>
                </c:pt>
                <c:pt idx="183">
                  <c:v>403.5112063253232</c:v>
                </c:pt>
                <c:pt idx="184">
                  <c:v>403.5112063253232</c:v>
                </c:pt>
                <c:pt idx="185">
                  <c:v>403.5112063253232</c:v>
                </c:pt>
                <c:pt idx="186">
                  <c:v>403.5112063253232</c:v>
                </c:pt>
                <c:pt idx="187">
                  <c:v>403.5112063253232</c:v>
                </c:pt>
                <c:pt idx="188">
                  <c:v>403.5112063253232</c:v>
                </c:pt>
                <c:pt idx="189">
                  <c:v>403.5112063253232</c:v>
                </c:pt>
                <c:pt idx="190">
                  <c:v>403.5112063253232</c:v>
                </c:pt>
                <c:pt idx="191">
                  <c:v>403.5112063253232</c:v>
                </c:pt>
                <c:pt idx="192">
                  <c:v>403.5112063253232</c:v>
                </c:pt>
                <c:pt idx="193">
                  <c:v>403.5112063253232</c:v>
                </c:pt>
                <c:pt idx="194">
                  <c:v>403.5112063253232</c:v>
                </c:pt>
                <c:pt idx="195">
                  <c:v>403.5112063253232</c:v>
                </c:pt>
                <c:pt idx="196">
                  <c:v>403.5112063253232</c:v>
                </c:pt>
                <c:pt idx="197">
                  <c:v>403.5112063253232</c:v>
                </c:pt>
                <c:pt idx="198">
                  <c:v>403.5112063253232</c:v>
                </c:pt>
                <c:pt idx="199">
                  <c:v>403.5112063253232</c:v>
                </c:pt>
                <c:pt idx="200">
                  <c:v>403.5112063253232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ColWidth="11.453125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7" t="s">
        <v>0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1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52" zoomScale="80" zoomScaleNormal="80" workbookViewId="0">
      <selection activeCell="K104" sqref="K104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58" t="s">
        <v>2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4</v>
      </c>
      <c r="C3" s="264"/>
      <c r="D3" s="264"/>
      <c r="E3" s="264"/>
      <c r="F3" s="265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7</v>
      </c>
      <c r="B5" s="268"/>
      <c r="C5" s="24">
        <v>6.51</v>
      </c>
      <c r="D5" s="269" t="s">
        <v>8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9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15</v>
      </c>
      <c r="B9" s="31" t="s">
        <v>16</v>
      </c>
      <c r="C9" s="32">
        <v>0.36</v>
      </c>
      <c r="D9" s="33">
        <f t="shared" ref="D9:D18" si="0">C9*$C$5</f>
        <v>2.3435999999999999</v>
      </c>
      <c r="E9" s="34">
        <f>MAX(A36:A55)</f>
        <v>20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17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18</v>
      </c>
      <c r="B10" s="31" t="s">
        <v>19</v>
      </c>
      <c r="C10" s="32">
        <v>0.09</v>
      </c>
      <c r="D10" s="33">
        <f t="shared" si="0"/>
        <v>0.58589999999999998</v>
      </c>
      <c r="E10" s="34">
        <f>MAX(A62:A81)</f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20</v>
      </c>
      <c r="B11" s="31" t="s">
        <v>21</v>
      </c>
      <c r="C11" s="32">
        <v>0.1</v>
      </c>
      <c r="D11" s="33">
        <f t="shared" si="0"/>
        <v>0.65100000000000002</v>
      </c>
      <c r="E11" s="34">
        <f>MAX(A88:A107)</f>
        <v>90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22</v>
      </c>
      <c r="B12" s="31" t="s">
        <v>23</v>
      </c>
      <c r="C12" s="32">
        <v>0.21</v>
      </c>
      <c r="D12" s="33">
        <f t="shared" si="0"/>
        <v>1.3671</v>
      </c>
      <c r="E12" s="34">
        <f>MAX(A114:A133)</f>
        <v>131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24</v>
      </c>
      <c r="B13" s="31" t="s">
        <v>25</v>
      </c>
      <c r="C13" s="32">
        <v>0.24</v>
      </c>
      <c r="D13" s="33">
        <f t="shared" si="0"/>
        <v>1.5623999999999998</v>
      </c>
      <c r="E13" s="34">
        <f>MAX(A140:A159)</f>
        <v>100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26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27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28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29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30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31</v>
      </c>
      <c r="C19" s="37">
        <f>SUM(C9:C18)</f>
        <v>0.99999999999999989</v>
      </c>
      <c r="D19" s="38">
        <f>SUM(D9:D18)</f>
        <v>6.51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14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33</v>
      </c>
      <c r="B24" s="42" t="s">
        <v>34</v>
      </c>
      <c r="C24" s="43">
        <v>0</v>
      </c>
      <c r="D24" s="44" t="s">
        <v>35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36</v>
      </c>
      <c r="B25" s="42" t="s">
        <v>37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38</v>
      </c>
      <c r="B26" s="42" t="s">
        <v>39</v>
      </c>
      <c r="C26" s="43">
        <v>0</v>
      </c>
      <c r="D26" s="44" t="s">
        <v>40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41</v>
      </c>
      <c r="B27" s="42" t="s">
        <v>42</v>
      </c>
      <c r="C27" s="43">
        <v>0</v>
      </c>
      <c r="D27" s="44" t="s">
        <v>43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44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15</v>
      </c>
      <c r="B32" s="47" t="str">
        <f>IF(B9="","",B9)</f>
        <v>Peuplier Koster</v>
      </c>
      <c r="D32" s="229" t="s">
        <v>45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46</v>
      </c>
      <c r="C34" s="259" t="s">
        <v>47</v>
      </c>
      <c r="D34" s="259"/>
      <c r="E34" s="260" t="s">
        <v>48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49</v>
      </c>
      <c r="B35" s="36" t="s">
        <v>50</v>
      </c>
      <c r="C35" s="48" t="s">
        <v>51</v>
      </c>
      <c r="D35" s="48" t="s">
        <v>52</v>
      </c>
      <c r="E35" s="36" t="s">
        <v>53</v>
      </c>
      <c r="F35" s="36" t="s">
        <v>54</v>
      </c>
      <c r="G35" s="36" t="s">
        <v>55</v>
      </c>
      <c r="H35" s="36" t="s">
        <v>56</v>
      </c>
      <c r="I35" s="48" t="s">
        <v>57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4</v>
      </c>
      <c r="B36" s="60">
        <v>2.94</v>
      </c>
      <c r="C36" s="60">
        <v>0</v>
      </c>
      <c r="D36" s="60">
        <v>0</v>
      </c>
      <c r="E36" s="51">
        <v>0</v>
      </c>
      <c r="F36" s="51">
        <v>0</v>
      </c>
      <c r="G36" s="51">
        <v>0</v>
      </c>
      <c r="H36" s="51">
        <v>0</v>
      </c>
      <c r="I36" s="49">
        <f>IFERROR(B36/A36,"")</f>
        <v>0.73499999999999999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5</v>
      </c>
      <c r="B37" s="60">
        <v>7.6591666666666711</v>
      </c>
      <c r="C37" s="60">
        <v>0</v>
      </c>
      <c r="D37" s="60">
        <v>0</v>
      </c>
      <c r="E37" s="51">
        <v>0</v>
      </c>
      <c r="F37" s="51">
        <v>0</v>
      </c>
      <c r="G37" s="51">
        <v>0</v>
      </c>
      <c r="H37" s="51">
        <v>0</v>
      </c>
      <c r="I37" s="53">
        <f t="shared" ref="I37:I55" si="1">IF(A37&lt;&gt;0,(B37-(B36-D36))/(A37-A36),"")</f>
        <v>4.7191666666666716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6</v>
      </c>
      <c r="B38" s="60">
        <v>13.873589743589744</v>
      </c>
      <c r="C38" s="60">
        <v>0</v>
      </c>
      <c r="D38" s="60">
        <v>0</v>
      </c>
      <c r="E38" s="51">
        <v>0</v>
      </c>
      <c r="F38" s="51">
        <v>0</v>
      </c>
      <c r="G38" s="51">
        <v>0</v>
      </c>
      <c r="H38" s="51">
        <v>0</v>
      </c>
      <c r="I38" s="53">
        <f t="shared" si="1"/>
        <v>6.2144230769230724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7</v>
      </c>
      <c r="B39" s="60">
        <v>21.480576923076921</v>
      </c>
      <c r="C39" s="60">
        <v>0</v>
      </c>
      <c r="D39" s="60">
        <v>0</v>
      </c>
      <c r="E39" s="51">
        <v>0</v>
      </c>
      <c r="F39" s="51">
        <v>0</v>
      </c>
      <c r="G39" s="51">
        <v>0</v>
      </c>
      <c r="H39" s="51">
        <v>0</v>
      </c>
      <c r="I39" s="49">
        <f t="shared" si="1"/>
        <v>7.6069871794871773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8</v>
      </c>
      <c r="B40" s="60">
        <v>30.377435897435895</v>
      </c>
      <c r="C40" s="60">
        <v>0</v>
      </c>
      <c r="D40" s="60">
        <v>0</v>
      </c>
      <c r="E40" s="51">
        <v>0</v>
      </c>
      <c r="F40" s="51">
        <v>0</v>
      </c>
      <c r="G40" s="51">
        <v>0</v>
      </c>
      <c r="H40" s="51">
        <v>0</v>
      </c>
      <c r="I40" s="49">
        <f t="shared" si="1"/>
        <v>8.8968589743589739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9</v>
      </c>
      <c r="B41" s="60">
        <v>40.46147435897435</v>
      </c>
      <c r="C41" s="60">
        <v>0</v>
      </c>
      <c r="D41" s="60">
        <v>0</v>
      </c>
      <c r="E41" s="51">
        <v>0</v>
      </c>
      <c r="F41" s="51">
        <v>0</v>
      </c>
      <c r="G41" s="51">
        <v>0</v>
      </c>
      <c r="H41" s="51">
        <v>0</v>
      </c>
      <c r="I41" s="53">
        <f t="shared" si="1"/>
        <v>10.084038461538455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10</v>
      </c>
      <c r="B42" s="60">
        <v>51.630000000000017</v>
      </c>
      <c r="C42" s="60">
        <v>0</v>
      </c>
      <c r="D42" s="60">
        <v>0</v>
      </c>
      <c r="E42" s="51">
        <v>0</v>
      </c>
      <c r="F42" s="51">
        <v>0</v>
      </c>
      <c r="G42" s="51">
        <v>0</v>
      </c>
      <c r="H42" s="51">
        <v>0</v>
      </c>
      <c r="I42" s="53">
        <f t="shared" si="1"/>
        <v>11.168525641025667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>
        <v>11</v>
      </c>
      <c r="B43" s="60">
        <v>63.780320512820509</v>
      </c>
      <c r="C43" s="60">
        <v>0</v>
      </c>
      <c r="D43" s="60">
        <v>0</v>
      </c>
      <c r="E43" s="51">
        <v>0</v>
      </c>
      <c r="F43" s="51">
        <v>0</v>
      </c>
      <c r="G43" s="51">
        <v>0</v>
      </c>
      <c r="H43" s="51">
        <v>0</v>
      </c>
      <c r="I43" s="49">
        <f t="shared" si="1"/>
        <v>12.150320512820493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>
        <v>12</v>
      </c>
      <c r="B44" s="60">
        <v>76.80974358974359</v>
      </c>
      <c r="C44" s="60">
        <v>0</v>
      </c>
      <c r="D44" s="60">
        <v>0</v>
      </c>
      <c r="E44" s="51">
        <v>0</v>
      </c>
      <c r="F44" s="51">
        <v>0</v>
      </c>
      <c r="G44" s="51">
        <v>0</v>
      </c>
      <c r="H44" s="51">
        <v>0</v>
      </c>
      <c r="I44" s="49">
        <f t="shared" si="1"/>
        <v>13.029423076923081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>
        <v>13</v>
      </c>
      <c r="B45" s="60">
        <v>90.615576923076929</v>
      </c>
      <c r="C45" s="60">
        <v>0</v>
      </c>
      <c r="D45" s="60">
        <v>0</v>
      </c>
      <c r="E45" s="51">
        <v>0</v>
      </c>
      <c r="F45" s="51">
        <v>0</v>
      </c>
      <c r="G45" s="51">
        <v>0</v>
      </c>
      <c r="H45" s="51">
        <v>0</v>
      </c>
      <c r="I45" s="49">
        <f t="shared" si="1"/>
        <v>13.805833333333339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>
        <v>14</v>
      </c>
      <c r="B46" s="60">
        <v>105.09512820512822</v>
      </c>
      <c r="C46" s="60">
        <v>0</v>
      </c>
      <c r="D46" s="60">
        <v>0</v>
      </c>
      <c r="E46" s="51">
        <v>0</v>
      </c>
      <c r="F46" s="51">
        <v>0</v>
      </c>
      <c r="G46" s="51">
        <v>0</v>
      </c>
      <c r="H46" s="51">
        <v>0</v>
      </c>
      <c r="I46" s="49">
        <f t="shared" si="1"/>
        <v>14.47955128205129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>
        <v>15</v>
      </c>
      <c r="B47" s="60">
        <v>120.14570512820511</v>
      </c>
      <c r="C47" s="60">
        <v>0</v>
      </c>
      <c r="D47" s="60">
        <v>0</v>
      </c>
      <c r="E47" s="51">
        <v>0</v>
      </c>
      <c r="F47" s="51">
        <v>0</v>
      </c>
      <c r="G47" s="51">
        <v>0</v>
      </c>
      <c r="H47" s="51">
        <v>0</v>
      </c>
      <c r="I47" s="49">
        <f t="shared" si="1"/>
        <v>15.050576923076889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>
        <v>16</v>
      </c>
      <c r="B48" s="60">
        <v>135.66461538461539</v>
      </c>
      <c r="C48" s="60">
        <v>0</v>
      </c>
      <c r="D48" s="60">
        <v>0</v>
      </c>
      <c r="E48" s="51">
        <v>0</v>
      </c>
      <c r="F48" s="51">
        <v>0</v>
      </c>
      <c r="G48" s="51">
        <v>0</v>
      </c>
      <c r="H48" s="51">
        <v>0</v>
      </c>
      <c r="I48" s="49">
        <f t="shared" si="1"/>
        <v>15.51891025641028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>
        <v>17</v>
      </c>
      <c r="B49" s="60">
        <v>151.54916666666668</v>
      </c>
      <c r="C49" s="60">
        <v>0</v>
      </c>
      <c r="D49" s="60">
        <v>0</v>
      </c>
      <c r="E49" s="51">
        <v>0</v>
      </c>
      <c r="F49" s="51">
        <v>0</v>
      </c>
      <c r="G49" s="51">
        <v>0</v>
      </c>
      <c r="H49" s="51">
        <v>0</v>
      </c>
      <c r="I49" s="49">
        <f t="shared" si="1"/>
        <v>15.884551282051291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>
        <v>18</v>
      </c>
      <c r="B50" s="50">
        <v>167.69666666666663</v>
      </c>
      <c r="C50" s="50">
        <v>0</v>
      </c>
      <c r="D50" s="50">
        <v>0</v>
      </c>
      <c r="E50" s="51">
        <v>0</v>
      </c>
      <c r="F50" s="51">
        <v>0</v>
      </c>
      <c r="G50" s="51">
        <v>0</v>
      </c>
      <c r="H50" s="51">
        <v>0</v>
      </c>
      <c r="I50" s="49">
        <f t="shared" si="1"/>
        <v>16.147499999999951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>
        <v>19</v>
      </c>
      <c r="B51" s="50">
        <v>184.00442307692299</v>
      </c>
      <c r="C51" s="50">
        <v>0</v>
      </c>
      <c r="D51" s="50">
        <v>0</v>
      </c>
      <c r="E51" s="51">
        <v>0</v>
      </c>
      <c r="F51" s="51">
        <v>0</v>
      </c>
      <c r="G51" s="51">
        <v>0</v>
      </c>
      <c r="H51" s="51">
        <v>0</v>
      </c>
      <c r="I51" s="49">
        <f t="shared" si="1"/>
        <v>16.30775641025636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>
        <v>20</v>
      </c>
      <c r="B52" s="50">
        <v>200.36974358974356</v>
      </c>
      <c r="C52" s="50" t="s">
        <v>58</v>
      </c>
      <c r="D52" s="50">
        <v>200.36974358974356</v>
      </c>
      <c r="E52" s="51">
        <v>0.7</v>
      </c>
      <c r="F52" s="51">
        <v>0.15</v>
      </c>
      <c r="G52" s="51">
        <v>0.15</v>
      </c>
      <c r="H52" s="51">
        <v>0</v>
      </c>
      <c r="I52" s="49">
        <f t="shared" si="1"/>
        <v>16.365320512820574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18</v>
      </c>
      <c r="B58" s="52" t="str">
        <f>IF(B10="","",B10)</f>
        <v>Erable plane</v>
      </c>
      <c r="D58" s="229" t="s">
        <v>45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46</v>
      </c>
      <c r="C60" s="259" t="s">
        <v>47</v>
      </c>
      <c r="D60" s="259"/>
      <c r="E60" s="260" t="s">
        <v>48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49</v>
      </c>
      <c r="B61" s="36" t="s">
        <v>50</v>
      </c>
      <c r="C61" s="48" t="s">
        <v>51</v>
      </c>
      <c r="D61" s="48" t="s">
        <v>52</v>
      </c>
      <c r="E61" s="36" t="s">
        <v>53</v>
      </c>
      <c r="F61" s="36" t="s">
        <v>54</v>
      </c>
      <c r="G61" s="36" t="s">
        <v>55</v>
      </c>
      <c r="H61" s="36" t="s">
        <v>56</v>
      </c>
      <c r="I61" s="48" t="s">
        <v>57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>
        <v>10</v>
      </c>
      <c r="B62" s="60">
        <v>19</v>
      </c>
      <c r="C62" s="60">
        <v>1</v>
      </c>
      <c r="D62" s="60">
        <v>7</v>
      </c>
      <c r="E62" s="51">
        <v>0</v>
      </c>
      <c r="F62" s="51">
        <v>0</v>
      </c>
      <c r="G62" s="51">
        <v>0</v>
      </c>
      <c r="H62" s="51">
        <v>1</v>
      </c>
      <c r="I62" s="53">
        <f>IFERROR(B62/A62,"")</f>
        <v>1.9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>
        <v>15</v>
      </c>
      <c r="B63" s="60">
        <v>85</v>
      </c>
      <c r="C63" s="60">
        <v>2</v>
      </c>
      <c r="D63" s="60">
        <v>42</v>
      </c>
      <c r="E63" s="51">
        <v>0</v>
      </c>
      <c r="F63" s="51">
        <v>0</v>
      </c>
      <c r="G63" s="51">
        <v>0</v>
      </c>
      <c r="H63" s="51">
        <v>1</v>
      </c>
      <c r="I63" s="49">
        <f>IF(A63&lt;&gt;0,(B63-(B62-D62))/(A63-A62),"")</f>
        <v>14.6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>
        <v>20</v>
      </c>
      <c r="B64" s="60">
        <v>123</v>
      </c>
      <c r="C64" s="60">
        <v>3</v>
      </c>
      <c r="D64" s="60">
        <v>42</v>
      </c>
      <c r="E64" s="51">
        <v>0</v>
      </c>
      <c r="F64" s="51">
        <v>0.12</v>
      </c>
      <c r="G64" s="51">
        <v>0</v>
      </c>
      <c r="H64" s="51">
        <v>0.88</v>
      </c>
      <c r="I64" s="49">
        <f>IF(A64&lt;&gt;0,(B64-(B63-D63))/(A64-A63),"")</f>
        <v>16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>
        <v>25</v>
      </c>
      <c r="B65" s="60">
        <v>165</v>
      </c>
      <c r="C65" s="60">
        <v>4</v>
      </c>
      <c r="D65" s="60">
        <v>42</v>
      </c>
      <c r="E65" s="51">
        <v>0.14000000000000001</v>
      </c>
      <c r="F65" s="51">
        <v>0.43</v>
      </c>
      <c r="G65" s="51">
        <v>0</v>
      </c>
      <c r="H65" s="51">
        <v>0.43</v>
      </c>
      <c r="I65" s="49">
        <f>IF(A65&lt;&gt;0,(B65-(B64-D64))/(A65-A64),"")</f>
        <v>16.8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>
        <v>30</v>
      </c>
      <c r="B66" s="60">
        <v>205</v>
      </c>
      <c r="C66" s="60">
        <v>5</v>
      </c>
      <c r="D66" s="60">
        <v>42</v>
      </c>
      <c r="E66" s="51">
        <v>0.52</v>
      </c>
      <c r="F66" s="51">
        <v>0.31</v>
      </c>
      <c r="G66" s="51">
        <v>0</v>
      </c>
      <c r="H66" s="51">
        <v>0.17</v>
      </c>
      <c r="I66" s="49">
        <f t="shared" ref="I66:I81" si="2">IF(A66&lt;&gt;0,(B66-(B65-D65))/(A66-A65),"")</f>
        <v>16.399999999999999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>
        <v>35</v>
      </c>
      <c r="B67" s="60">
        <v>239</v>
      </c>
      <c r="C67" s="60">
        <v>6</v>
      </c>
      <c r="D67" s="60">
        <v>42</v>
      </c>
      <c r="E67" s="51">
        <v>0.74</v>
      </c>
      <c r="F67" s="51">
        <v>0.19</v>
      </c>
      <c r="G67" s="51">
        <v>0</v>
      </c>
      <c r="H67" s="51">
        <v>7.0000000000000007E-2</v>
      </c>
      <c r="I67" s="49">
        <f t="shared" si="2"/>
        <v>15.2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>
        <v>40</v>
      </c>
      <c r="B68" s="60">
        <v>263</v>
      </c>
      <c r="C68" s="60">
        <v>7</v>
      </c>
      <c r="D68" s="60">
        <v>40</v>
      </c>
      <c r="E68" s="51">
        <v>0.85</v>
      </c>
      <c r="F68" s="51">
        <v>0.1</v>
      </c>
      <c r="G68" s="51">
        <v>0</v>
      </c>
      <c r="H68" s="51">
        <v>0.05</v>
      </c>
      <c r="I68" s="49">
        <f t="shared" si="2"/>
        <v>13.2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>
        <v>45</v>
      </c>
      <c r="B69" s="50">
        <v>280</v>
      </c>
      <c r="C69" s="50">
        <v>8</v>
      </c>
      <c r="D69" s="50">
        <v>26</v>
      </c>
      <c r="E69" s="51">
        <v>0.92</v>
      </c>
      <c r="F69" s="51">
        <v>0.04</v>
      </c>
      <c r="G69" s="51">
        <v>0</v>
      </c>
      <c r="H69" s="51">
        <v>0.04</v>
      </c>
      <c r="I69" s="49">
        <f t="shared" si="2"/>
        <v>11.4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>
        <v>50</v>
      </c>
      <c r="B70" s="50">
        <v>303</v>
      </c>
      <c r="C70" s="50">
        <v>9</v>
      </c>
      <c r="D70" s="50">
        <v>21</v>
      </c>
      <c r="E70" s="51">
        <v>0.95</v>
      </c>
      <c r="F70" s="51">
        <v>0.05</v>
      </c>
      <c r="G70" s="51">
        <v>0</v>
      </c>
      <c r="H70" s="51">
        <v>0</v>
      </c>
      <c r="I70" s="49">
        <f t="shared" si="2"/>
        <v>9.8000000000000007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>
        <v>55</v>
      </c>
      <c r="B71" s="50">
        <v>324</v>
      </c>
      <c r="C71" s="50">
        <v>10</v>
      </c>
      <c r="D71" s="50">
        <v>18</v>
      </c>
      <c r="E71" s="51">
        <v>0.94</v>
      </c>
      <c r="F71" s="51">
        <v>0.06</v>
      </c>
      <c r="G71" s="51">
        <v>0</v>
      </c>
      <c r="H71" s="51">
        <v>0</v>
      </c>
      <c r="I71" s="49">
        <f t="shared" si="2"/>
        <v>8.4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>
        <v>60</v>
      </c>
      <c r="B72" s="50">
        <v>343</v>
      </c>
      <c r="C72" s="50">
        <v>11</v>
      </c>
      <c r="D72" s="50">
        <v>17</v>
      </c>
      <c r="E72" s="51">
        <v>0.94</v>
      </c>
      <c r="F72" s="51">
        <v>0</v>
      </c>
      <c r="G72" s="51">
        <v>0</v>
      </c>
      <c r="H72" s="51">
        <v>0.06</v>
      </c>
      <c r="I72" s="49">
        <f t="shared" si="2"/>
        <v>7.4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>
        <v>65</v>
      </c>
      <c r="B73" s="50">
        <v>356</v>
      </c>
      <c r="C73" s="50">
        <v>12</v>
      </c>
      <c r="D73" s="50">
        <v>16</v>
      </c>
      <c r="E73" s="51">
        <v>0.94</v>
      </c>
      <c r="F73" s="51">
        <v>0.06</v>
      </c>
      <c r="G73" s="51">
        <v>0</v>
      </c>
      <c r="H73" s="51">
        <v>0</v>
      </c>
      <c r="I73" s="49">
        <f t="shared" si="2"/>
        <v>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>
        <v>70</v>
      </c>
      <c r="B74" s="50">
        <v>366</v>
      </c>
      <c r="C74" s="50">
        <v>13</v>
      </c>
      <c r="D74" s="50">
        <v>15</v>
      </c>
      <c r="E74" s="51">
        <v>0.93</v>
      </c>
      <c r="F74" s="51">
        <v>7.0000000000000007E-2</v>
      </c>
      <c r="G74" s="51">
        <v>0</v>
      </c>
      <c r="H74" s="51">
        <v>0</v>
      </c>
      <c r="I74" s="49">
        <f t="shared" si="2"/>
        <v>5.2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>
        <v>75</v>
      </c>
      <c r="B75" s="50">
        <v>375</v>
      </c>
      <c r="C75" s="50">
        <v>14</v>
      </c>
      <c r="D75" s="50">
        <v>14</v>
      </c>
      <c r="E75" s="51">
        <v>0.93</v>
      </c>
      <c r="F75" s="51">
        <v>7.0000000000000007E-2</v>
      </c>
      <c r="G75" s="51">
        <v>0</v>
      </c>
      <c r="H75" s="51">
        <v>0</v>
      </c>
      <c r="I75" s="49">
        <f t="shared" si="2"/>
        <v>4.8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>
        <v>80</v>
      </c>
      <c r="B76" s="50">
        <v>381</v>
      </c>
      <c r="C76" s="50">
        <v>15</v>
      </c>
      <c r="D76" s="50">
        <v>13</v>
      </c>
      <c r="E76" s="51">
        <v>1</v>
      </c>
      <c r="F76" s="51">
        <v>0</v>
      </c>
      <c r="G76" s="51">
        <v>0</v>
      </c>
      <c r="H76" s="51">
        <v>0</v>
      </c>
      <c r="I76" s="49">
        <f t="shared" si="2"/>
        <v>4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20</v>
      </c>
      <c r="B84" s="52" t="str">
        <f>IF(B11="","",B11)</f>
        <v>Aulne glutineux</v>
      </c>
      <c r="D84" s="229" t="s">
        <v>45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46</v>
      </c>
      <c r="C86" s="259" t="s">
        <v>47</v>
      </c>
      <c r="D86" s="259"/>
      <c r="E86" s="260" t="s">
        <v>48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49</v>
      </c>
      <c r="B87" s="36" t="s">
        <v>50</v>
      </c>
      <c r="C87" s="48" t="s">
        <v>51</v>
      </c>
      <c r="D87" s="48" t="s">
        <v>52</v>
      </c>
      <c r="E87" s="36" t="s">
        <v>53</v>
      </c>
      <c r="F87" s="36" t="s">
        <v>54</v>
      </c>
      <c r="G87" s="36" t="s">
        <v>55</v>
      </c>
      <c r="H87" s="36" t="s">
        <v>56</v>
      </c>
      <c r="I87" s="48" t="s">
        <v>57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>
        <v>10</v>
      </c>
      <c r="B88" s="60">
        <v>14</v>
      </c>
      <c r="C88" s="60">
        <v>1</v>
      </c>
      <c r="D88" s="60" t="s">
        <v>325</v>
      </c>
      <c r="E88" s="51">
        <v>0</v>
      </c>
      <c r="F88" s="51">
        <v>0.1</v>
      </c>
      <c r="G88" s="51">
        <v>0.3</v>
      </c>
      <c r="H88" s="87">
        <v>0.6</v>
      </c>
      <c r="I88" s="53">
        <f>IFERROR(B88/A88,"")</f>
        <v>1.4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>
        <v>15</v>
      </c>
      <c r="B89" s="60">
        <v>52</v>
      </c>
      <c r="C89" s="60">
        <v>2</v>
      </c>
      <c r="D89" s="60" t="s">
        <v>326</v>
      </c>
      <c r="E89" s="51">
        <v>0</v>
      </c>
      <c r="F89" s="51">
        <v>0.1</v>
      </c>
      <c r="G89" s="51">
        <v>0.3</v>
      </c>
      <c r="H89" s="87">
        <v>0.6</v>
      </c>
      <c r="I89" s="53">
        <f t="shared" ref="I89:I107" si="3">IF(A89&lt;&gt;0,(B89-(B88-D88))/(A89-A88),"")</f>
        <v>7.8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>
        <v>20</v>
      </c>
      <c r="B90" s="60">
        <v>117</v>
      </c>
      <c r="C90" s="60">
        <v>3</v>
      </c>
      <c r="D90" s="60" t="s">
        <v>327</v>
      </c>
      <c r="E90" s="87">
        <v>0</v>
      </c>
      <c r="F90" s="87">
        <v>0.1</v>
      </c>
      <c r="G90" s="87">
        <v>0.3</v>
      </c>
      <c r="H90" s="87">
        <v>0.6</v>
      </c>
      <c r="I90" s="53">
        <f t="shared" si="3"/>
        <v>14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>
        <v>25</v>
      </c>
      <c r="B91" s="60">
        <v>160</v>
      </c>
      <c r="C91" s="60">
        <v>4</v>
      </c>
      <c r="D91" s="60" t="s">
        <v>328</v>
      </c>
      <c r="E91" s="87">
        <v>0</v>
      </c>
      <c r="F91" s="87">
        <v>0.1</v>
      </c>
      <c r="G91" s="87">
        <v>0.3</v>
      </c>
      <c r="H91" s="87">
        <v>0.6</v>
      </c>
      <c r="I91" s="53">
        <f t="shared" si="3"/>
        <v>11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>
        <v>30</v>
      </c>
      <c r="B92" s="60">
        <v>186</v>
      </c>
      <c r="C92" s="60">
        <v>5</v>
      </c>
      <c r="D92" s="60" t="s">
        <v>329</v>
      </c>
      <c r="E92" s="87">
        <v>0</v>
      </c>
      <c r="F92" s="87">
        <v>0.1</v>
      </c>
      <c r="G92" s="87">
        <v>0.3</v>
      </c>
      <c r="H92" s="87">
        <v>0.6</v>
      </c>
      <c r="I92" s="53">
        <f t="shared" si="3"/>
        <v>10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>
        <v>35</v>
      </c>
      <c r="B93" s="60">
        <v>208</v>
      </c>
      <c r="C93" s="60">
        <v>6</v>
      </c>
      <c r="D93" s="60" t="s">
        <v>330</v>
      </c>
      <c r="E93" s="87">
        <v>0</v>
      </c>
      <c r="F93" s="87">
        <v>0.1</v>
      </c>
      <c r="G93" s="87">
        <v>0.3</v>
      </c>
      <c r="H93" s="87">
        <v>0.6</v>
      </c>
      <c r="I93" s="53">
        <f t="shared" si="3"/>
        <v>9.6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>
        <v>40</v>
      </c>
      <c r="B94" s="60">
        <v>224</v>
      </c>
      <c r="C94" s="60">
        <v>7</v>
      </c>
      <c r="D94" s="60" t="s">
        <v>330</v>
      </c>
      <c r="E94" s="87">
        <v>0</v>
      </c>
      <c r="F94" s="87">
        <v>0.3</v>
      </c>
      <c r="G94" s="87">
        <v>0.3</v>
      </c>
      <c r="H94" s="87">
        <v>0.4</v>
      </c>
      <c r="I94" s="53">
        <f t="shared" si="3"/>
        <v>8.8000000000000007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>
        <v>45</v>
      </c>
      <c r="B95" s="60">
        <v>237</v>
      </c>
      <c r="C95" s="60">
        <v>8</v>
      </c>
      <c r="D95" s="60" t="s">
        <v>330</v>
      </c>
      <c r="E95" s="87">
        <v>0</v>
      </c>
      <c r="F95" s="87">
        <v>0.3</v>
      </c>
      <c r="G95" s="87">
        <v>0.3</v>
      </c>
      <c r="H95" s="87">
        <v>0.4</v>
      </c>
      <c r="I95" s="53">
        <f t="shared" si="3"/>
        <v>8.1999999999999993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>
        <v>50</v>
      </c>
      <c r="B96" s="60">
        <v>246</v>
      </c>
      <c r="C96" s="60">
        <v>9</v>
      </c>
      <c r="D96" s="60" t="s">
        <v>331</v>
      </c>
      <c r="E96" s="87">
        <v>0</v>
      </c>
      <c r="F96" s="87">
        <v>0.3</v>
      </c>
      <c r="G96" s="87">
        <v>0.3</v>
      </c>
      <c r="H96" s="87">
        <v>0.4</v>
      </c>
      <c r="I96" s="53">
        <f t="shared" si="3"/>
        <v>7.4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>
        <v>55</v>
      </c>
      <c r="B97" s="60">
        <v>253</v>
      </c>
      <c r="C97" s="60">
        <v>10</v>
      </c>
      <c r="D97" s="60" t="s">
        <v>332</v>
      </c>
      <c r="E97" s="87">
        <v>0</v>
      </c>
      <c r="F97" s="87">
        <v>0.3</v>
      </c>
      <c r="G97" s="87">
        <v>0.3</v>
      </c>
      <c r="H97" s="87">
        <v>0.4</v>
      </c>
      <c r="I97" s="53">
        <f t="shared" si="3"/>
        <v>6.8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>
        <v>60</v>
      </c>
      <c r="B98" s="60">
        <v>260</v>
      </c>
      <c r="C98" s="60">
        <v>11</v>
      </c>
      <c r="D98" s="60" t="s">
        <v>328</v>
      </c>
      <c r="E98" s="87">
        <v>0.1</v>
      </c>
      <c r="F98" s="87">
        <v>0.4</v>
      </c>
      <c r="G98" s="87">
        <v>0.3</v>
      </c>
      <c r="H98" s="87">
        <v>0.2</v>
      </c>
      <c r="I98" s="53">
        <f t="shared" si="3"/>
        <v>6.4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>
        <v>65</v>
      </c>
      <c r="B99" s="60">
        <v>265</v>
      </c>
      <c r="C99" s="60">
        <v>12</v>
      </c>
      <c r="D99" s="60" t="s">
        <v>333</v>
      </c>
      <c r="E99" s="87">
        <v>0.1</v>
      </c>
      <c r="F99" s="87">
        <v>0.4</v>
      </c>
      <c r="G99" s="87">
        <v>0.3</v>
      </c>
      <c r="H99" s="87">
        <v>0.2</v>
      </c>
      <c r="I99" s="53">
        <f t="shared" si="3"/>
        <v>5.8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>
        <v>70</v>
      </c>
      <c r="B100" s="60">
        <v>270</v>
      </c>
      <c r="C100" s="60">
        <v>13</v>
      </c>
      <c r="D100" s="60" t="s">
        <v>334</v>
      </c>
      <c r="E100" s="65">
        <v>0.1</v>
      </c>
      <c r="F100" s="65">
        <v>0.4</v>
      </c>
      <c r="G100" s="65">
        <v>0.3</v>
      </c>
      <c r="H100" s="65">
        <v>0.2</v>
      </c>
      <c r="I100" s="53">
        <f t="shared" si="3"/>
        <v>5.4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>
        <v>75</v>
      </c>
      <c r="B101" s="60">
        <v>273</v>
      </c>
      <c r="C101" s="60">
        <v>14</v>
      </c>
      <c r="D101" s="60" t="s">
        <v>335</v>
      </c>
      <c r="E101" s="65">
        <v>0.2</v>
      </c>
      <c r="F101" s="65">
        <v>0.5</v>
      </c>
      <c r="G101" s="65">
        <v>0.2</v>
      </c>
      <c r="H101" s="65">
        <v>0.1</v>
      </c>
      <c r="I101" s="53">
        <f t="shared" si="3"/>
        <v>4.8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>
        <v>80</v>
      </c>
      <c r="B102" s="50">
        <v>277</v>
      </c>
      <c r="C102" s="60">
        <v>15</v>
      </c>
      <c r="D102" s="50" t="s">
        <v>336</v>
      </c>
      <c r="E102" s="54">
        <v>0.2</v>
      </c>
      <c r="F102" s="54">
        <v>0.5</v>
      </c>
      <c r="G102" s="54">
        <v>0.2</v>
      </c>
      <c r="H102" s="54">
        <v>0.1</v>
      </c>
      <c r="I102" s="53">
        <f t="shared" si="3"/>
        <v>4.5999999999999996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>
        <v>85</v>
      </c>
      <c r="B103" s="50">
        <v>280</v>
      </c>
      <c r="C103" s="60">
        <v>16</v>
      </c>
      <c r="D103" s="50" t="s">
        <v>337</v>
      </c>
      <c r="E103" s="54">
        <v>0.2</v>
      </c>
      <c r="F103" s="54">
        <v>0.5</v>
      </c>
      <c r="G103" s="54">
        <v>0.2</v>
      </c>
      <c r="H103" s="54">
        <v>0.1</v>
      </c>
      <c r="I103" s="53">
        <f t="shared" si="3"/>
        <v>4.2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>
        <v>90</v>
      </c>
      <c r="B104" s="50">
        <v>283</v>
      </c>
      <c r="C104" s="60">
        <v>17</v>
      </c>
      <c r="D104" s="50" t="s">
        <v>338</v>
      </c>
      <c r="E104" s="54">
        <v>0.5</v>
      </c>
      <c r="F104" s="54">
        <v>0.4</v>
      </c>
      <c r="G104" s="54">
        <v>0.1</v>
      </c>
      <c r="H104" s="54">
        <v>0</v>
      </c>
      <c r="I104" s="53">
        <f t="shared" si="3"/>
        <v>3.8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22</v>
      </c>
      <c r="B110" s="52" t="str">
        <f>IF(B12="","",B12)</f>
        <v>Chêne sessile</v>
      </c>
      <c r="D110" s="229" t="s">
        <v>45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46</v>
      </c>
      <c r="C112" s="259" t="s">
        <v>47</v>
      </c>
      <c r="D112" s="259"/>
      <c r="E112" s="260" t="s">
        <v>48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49</v>
      </c>
      <c r="B113" s="36" t="s">
        <v>50</v>
      </c>
      <c r="C113" s="48" t="s">
        <v>51</v>
      </c>
      <c r="D113" s="48" t="s">
        <v>52</v>
      </c>
      <c r="E113" s="36" t="s">
        <v>53</v>
      </c>
      <c r="F113" s="36" t="s">
        <v>54</v>
      </c>
      <c r="G113" s="36" t="s">
        <v>55</v>
      </c>
      <c r="H113" s="36" t="s">
        <v>56</v>
      </c>
      <c r="I113" s="48" t="s">
        <v>57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>
        <v>30</v>
      </c>
      <c r="B114" s="60">
        <v>121.88461538461537</v>
      </c>
      <c r="C114" s="50" t="s">
        <v>339</v>
      </c>
      <c r="D114" s="60">
        <v>0</v>
      </c>
      <c r="E114" s="51">
        <v>0</v>
      </c>
      <c r="F114" s="51">
        <v>0</v>
      </c>
      <c r="G114" s="51">
        <v>0</v>
      </c>
      <c r="H114" s="51">
        <v>0</v>
      </c>
      <c r="I114" s="53">
        <f>IFERROR(B114/A114,"")</f>
        <v>4.0628205128205126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>
        <v>35</v>
      </c>
      <c r="B115" s="60">
        <v>162.16666666666669</v>
      </c>
      <c r="C115" s="50">
        <v>1</v>
      </c>
      <c r="D115" s="60">
        <v>60.602564102564102</v>
      </c>
      <c r="E115" s="51">
        <v>0</v>
      </c>
      <c r="F115" s="51">
        <v>0</v>
      </c>
      <c r="G115" s="51">
        <v>0</v>
      </c>
      <c r="H115" s="51">
        <v>1</v>
      </c>
      <c r="I115" s="53">
        <f t="shared" ref="I115:I133" si="4">IF(A115&lt;&gt;0,(B115-(B114-D114))/(A115-A114),"")</f>
        <v>8.0564102564102633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>
        <v>41</v>
      </c>
      <c r="B116" s="60">
        <v>157.44871794871796</v>
      </c>
      <c r="C116" s="50">
        <v>2</v>
      </c>
      <c r="D116" s="60">
        <v>38.512820512820511</v>
      </c>
      <c r="E116" s="51">
        <v>0</v>
      </c>
      <c r="F116" s="51">
        <v>0</v>
      </c>
      <c r="G116" s="51">
        <v>0</v>
      </c>
      <c r="H116" s="51">
        <v>1</v>
      </c>
      <c r="I116" s="53">
        <f t="shared" si="4"/>
        <v>9.3141025641025621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>
        <v>48</v>
      </c>
      <c r="B117" s="60">
        <v>184.35256410256409</v>
      </c>
      <c r="C117" s="50">
        <v>3</v>
      </c>
      <c r="D117" s="60">
        <v>48.025641025641022</v>
      </c>
      <c r="E117" s="51">
        <v>0</v>
      </c>
      <c r="F117" s="51">
        <v>0</v>
      </c>
      <c r="G117" s="51">
        <v>0</v>
      </c>
      <c r="H117" s="51">
        <v>1</v>
      </c>
      <c r="I117" s="53">
        <f t="shared" si="4"/>
        <v>9.3452380952380913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>
        <v>55</v>
      </c>
      <c r="B118" s="60">
        <v>198.44230769230768</v>
      </c>
      <c r="C118" s="50">
        <v>4</v>
      </c>
      <c r="D118" s="60">
        <v>45.147435897435898</v>
      </c>
      <c r="E118" s="51">
        <v>0</v>
      </c>
      <c r="F118" s="51">
        <v>0</v>
      </c>
      <c r="G118" s="51">
        <v>0</v>
      </c>
      <c r="H118" s="51">
        <v>1</v>
      </c>
      <c r="I118" s="53">
        <f t="shared" si="4"/>
        <v>8.8736263736263741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>
        <v>63</v>
      </c>
      <c r="B119" s="60">
        <v>220.28846153846152</v>
      </c>
      <c r="C119" s="50">
        <v>5</v>
      </c>
      <c r="D119" s="60">
        <v>41.724358974358978</v>
      </c>
      <c r="E119" s="51">
        <v>0.7</v>
      </c>
      <c r="F119" s="51">
        <v>0</v>
      </c>
      <c r="G119" s="51">
        <v>0</v>
      </c>
      <c r="H119" s="51">
        <v>0.3</v>
      </c>
      <c r="I119" s="53">
        <f t="shared" si="4"/>
        <v>8.374198717948719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>
        <v>71</v>
      </c>
      <c r="B120" s="60">
        <v>243.36538461538464</v>
      </c>
      <c r="C120" s="60">
        <v>6</v>
      </c>
      <c r="D120" s="60">
        <v>39.935897435897431</v>
      </c>
      <c r="E120" s="87">
        <v>0.7</v>
      </c>
      <c r="F120" s="87">
        <v>0</v>
      </c>
      <c r="G120" s="87">
        <v>0</v>
      </c>
      <c r="H120" s="87">
        <v>0.3</v>
      </c>
      <c r="I120" s="53">
        <f t="shared" si="4"/>
        <v>8.1001602564102626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>
        <v>80</v>
      </c>
      <c r="B121" s="60">
        <v>274.01282051282055</v>
      </c>
      <c r="C121" s="60">
        <v>7</v>
      </c>
      <c r="D121" s="60">
        <v>45.608974358974358</v>
      </c>
      <c r="E121" s="87">
        <v>0.7</v>
      </c>
      <c r="F121" s="87">
        <v>0</v>
      </c>
      <c r="G121" s="87">
        <v>0</v>
      </c>
      <c r="H121" s="87">
        <v>0.3</v>
      </c>
      <c r="I121" s="53">
        <f t="shared" si="4"/>
        <v>7.8425925925925934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>
        <v>89</v>
      </c>
      <c r="B122" s="60">
        <v>295.85897435897436</v>
      </c>
      <c r="C122" s="60">
        <v>8</v>
      </c>
      <c r="D122" s="60">
        <v>49.391025641025635</v>
      </c>
      <c r="E122" s="87">
        <v>0.7</v>
      </c>
      <c r="F122" s="87">
        <v>0</v>
      </c>
      <c r="G122" s="87">
        <v>0</v>
      </c>
      <c r="H122" s="87">
        <v>0.3</v>
      </c>
      <c r="I122" s="53">
        <f t="shared" si="4"/>
        <v>7.4950142450142421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>
        <v>99</v>
      </c>
      <c r="B123" s="60">
        <v>318.25</v>
      </c>
      <c r="C123" s="60">
        <v>9</v>
      </c>
      <c r="D123" s="60">
        <v>48.019230769230766</v>
      </c>
      <c r="E123" s="87">
        <v>0.7</v>
      </c>
      <c r="F123" s="87">
        <v>0</v>
      </c>
      <c r="G123" s="87">
        <v>0</v>
      </c>
      <c r="H123" s="87">
        <v>0.3</v>
      </c>
      <c r="I123" s="53">
        <f t="shared" si="4"/>
        <v>7.1782051282051267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>
        <v>109</v>
      </c>
      <c r="B124" s="60">
        <v>340.16666666666663</v>
      </c>
      <c r="C124" s="60">
        <v>10</v>
      </c>
      <c r="D124" s="60">
        <v>51.28846153846154</v>
      </c>
      <c r="E124" s="87">
        <v>0.9</v>
      </c>
      <c r="F124" s="87">
        <v>0</v>
      </c>
      <c r="G124" s="87">
        <v>0</v>
      </c>
      <c r="H124" s="87">
        <v>0.1</v>
      </c>
      <c r="I124" s="53">
        <f t="shared" si="4"/>
        <v>6.9935897435897401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>
        <v>119</v>
      </c>
      <c r="B125" s="60">
        <v>357.33974358974359</v>
      </c>
      <c r="C125" s="60">
        <v>11</v>
      </c>
      <c r="D125" s="60">
        <v>150.02564102564102</v>
      </c>
      <c r="E125" s="87">
        <v>0.9</v>
      </c>
      <c r="F125" s="87">
        <v>0</v>
      </c>
      <c r="G125" s="87">
        <v>0</v>
      </c>
      <c r="H125" s="87">
        <v>0.1</v>
      </c>
      <c r="I125" s="53">
        <f t="shared" si="4"/>
        <v>6.8461538461538511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>
        <v>123</v>
      </c>
      <c r="B126" s="60">
        <v>222.63461538461539</v>
      </c>
      <c r="C126" s="60">
        <v>12</v>
      </c>
      <c r="D126" s="60">
        <v>77.17307692307692</v>
      </c>
      <c r="E126" s="65">
        <v>0.9</v>
      </c>
      <c r="F126" s="65">
        <v>0</v>
      </c>
      <c r="G126" s="65">
        <v>0</v>
      </c>
      <c r="H126" s="65">
        <v>0.1</v>
      </c>
      <c r="I126" s="53">
        <f t="shared" si="4"/>
        <v>3.8301282051282044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>
        <v>127</v>
      </c>
      <c r="B127" s="60">
        <v>154.80128205128204</v>
      </c>
      <c r="C127" s="60">
        <v>13</v>
      </c>
      <c r="D127" s="60">
        <v>49.916666666666671</v>
      </c>
      <c r="E127" s="65">
        <v>0.9</v>
      </c>
      <c r="F127" s="65">
        <v>0</v>
      </c>
      <c r="G127" s="65">
        <v>0</v>
      </c>
      <c r="H127" s="65">
        <v>0.1</v>
      </c>
      <c r="I127" s="53">
        <f t="shared" si="4"/>
        <v>2.3349358974358978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>
        <v>131</v>
      </c>
      <c r="B128" s="50">
        <v>110.91025641025641</v>
      </c>
      <c r="C128" s="50">
        <v>14</v>
      </c>
      <c r="D128" s="50">
        <v>110.91025641025641</v>
      </c>
      <c r="E128" s="54">
        <v>0.9</v>
      </c>
      <c r="F128" s="54">
        <v>0</v>
      </c>
      <c r="G128" s="54">
        <v>0</v>
      </c>
      <c r="H128" s="54">
        <v>0.1</v>
      </c>
      <c r="I128" s="53">
        <f t="shared" si="4"/>
        <v>1.5064102564102591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24</v>
      </c>
      <c r="B136" s="52" t="str">
        <f>IF(B13="","",B13)</f>
        <v>Chêne rouge d'Amérique</v>
      </c>
      <c r="D136" s="229" t="s">
        <v>45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46</v>
      </c>
      <c r="C138" s="259" t="s">
        <v>47</v>
      </c>
      <c r="D138" s="259"/>
      <c r="E138" s="260" t="s">
        <v>48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49</v>
      </c>
      <c r="B139" s="36" t="s">
        <v>50</v>
      </c>
      <c r="C139" s="48" t="s">
        <v>51</v>
      </c>
      <c r="D139" s="48" t="s">
        <v>52</v>
      </c>
      <c r="E139" s="36" t="s">
        <v>53</v>
      </c>
      <c r="F139" s="36" t="s">
        <v>54</v>
      </c>
      <c r="G139" s="36" t="s">
        <v>55</v>
      </c>
      <c r="H139" s="36" t="s">
        <v>56</v>
      </c>
      <c r="I139" s="48" t="s">
        <v>57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>
        <v>10</v>
      </c>
      <c r="B140" s="60">
        <v>18</v>
      </c>
      <c r="C140" s="50">
        <v>0</v>
      </c>
      <c r="D140" s="60">
        <v>0</v>
      </c>
      <c r="E140" s="51">
        <v>0</v>
      </c>
      <c r="F140" s="51">
        <v>0</v>
      </c>
      <c r="G140" s="51">
        <v>0</v>
      </c>
      <c r="H140" s="51">
        <v>1</v>
      </c>
      <c r="I140" s="57">
        <f>IFERROR(B140/A140,"")</f>
        <v>1.8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>
        <v>15</v>
      </c>
      <c r="B141" s="60">
        <v>47</v>
      </c>
      <c r="C141" s="50">
        <v>0</v>
      </c>
      <c r="D141" s="60">
        <v>0</v>
      </c>
      <c r="E141" s="51">
        <v>0</v>
      </c>
      <c r="F141" s="51">
        <v>0</v>
      </c>
      <c r="G141" s="51">
        <v>0</v>
      </c>
      <c r="H141" s="51">
        <v>1</v>
      </c>
      <c r="I141" s="57">
        <f t="shared" ref="I141:I159" si="5">IF(A141&lt;&gt;0,(B141-(B140-D140))/(A141-A140),"")</f>
        <v>5.8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>
        <v>20</v>
      </c>
      <c r="B142" s="60">
        <v>87</v>
      </c>
      <c r="C142" s="50">
        <v>1</v>
      </c>
      <c r="D142" s="60" t="s">
        <v>340</v>
      </c>
      <c r="E142" s="51">
        <v>0</v>
      </c>
      <c r="F142" s="51">
        <v>0</v>
      </c>
      <c r="G142" s="51">
        <v>0</v>
      </c>
      <c r="H142" s="51">
        <v>1</v>
      </c>
      <c r="I142" s="57">
        <f t="shared" si="5"/>
        <v>8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>
        <v>25</v>
      </c>
      <c r="B143" s="60">
        <v>98</v>
      </c>
      <c r="C143" s="50">
        <v>2</v>
      </c>
      <c r="D143" s="60" t="s">
        <v>335</v>
      </c>
      <c r="E143" s="51">
        <v>0</v>
      </c>
      <c r="F143" s="51">
        <v>0</v>
      </c>
      <c r="G143" s="51">
        <v>0</v>
      </c>
      <c r="H143" s="51">
        <v>1</v>
      </c>
      <c r="I143" s="57">
        <f t="shared" si="5"/>
        <v>8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>
        <v>30</v>
      </c>
      <c r="B144" s="60">
        <v>119</v>
      </c>
      <c r="C144" s="50">
        <v>3</v>
      </c>
      <c r="D144" s="60" t="s">
        <v>341</v>
      </c>
      <c r="E144" s="51">
        <v>0</v>
      </c>
      <c r="F144" s="51">
        <v>0</v>
      </c>
      <c r="G144" s="51">
        <v>0</v>
      </c>
      <c r="H144" s="51">
        <v>1</v>
      </c>
      <c r="I144" s="57">
        <f t="shared" si="5"/>
        <v>8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>
        <v>35</v>
      </c>
      <c r="B145" s="60">
        <v>135</v>
      </c>
      <c r="C145" s="50">
        <v>4</v>
      </c>
      <c r="D145" s="60" t="s">
        <v>341</v>
      </c>
      <c r="E145" s="51">
        <v>0</v>
      </c>
      <c r="F145" s="51">
        <v>0</v>
      </c>
      <c r="G145" s="51">
        <v>0</v>
      </c>
      <c r="H145" s="51">
        <v>1</v>
      </c>
      <c r="I145" s="57">
        <f t="shared" si="5"/>
        <v>7.2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>
        <v>40</v>
      </c>
      <c r="B146" s="60">
        <v>150</v>
      </c>
      <c r="C146" s="50">
        <v>5</v>
      </c>
      <c r="D146" s="60" t="s">
        <v>341</v>
      </c>
      <c r="E146" s="51">
        <v>0</v>
      </c>
      <c r="F146" s="51">
        <v>0.5</v>
      </c>
      <c r="G146" s="51">
        <v>0</v>
      </c>
      <c r="H146" s="51">
        <v>0.5</v>
      </c>
      <c r="I146" s="57">
        <f t="shared" si="5"/>
        <v>7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>
        <v>45</v>
      </c>
      <c r="B147" s="60">
        <v>162</v>
      </c>
      <c r="C147" s="50">
        <v>6</v>
      </c>
      <c r="D147" s="60" t="s">
        <v>335</v>
      </c>
      <c r="E147" s="51">
        <v>0</v>
      </c>
      <c r="F147" s="51">
        <v>0.5</v>
      </c>
      <c r="G147" s="51">
        <v>0</v>
      </c>
      <c r="H147" s="51">
        <v>0.5</v>
      </c>
      <c r="I147" s="57">
        <f>IF(A147&lt;&gt;0,(B147-(B146-D146))/(A147-A146),"")</f>
        <v>6.4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>
        <v>50</v>
      </c>
      <c r="B148" s="60">
        <v>173</v>
      </c>
      <c r="C148" s="50">
        <v>7</v>
      </c>
      <c r="D148" s="60" t="s">
        <v>336</v>
      </c>
      <c r="E148" s="51">
        <v>0</v>
      </c>
      <c r="F148" s="51">
        <v>0.5</v>
      </c>
      <c r="G148" s="51">
        <v>0</v>
      </c>
      <c r="H148" s="51">
        <v>0.5</v>
      </c>
      <c r="I148" s="57">
        <f t="shared" si="5"/>
        <v>6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>
        <v>55</v>
      </c>
      <c r="B149" s="60">
        <v>181</v>
      </c>
      <c r="C149" s="50">
        <v>8</v>
      </c>
      <c r="D149" s="60" t="s">
        <v>342</v>
      </c>
      <c r="E149" s="51">
        <v>0.4</v>
      </c>
      <c r="F149" s="51">
        <v>0.4</v>
      </c>
      <c r="G149" s="51">
        <v>0</v>
      </c>
      <c r="H149" s="51">
        <v>0.2</v>
      </c>
      <c r="I149" s="57">
        <f t="shared" si="5"/>
        <v>5.2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>
        <v>60</v>
      </c>
      <c r="B150" s="60">
        <v>189</v>
      </c>
      <c r="C150" s="50">
        <v>9</v>
      </c>
      <c r="D150" s="60" t="s">
        <v>337</v>
      </c>
      <c r="E150" s="51">
        <v>0.4</v>
      </c>
      <c r="F150" s="51">
        <v>0.4</v>
      </c>
      <c r="G150" s="51">
        <v>0</v>
      </c>
      <c r="H150" s="51">
        <v>0.2</v>
      </c>
      <c r="I150" s="57">
        <f t="shared" si="5"/>
        <v>5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>
        <v>65</v>
      </c>
      <c r="B151" s="60">
        <v>195</v>
      </c>
      <c r="C151" s="50">
        <v>10</v>
      </c>
      <c r="D151" s="60" t="s">
        <v>338</v>
      </c>
      <c r="E151" s="51">
        <v>0.4</v>
      </c>
      <c r="F151" s="51">
        <v>0.4</v>
      </c>
      <c r="G151" s="51">
        <v>0</v>
      </c>
      <c r="H151" s="51">
        <v>0.2</v>
      </c>
      <c r="I151" s="57">
        <f t="shared" si="5"/>
        <v>4.4000000000000004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>
        <v>70</v>
      </c>
      <c r="B152" s="60">
        <v>201</v>
      </c>
      <c r="C152" s="50">
        <v>11</v>
      </c>
      <c r="D152" s="60" t="s">
        <v>343</v>
      </c>
      <c r="E152" s="54">
        <v>0.4</v>
      </c>
      <c r="F152" s="54">
        <v>0.4</v>
      </c>
      <c r="G152" s="54">
        <v>0</v>
      </c>
      <c r="H152" s="54">
        <v>0.2</v>
      </c>
      <c r="I152" s="57">
        <f t="shared" si="5"/>
        <v>4.2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>
        <v>75</v>
      </c>
      <c r="B153" s="60">
        <v>204</v>
      </c>
      <c r="C153" s="50">
        <v>12</v>
      </c>
      <c r="D153" s="60" t="s">
        <v>327</v>
      </c>
      <c r="E153" s="54">
        <v>0.4</v>
      </c>
      <c r="F153" s="54">
        <v>0.4</v>
      </c>
      <c r="G153" s="54">
        <v>0</v>
      </c>
      <c r="H153" s="54">
        <v>0.2</v>
      </c>
      <c r="I153" s="57">
        <f t="shared" si="5"/>
        <v>3.4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>
        <v>80</v>
      </c>
      <c r="B154" s="56">
        <v>208</v>
      </c>
      <c r="C154" s="50">
        <v>13</v>
      </c>
      <c r="D154" s="50" t="s">
        <v>344</v>
      </c>
      <c r="E154" s="54">
        <v>0.4</v>
      </c>
      <c r="F154" s="54">
        <v>0.4</v>
      </c>
      <c r="G154" s="54">
        <v>0</v>
      </c>
      <c r="H154" s="54">
        <v>0.2</v>
      </c>
      <c r="I154" s="57">
        <f t="shared" si="5"/>
        <v>3.2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>
        <v>85</v>
      </c>
      <c r="B155" s="56">
        <v>211</v>
      </c>
      <c r="C155" s="50">
        <v>14</v>
      </c>
      <c r="D155" s="50" t="s">
        <v>345</v>
      </c>
      <c r="E155" s="54">
        <v>0.5</v>
      </c>
      <c r="F155" s="54">
        <v>0.4</v>
      </c>
      <c r="G155" s="54">
        <v>0</v>
      </c>
      <c r="H155" s="54">
        <v>0.1</v>
      </c>
      <c r="I155" s="57">
        <f t="shared" si="5"/>
        <v>2.8</v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>
        <v>90</v>
      </c>
      <c r="B156" s="56">
        <v>215</v>
      </c>
      <c r="C156" s="50">
        <v>15</v>
      </c>
      <c r="D156" s="50" t="s">
        <v>345</v>
      </c>
      <c r="E156" s="54">
        <v>0.5</v>
      </c>
      <c r="F156" s="54">
        <v>0.4</v>
      </c>
      <c r="G156" s="54">
        <v>0</v>
      </c>
      <c r="H156" s="54">
        <v>0.1</v>
      </c>
      <c r="I156" s="57">
        <f t="shared" si="5"/>
        <v>2.8</v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>
        <v>95</v>
      </c>
      <c r="B157" s="56">
        <v>219</v>
      </c>
      <c r="C157" s="50">
        <v>16</v>
      </c>
      <c r="D157" s="50" t="s">
        <v>344</v>
      </c>
      <c r="E157" s="54">
        <v>0.5</v>
      </c>
      <c r="F157" s="54">
        <v>0.4</v>
      </c>
      <c r="G157" s="54">
        <v>0</v>
      </c>
      <c r="H157" s="54">
        <v>0.1</v>
      </c>
      <c r="I157" s="57">
        <f t="shared" si="5"/>
        <v>2.8</v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>
        <v>100</v>
      </c>
      <c r="B158" s="56">
        <v>223</v>
      </c>
      <c r="C158" s="50">
        <v>17</v>
      </c>
      <c r="D158" s="50" t="s">
        <v>344</v>
      </c>
      <c r="E158" s="54">
        <v>0.5</v>
      </c>
      <c r="F158" s="54">
        <v>0.4</v>
      </c>
      <c r="G158" s="54">
        <v>0</v>
      </c>
      <c r="H158" s="54">
        <v>0.1</v>
      </c>
      <c r="I158" s="57">
        <f t="shared" si="5"/>
        <v>3</v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26</v>
      </c>
      <c r="B162" s="52" t="str">
        <f>IF(B14="","",B14)</f>
        <v/>
      </c>
      <c r="D162" s="229" t="s">
        <v>45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46</v>
      </c>
      <c r="C164" s="259" t="s">
        <v>47</v>
      </c>
      <c r="D164" s="259"/>
      <c r="E164" s="260" t="s">
        <v>48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49</v>
      </c>
      <c r="B165" s="36" t="s">
        <v>50</v>
      </c>
      <c r="C165" s="48" t="s">
        <v>51</v>
      </c>
      <c r="D165" s="48" t="s">
        <v>52</v>
      </c>
      <c r="E165" s="36" t="s">
        <v>53</v>
      </c>
      <c r="F165" s="36" t="s">
        <v>54</v>
      </c>
      <c r="G165" s="36" t="s">
        <v>55</v>
      </c>
      <c r="H165" s="36" t="s">
        <v>56</v>
      </c>
      <c r="I165" s="48" t="s">
        <v>57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27</v>
      </c>
      <c r="B188" s="52" t="str">
        <f>IF(B15="","",B15)</f>
        <v/>
      </c>
      <c r="D188" s="229" t="s">
        <v>45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46</v>
      </c>
      <c r="C190" s="259" t="s">
        <v>47</v>
      </c>
      <c r="D190" s="259"/>
      <c r="E190" s="260" t="s">
        <v>48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49</v>
      </c>
      <c r="B191" s="36" t="s">
        <v>50</v>
      </c>
      <c r="C191" s="48" t="s">
        <v>51</v>
      </c>
      <c r="D191" s="48" t="s">
        <v>52</v>
      </c>
      <c r="E191" s="36" t="s">
        <v>53</v>
      </c>
      <c r="F191" s="36" t="s">
        <v>54</v>
      </c>
      <c r="G191" s="36" t="s">
        <v>55</v>
      </c>
      <c r="H191" s="36" t="s">
        <v>56</v>
      </c>
      <c r="I191" s="48" t="s">
        <v>57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28</v>
      </c>
      <c r="B214" s="52" t="str">
        <f>IF(B16="","",B16)</f>
        <v/>
      </c>
      <c r="D214" s="229" t="s">
        <v>45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46</v>
      </c>
      <c r="C216" s="259" t="s">
        <v>47</v>
      </c>
      <c r="D216" s="259"/>
      <c r="E216" s="260" t="s">
        <v>48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49</v>
      </c>
      <c r="B217" s="36" t="s">
        <v>50</v>
      </c>
      <c r="C217" s="48" t="s">
        <v>51</v>
      </c>
      <c r="D217" s="48" t="s">
        <v>52</v>
      </c>
      <c r="E217" s="36" t="s">
        <v>53</v>
      </c>
      <c r="F217" s="36" t="s">
        <v>54</v>
      </c>
      <c r="G217" s="36" t="s">
        <v>55</v>
      </c>
      <c r="H217" s="36" t="s">
        <v>56</v>
      </c>
      <c r="I217" s="48" t="s">
        <v>57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29</v>
      </c>
      <c r="B240" s="52" t="str">
        <f>IF(B17="","",B17)</f>
        <v/>
      </c>
      <c r="D240" s="229" t="s">
        <v>45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46</v>
      </c>
      <c r="C242" s="259" t="s">
        <v>47</v>
      </c>
      <c r="D242" s="259"/>
      <c r="E242" s="260" t="s">
        <v>48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49</v>
      </c>
      <c r="B243" s="36" t="s">
        <v>50</v>
      </c>
      <c r="C243" s="48" t="s">
        <v>51</v>
      </c>
      <c r="D243" s="48" t="s">
        <v>52</v>
      </c>
      <c r="E243" s="36" t="s">
        <v>53</v>
      </c>
      <c r="F243" s="36" t="s">
        <v>54</v>
      </c>
      <c r="G243" s="36" t="s">
        <v>55</v>
      </c>
      <c r="H243" s="36" t="s">
        <v>56</v>
      </c>
      <c r="I243" s="48" t="s">
        <v>57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30</v>
      </c>
      <c r="B266" s="52" t="str">
        <f>IF(B18="","",B18)</f>
        <v/>
      </c>
      <c r="D266" s="229" t="s">
        <v>45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46</v>
      </c>
      <c r="C268" s="259" t="s">
        <v>47</v>
      </c>
      <c r="D268" s="259"/>
      <c r="E268" s="260" t="s">
        <v>48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49</v>
      </c>
      <c r="B269" s="36" t="s">
        <v>50</v>
      </c>
      <c r="C269" s="48" t="s">
        <v>51</v>
      </c>
      <c r="D269" s="48" t="s">
        <v>52</v>
      </c>
      <c r="E269" s="36" t="s">
        <v>53</v>
      </c>
      <c r="F269" s="36" t="s">
        <v>54</v>
      </c>
      <c r="G269" s="36" t="s">
        <v>55</v>
      </c>
      <c r="H269" s="36" t="s">
        <v>56</v>
      </c>
      <c r="I269" s="48" t="s">
        <v>57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F9" sqref="F9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2" t="s">
        <v>59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60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61</v>
      </c>
      <c r="C7" s="100" t="s">
        <v>62</v>
      </c>
      <c r="D7" s="215"/>
      <c r="E7" s="101"/>
      <c r="F7" s="26" t="s">
        <v>61</v>
      </c>
      <c r="G7" s="100" t="s">
        <v>63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0</v>
      </c>
      <c r="C8" s="49" t="s">
        <v>64</v>
      </c>
      <c r="D8" s="23"/>
      <c r="E8" s="105">
        <v>4</v>
      </c>
      <c r="F8" s="61">
        <v>1</v>
      </c>
      <c r="G8" s="102" t="s">
        <v>65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66</v>
      </c>
      <c r="D9" s="23"/>
      <c r="E9" s="105">
        <v>5</v>
      </c>
      <c r="F9" s="61">
        <v>0</v>
      </c>
      <c r="G9" s="103" t="s">
        <v>67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68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69</v>
      </c>
      <c r="D13" s="216"/>
      <c r="E13" s="99"/>
      <c r="F13" s="107"/>
      <c r="G13" s="98" t="s">
        <v>70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71</v>
      </c>
      <c r="D14" s="216"/>
      <c r="E14" s="99"/>
      <c r="F14" s="107"/>
      <c r="G14" s="98" t="s">
        <v>72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61</v>
      </c>
      <c r="C15" s="4"/>
      <c r="D15" s="23"/>
      <c r="E15" s="4"/>
      <c r="F15" s="4"/>
      <c r="G15" s="2" t="s">
        <v>73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74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75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76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8" t="s">
        <v>77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Peuplier Koster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Erable plane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Aulne glutineux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Chêne sessile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Chêne rouge d'Amérique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 x14ac:dyDescent="0.4">
      <c r="A2" s="71" t="s">
        <v>78</v>
      </c>
      <c r="B2" s="72" t="s">
        <v>79</v>
      </c>
      <c r="C2" s="5" t="s">
        <v>80</v>
      </c>
      <c r="D2" s="5" t="s">
        <v>81</v>
      </c>
      <c r="E2" s="5" t="s">
        <v>82</v>
      </c>
      <c r="F2" s="5" t="s">
        <v>83</v>
      </c>
      <c r="G2" s="5" t="s">
        <v>84</v>
      </c>
      <c r="H2" s="66" t="s">
        <v>85</v>
      </c>
      <c r="I2" s="68" t="s">
        <v>82</v>
      </c>
      <c r="J2" s="69" t="s">
        <v>83</v>
      </c>
      <c r="K2" s="6" t="s">
        <v>86</v>
      </c>
      <c r="L2" s="6" t="s">
        <v>87</v>
      </c>
      <c r="M2" s="6" t="s">
        <v>87</v>
      </c>
      <c r="N2" s="6" t="s">
        <v>88</v>
      </c>
      <c r="O2" s="6" t="s">
        <v>89</v>
      </c>
      <c r="P2" s="6" t="s">
        <v>90</v>
      </c>
      <c r="Q2" s="6" t="s">
        <v>84</v>
      </c>
      <c r="R2" s="6" t="s">
        <v>91</v>
      </c>
      <c r="S2" s="6" t="s">
        <v>92</v>
      </c>
      <c r="T2" s="6" t="s">
        <v>93</v>
      </c>
      <c r="U2" s="7" t="s">
        <v>94</v>
      </c>
      <c r="V2" s="8" t="s">
        <v>95</v>
      </c>
      <c r="W2" s="7" t="s">
        <v>53</v>
      </c>
      <c r="X2" s="7" t="s">
        <v>54</v>
      </c>
      <c r="Y2" s="7" t="s">
        <v>96</v>
      </c>
      <c r="Z2" s="8" t="s">
        <v>97</v>
      </c>
      <c r="AA2" s="8" t="s">
        <v>98</v>
      </c>
      <c r="AB2" s="8" t="s">
        <v>99</v>
      </c>
      <c r="AC2" s="9" t="s">
        <v>100</v>
      </c>
      <c r="AD2" s="69" t="s">
        <v>82</v>
      </c>
      <c r="AE2" s="69" t="s">
        <v>83</v>
      </c>
      <c r="AF2" s="6" t="s">
        <v>86</v>
      </c>
      <c r="AG2" s="6" t="s">
        <v>87</v>
      </c>
      <c r="AH2" s="6" t="s">
        <v>87</v>
      </c>
      <c r="AI2" s="6" t="s">
        <v>88</v>
      </c>
      <c r="AJ2" s="6" t="s">
        <v>89</v>
      </c>
      <c r="AK2" s="6" t="s">
        <v>90</v>
      </c>
      <c r="AL2" s="6" t="s">
        <v>84</v>
      </c>
      <c r="AM2" s="6" t="s">
        <v>91</v>
      </c>
      <c r="AN2" s="6" t="s">
        <v>92</v>
      </c>
      <c r="AO2" s="6" t="s">
        <v>93</v>
      </c>
      <c r="AP2" s="7" t="s">
        <v>94</v>
      </c>
      <c r="AQ2" s="8" t="s">
        <v>95</v>
      </c>
      <c r="AR2" s="7" t="s">
        <v>53</v>
      </c>
      <c r="AS2" s="7" t="s">
        <v>54</v>
      </c>
      <c r="AT2" s="8" t="s">
        <v>101</v>
      </c>
      <c r="AU2" s="8" t="s">
        <v>97</v>
      </c>
      <c r="AV2" s="8" t="s">
        <v>98</v>
      </c>
      <c r="AW2" s="8" t="s">
        <v>99</v>
      </c>
      <c r="AX2" s="8" t="s">
        <v>100</v>
      </c>
      <c r="AY2" s="68" t="s">
        <v>82</v>
      </c>
      <c r="AZ2" s="69" t="s">
        <v>83</v>
      </c>
      <c r="BA2" s="6" t="s">
        <v>86</v>
      </c>
      <c r="BB2" s="6" t="s">
        <v>87</v>
      </c>
      <c r="BC2" s="6" t="s">
        <v>87</v>
      </c>
      <c r="BD2" s="6" t="s">
        <v>88</v>
      </c>
      <c r="BE2" s="6" t="s">
        <v>89</v>
      </c>
      <c r="BF2" s="6" t="s">
        <v>90</v>
      </c>
      <c r="BG2" s="6" t="s">
        <v>84</v>
      </c>
      <c r="BH2" s="6" t="s">
        <v>91</v>
      </c>
      <c r="BI2" s="6" t="s">
        <v>92</v>
      </c>
      <c r="BJ2" s="6" t="s">
        <v>93</v>
      </c>
      <c r="BK2" s="7" t="s">
        <v>94</v>
      </c>
      <c r="BL2" s="8" t="s">
        <v>95</v>
      </c>
      <c r="BM2" s="7" t="s">
        <v>53</v>
      </c>
      <c r="BN2" s="7" t="s">
        <v>54</v>
      </c>
      <c r="BO2" s="8" t="s">
        <v>101</v>
      </c>
      <c r="BP2" s="8" t="s">
        <v>97</v>
      </c>
      <c r="BQ2" s="8" t="s">
        <v>98</v>
      </c>
      <c r="BR2" s="8" t="s">
        <v>99</v>
      </c>
      <c r="BS2" s="9" t="s">
        <v>100</v>
      </c>
      <c r="BT2" s="68" t="s">
        <v>82</v>
      </c>
      <c r="BU2" s="69" t="s">
        <v>83</v>
      </c>
      <c r="BV2" s="6" t="s">
        <v>86</v>
      </c>
      <c r="BW2" s="6" t="s">
        <v>87</v>
      </c>
      <c r="BX2" s="6" t="s">
        <v>87</v>
      </c>
      <c r="BY2" s="6" t="s">
        <v>88</v>
      </c>
      <c r="BZ2" s="6" t="s">
        <v>89</v>
      </c>
      <c r="CA2" s="6" t="s">
        <v>90</v>
      </c>
      <c r="CB2" s="6" t="s">
        <v>84</v>
      </c>
      <c r="CC2" s="6" t="s">
        <v>91</v>
      </c>
      <c r="CD2" s="6" t="s">
        <v>92</v>
      </c>
      <c r="CE2" s="6" t="s">
        <v>93</v>
      </c>
      <c r="CF2" s="7" t="s">
        <v>94</v>
      </c>
      <c r="CG2" s="8" t="s">
        <v>95</v>
      </c>
      <c r="CH2" s="7" t="s">
        <v>53</v>
      </c>
      <c r="CI2" s="7" t="s">
        <v>54</v>
      </c>
      <c r="CJ2" s="8" t="s">
        <v>101</v>
      </c>
      <c r="CK2" s="8" t="s">
        <v>97</v>
      </c>
      <c r="CL2" s="8" t="s">
        <v>98</v>
      </c>
      <c r="CM2" s="8" t="s">
        <v>99</v>
      </c>
      <c r="CN2" s="9" t="s">
        <v>100</v>
      </c>
      <c r="CO2" s="68" t="s">
        <v>82</v>
      </c>
      <c r="CP2" s="69" t="s">
        <v>83</v>
      </c>
      <c r="CQ2" s="6" t="s">
        <v>86</v>
      </c>
      <c r="CR2" s="6" t="s">
        <v>87</v>
      </c>
      <c r="CS2" s="6" t="s">
        <v>87</v>
      </c>
      <c r="CT2" s="6" t="s">
        <v>88</v>
      </c>
      <c r="CU2" s="6" t="s">
        <v>89</v>
      </c>
      <c r="CV2" s="6" t="s">
        <v>90</v>
      </c>
      <c r="CW2" s="6" t="s">
        <v>84</v>
      </c>
      <c r="CX2" s="6" t="s">
        <v>91</v>
      </c>
      <c r="CY2" s="6" t="s">
        <v>92</v>
      </c>
      <c r="CZ2" s="6" t="s">
        <v>93</v>
      </c>
      <c r="DA2" s="7" t="s">
        <v>94</v>
      </c>
      <c r="DB2" s="8" t="s">
        <v>95</v>
      </c>
      <c r="DC2" s="7" t="s">
        <v>53</v>
      </c>
      <c r="DD2" s="7" t="s">
        <v>54</v>
      </c>
      <c r="DE2" s="8" t="s">
        <v>101</v>
      </c>
      <c r="DF2" s="8" t="s">
        <v>97</v>
      </c>
      <c r="DG2" s="8" t="s">
        <v>98</v>
      </c>
      <c r="DH2" s="8" t="s">
        <v>99</v>
      </c>
      <c r="DI2" s="9" t="s">
        <v>100</v>
      </c>
      <c r="DJ2" s="68" t="s">
        <v>82</v>
      </c>
      <c r="DK2" s="69" t="s">
        <v>83</v>
      </c>
      <c r="DL2" s="6" t="s">
        <v>86</v>
      </c>
      <c r="DM2" s="6" t="s">
        <v>87</v>
      </c>
      <c r="DN2" s="6" t="s">
        <v>87</v>
      </c>
      <c r="DO2" s="6" t="s">
        <v>88</v>
      </c>
      <c r="DP2" s="6" t="s">
        <v>89</v>
      </c>
      <c r="DQ2" s="6" t="s">
        <v>90</v>
      </c>
      <c r="DR2" s="6" t="s">
        <v>84</v>
      </c>
      <c r="DS2" s="6" t="s">
        <v>91</v>
      </c>
      <c r="DT2" s="6" t="s">
        <v>92</v>
      </c>
      <c r="DU2" s="6" t="s">
        <v>93</v>
      </c>
      <c r="DV2" s="7" t="s">
        <v>94</v>
      </c>
      <c r="DW2" s="8" t="s">
        <v>95</v>
      </c>
      <c r="DX2" s="7" t="s">
        <v>53</v>
      </c>
      <c r="DY2" s="7" t="s">
        <v>54</v>
      </c>
      <c r="DZ2" s="8" t="s">
        <v>101</v>
      </c>
      <c r="EA2" s="8" t="s">
        <v>97</v>
      </c>
      <c r="EB2" s="8" t="s">
        <v>98</v>
      </c>
      <c r="EC2" s="8" t="s">
        <v>99</v>
      </c>
      <c r="ED2" s="9" t="s">
        <v>100</v>
      </c>
      <c r="EE2" s="68" t="s">
        <v>82</v>
      </c>
      <c r="EF2" s="69" t="s">
        <v>83</v>
      </c>
      <c r="EG2" s="6" t="s">
        <v>86</v>
      </c>
      <c r="EH2" s="6" t="s">
        <v>87</v>
      </c>
      <c r="EI2" s="6" t="s">
        <v>87</v>
      </c>
      <c r="EJ2" s="6" t="s">
        <v>88</v>
      </c>
      <c r="EK2" s="6" t="s">
        <v>89</v>
      </c>
      <c r="EL2" s="6" t="s">
        <v>90</v>
      </c>
      <c r="EM2" s="6" t="s">
        <v>84</v>
      </c>
      <c r="EN2" s="6" t="s">
        <v>91</v>
      </c>
      <c r="EO2" s="6" t="s">
        <v>92</v>
      </c>
      <c r="EP2" s="6" t="s">
        <v>93</v>
      </c>
      <c r="EQ2" s="7" t="s">
        <v>94</v>
      </c>
      <c r="ER2" s="8" t="s">
        <v>95</v>
      </c>
      <c r="ES2" s="7" t="s">
        <v>53</v>
      </c>
      <c r="ET2" s="7" t="s">
        <v>54</v>
      </c>
      <c r="EU2" s="8" t="s">
        <v>101</v>
      </c>
      <c r="EV2" s="8" t="s">
        <v>97</v>
      </c>
      <c r="EW2" s="8" t="s">
        <v>98</v>
      </c>
      <c r="EX2" s="8" t="s">
        <v>99</v>
      </c>
      <c r="EY2" s="9" t="s">
        <v>100</v>
      </c>
      <c r="EZ2" s="68" t="s">
        <v>82</v>
      </c>
      <c r="FA2" s="69" t="s">
        <v>83</v>
      </c>
      <c r="FB2" s="6" t="s">
        <v>86</v>
      </c>
      <c r="FC2" s="6" t="s">
        <v>87</v>
      </c>
      <c r="FD2" s="6" t="s">
        <v>87</v>
      </c>
      <c r="FE2" s="6" t="s">
        <v>88</v>
      </c>
      <c r="FF2" s="6" t="s">
        <v>89</v>
      </c>
      <c r="FG2" s="6" t="s">
        <v>90</v>
      </c>
      <c r="FH2" s="6" t="s">
        <v>84</v>
      </c>
      <c r="FI2" s="6" t="s">
        <v>91</v>
      </c>
      <c r="FJ2" s="6" t="s">
        <v>92</v>
      </c>
      <c r="FK2" s="6" t="s">
        <v>93</v>
      </c>
      <c r="FL2" s="7" t="s">
        <v>94</v>
      </c>
      <c r="FM2" s="8" t="s">
        <v>95</v>
      </c>
      <c r="FN2" s="7" t="s">
        <v>53</v>
      </c>
      <c r="FO2" s="7" t="s">
        <v>54</v>
      </c>
      <c r="FP2" s="8" t="s">
        <v>102</v>
      </c>
      <c r="FQ2" s="8" t="s">
        <v>97</v>
      </c>
      <c r="FR2" s="8" t="s">
        <v>98</v>
      </c>
      <c r="FS2" s="8" t="s">
        <v>99</v>
      </c>
      <c r="FT2" s="9" t="s">
        <v>100</v>
      </c>
      <c r="FU2" s="68" t="s">
        <v>82</v>
      </c>
      <c r="FV2" s="69" t="s">
        <v>83</v>
      </c>
      <c r="FW2" s="6" t="s">
        <v>86</v>
      </c>
      <c r="FX2" s="6" t="s">
        <v>87</v>
      </c>
      <c r="FY2" s="6" t="s">
        <v>87</v>
      </c>
      <c r="FZ2" s="6" t="s">
        <v>88</v>
      </c>
      <c r="GA2" s="6" t="s">
        <v>89</v>
      </c>
      <c r="GB2" s="6" t="s">
        <v>90</v>
      </c>
      <c r="GC2" s="6" t="s">
        <v>84</v>
      </c>
      <c r="GD2" s="6" t="s">
        <v>91</v>
      </c>
      <c r="GE2" s="6" t="s">
        <v>92</v>
      </c>
      <c r="GF2" s="6" t="s">
        <v>93</v>
      </c>
      <c r="GG2" s="7" t="s">
        <v>94</v>
      </c>
      <c r="GH2" s="8" t="s">
        <v>95</v>
      </c>
      <c r="GI2" s="7" t="s">
        <v>53</v>
      </c>
      <c r="GJ2" s="7" t="s">
        <v>54</v>
      </c>
      <c r="GK2" s="8" t="s">
        <v>101</v>
      </c>
      <c r="GL2" s="8" t="s">
        <v>97</v>
      </c>
      <c r="GM2" s="8" t="s">
        <v>98</v>
      </c>
      <c r="GN2" s="8" t="s">
        <v>99</v>
      </c>
      <c r="GO2" s="8" t="s">
        <v>100</v>
      </c>
      <c r="GP2" s="68" t="s">
        <v>82</v>
      </c>
      <c r="GQ2" s="69" t="s">
        <v>83</v>
      </c>
      <c r="GR2" s="6" t="s">
        <v>86</v>
      </c>
      <c r="GS2" s="6" t="s">
        <v>87</v>
      </c>
      <c r="GT2" s="6" t="s">
        <v>87</v>
      </c>
      <c r="GU2" s="6" t="s">
        <v>88</v>
      </c>
      <c r="GV2" s="6" t="s">
        <v>89</v>
      </c>
      <c r="GW2" s="6" t="s">
        <v>90</v>
      </c>
      <c r="GX2" s="6" t="s">
        <v>84</v>
      </c>
      <c r="GY2" s="6" t="s">
        <v>91</v>
      </c>
      <c r="GZ2" s="6" t="s">
        <v>92</v>
      </c>
      <c r="HA2" s="6" t="s">
        <v>93</v>
      </c>
      <c r="HB2" s="7" t="s">
        <v>94</v>
      </c>
      <c r="HC2" s="8" t="s">
        <v>95</v>
      </c>
      <c r="HD2" s="7" t="s">
        <v>53</v>
      </c>
      <c r="HE2" s="7" t="s">
        <v>54</v>
      </c>
      <c r="HF2" s="8" t="s">
        <v>101</v>
      </c>
      <c r="HG2" s="8" t="s">
        <v>97</v>
      </c>
      <c r="HH2" s="8" t="s">
        <v>98</v>
      </c>
      <c r="HI2" s="8" t="s">
        <v>99</v>
      </c>
      <c r="HJ2" s="9" t="s">
        <v>100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66.814714696519275</v>
      </c>
      <c r="T3" s="59">
        <f>IF('Données projet'!E9&gt;30,$R$33-$H$33,LOOKUP('Données projet'!$E$9,$A$3:$A$203,R3:R203)-LOOKUP('Données projet'!$E$9,$A$3:$A$203,$H$3:$H$203))</f>
        <v>199.56746335788068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325.72928944930294</v>
      </c>
      <c r="AO3" s="59">
        <f>IF('Données projet'!E10&gt;30,$AM$33-$H$33,LOOKUP('Données projet'!$E$10,$A$3:$A$203,AM3:AM203)-LOOKUP('Données projet'!$E$10,$A$3:$A$203,$H$3:$H$203))</f>
        <v>318.38876834819752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209.40885738157152</v>
      </c>
      <c r="BJ3" s="59">
        <f>IF('Données projet'!E11&gt;30,$BH$33-$H$33,LOOKUP('Données projet'!$E$11,$A$3:$A$203,BH3:BH203)-LOOKUP('Données projet'!$E$11,$A$3:$A$203,$H$3:$H$203))</f>
        <v>230.15385333954697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270.87836509222456</v>
      </c>
      <c r="CE3" s="59">
        <f>IF('Données projet'!E12&gt;30,$CC$33-$H$33,LOOKUP('Données projet'!$E$12,$A$3:$A$203,CC3:CC203)-LOOKUP('Données projet'!$E$12,$A$3:$A$203,$H$3:$H$203))</f>
        <v>205.24998237949734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207.4513063267579</v>
      </c>
      <c r="CZ3" s="59">
        <f>IF('Données projet'!E13&gt;30,$CX$33-$H$33,LOOKUP('Données projet'!$E$13,$A$3:$A$203,CX3:CX203)-LOOKUP('Données projet'!$E$13,$A$3:$A$203,$H$3:$H$203))</f>
        <v>191.63513530247218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0.73499999999999999</v>
      </c>
      <c r="N4" s="13">
        <f>IF('Données projet'!$A$36&gt;35,N3+M4-V3,IF(A4&lt;'Données projet'!$A$36,$K$205^A4,IF(A4='Données projet'!$A$36,'Données projet'!$B$36,N3+M4-V3)))</f>
        <v>1.3094437062921891</v>
      </c>
      <c r="O4" s="13">
        <f>N4*VLOOKUP('Données projet'!$B$9,Paramètres!$A$1:$I$89,3,0)*VLOOKUP('Données projet'!$B$9,Paramètres!$A$1:$I$89,5,0)</f>
        <v>0.6659306912719557</v>
      </c>
      <c r="P4" s="13">
        <f>EXP(-1.0587+0.8836*LN(O4)+0.284)</f>
        <v>0.32176141021660248</v>
      </c>
      <c r="Q4" s="20">
        <f t="shared" ref="Q4:Q34" si="2">(O4+P4)*0.475*44/12</f>
        <v>1.7202304100925723</v>
      </c>
      <c r="R4" s="59">
        <f t="shared" si="0"/>
        <v>295.05356374342591</v>
      </c>
      <c r="S4" s="59">
        <f ca="1">AVERAGE(OFFSET($R$3,0,0,'Données projet'!$E$9+1,1))-AVERAGE(OFFSET($H$3,0,0,'Données projet'!$E$9+1,1))</f>
        <v>66.814714696519275</v>
      </c>
      <c r="T4" s="59">
        <f>$T$3</f>
        <v>199.56746335788068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1.9</v>
      </c>
      <c r="AI4" s="13">
        <f>IF('Données projet'!$A$62&gt;35,AI3+AH4-AQ3,IF(A4&lt;'Données projet'!$A$62,$AF$205^A4,IF(A4='Données projet'!$A$62,'Données projet'!$B$62,AI3+AH4-AQ3)))</f>
        <v>1.3423796509621049</v>
      </c>
      <c r="AJ4" s="13">
        <f>AI4*VLOOKUP('Données projet'!$B$10,Paramètres!$A$1:$I$89,3,0)*VLOOKUP('Données projet'!$B$10,Paramètres!$A$1:$I$89,5,0)</f>
        <v>1.0679972503054507</v>
      </c>
      <c r="AK4" s="13">
        <f>EXP(-1.0587+0.8836*LN(AJ4)+0.284)</f>
        <v>0.48842359485523285</v>
      </c>
      <c r="AL4" s="20">
        <f t="shared" ref="AL4:AL67" si="4">(AJ4+AK4)*0.475*44/12</f>
        <v>2.7107663053215236</v>
      </c>
      <c r="AM4" s="59">
        <f t="shared" ref="AM4:AM67" si="5">AL4+(AD4+AE4)*44/12</f>
        <v>296.04409963865481</v>
      </c>
      <c r="AN4" s="59">
        <f ca="1">AVERAGE(OFFSET($AM$3,0,0,'Données projet'!$E$10+1,1))-AVERAGE(OFFSET($H$3,0,0,'Données projet'!$E$10+1,1))</f>
        <v>325.72928944930294</v>
      </c>
      <c r="AO4" s="59">
        <f>$AO$3</f>
        <v>318.38876834819752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1.4</v>
      </c>
      <c r="BD4" s="12">
        <f>IF('Données projet'!$A$88&gt;35,BD3+BC4-BL3,IF(A4&lt;'Données projet'!$A$88,$BA$205^A4,IF(A4='Données projet'!$A$88,'Données projet'!$B$88,BD3+BC4-BL3)))</f>
        <v>1.3020054543174677</v>
      </c>
      <c r="BE4" s="13">
        <f>BD4*VLOOKUP('Données projet'!$B$11,Paramètres!$A$1:$I$89,3,0)*VLOOKUP('Données projet'!$B$11,Paramètres!$A$1:$I$89,5,0)</f>
        <v>0.85307397366880489</v>
      </c>
      <c r="BF4" s="13">
        <f>EXP(-1.0587+0.8836*LN(BE4)+0.284)</f>
        <v>0.40047176901361836</v>
      </c>
      <c r="BG4" s="20">
        <f t="shared" ref="BG4:BG67" si="7">(BE4+BF4)*0.475*44/12</f>
        <v>2.1832588351718871</v>
      </c>
      <c r="BH4" s="59">
        <f t="shared" ref="BH4:BH67" si="8">BG4+(AY4+AZ4)*44/12</f>
        <v>295.51659216850521</v>
      </c>
      <c r="BI4" s="59">
        <f ca="1">AVERAGE(OFFSET($BH$3,0,0,'Données projet'!$E$11+1,1))-AVERAGE(OFFSET($H$3,0,0,'Données projet'!$E$11+1,1))</f>
        <v>209.40885738157152</v>
      </c>
      <c r="BJ4" s="59">
        <f>$BJ$3</f>
        <v>230.15385333954697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4.0628205128205126</v>
      </c>
      <c r="BY4" s="12">
        <f>IF('Données projet'!$A$114&gt;35,BY3+BX4-CG3,IF(A4&lt;'Données projet'!$A$114,$BV$205^A4,IF(A4='Données projet'!$A$114,'Données projet'!$B$114,BY3+BX4-CG3)))</f>
        <v>1.1736311550444201</v>
      </c>
      <c r="BZ4" s="13">
        <f>BY4*VLOOKUP('Données projet'!$B$12,Paramètres!$A$1:$I$89,3,0)*VLOOKUP('Données projet'!$B$12,Paramètres!$A$1:$I$89,5,0)</f>
        <v>1.0619014690841913</v>
      </c>
      <c r="CA4" s="13">
        <f>EXP(-1.0587+0.8836*LN(BZ4)+0.284)</f>
        <v>0.48595950732890802</v>
      </c>
      <c r="CB4" s="20">
        <f t="shared" ref="CB4:CB67" si="10">(BZ4+CA4)*0.475*44/12</f>
        <v>2.6958578672528142</v>
      </c>
      <c r="CC4" s="59">
        <f t="shared" ref="CC4:CC67" si="11">CB4+(BT4+BU4)*44/12</f>
        <v>296.02919120058613</v>
      </c>
      <c r="CD4" s="59">
        <f ca="1">AVERAGE(OFFSET($CC$3,0,0,'Données projet'!$E$12+1,1))-AVERAGE(OFFSET($H$3,0,0,'Données projet'!$E$12+1,1))</f>
        <v>270.87836509222456</v>
      </c>
      <c r="CE4" s="59">
        <f>$CE$3</f>
        <v>205.24998237949734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1.8</v>
      </c>
      <c r="CT4" s="12">
        <f>IF('Données projet'!$A$140&gt;35,CT3+CS4-DB3,IF(A4&lt;'Données projet'!$A$140,$CQ$205^A4,IF(A4='Données projet'!$A$140,'Données projet'!$B$140,CT3+CS4-DB3)))</f>
        <v>1.335141362540313</v>
      </c>
      <c r="CU4" s="17">
        <f>CT4*VLOOKUP('Données projet'!$B$13,Paramètres!$A$1:$I$89,3,0)*VLOOKUP('Données projet'!$B$13,Paramètres!$A$1:$I$89,5,0)</f>
        <v>1.1663794943152175</v>
      </c>
      <c r="CV4" s="13">
        <f>EXP(-1.0587+0.8836*LN(CU4)+0.284)</f>
        <v>0.52797307958445927</v>
      </c>
      <c r="CW4" s="20">
        <f t="shared" ref="CW4:CW67" si="13">(CU4+CV4)*0.475*44/12</f>
        <v>2.9509973995419365</v>
      </c>
      <c r="CX4" s="59">
        <f t="shared" ref="CX4:CX67" si="14">CW4+(CO4+CP4)*44/12</f>
        <v>296.28433073287528</v>
      </c>
      <c r="CY4" s="59">
        <f ca="1">AVERAGE(OFFSET($CX$3,0,0,'Données projet'!$E$13+1,1))-AVERAGE(OFFSET($H$3,0,0,'Données projet'!$E$13+1,1))</f>
        <v>207.4513063267579</v>
      </c>
      <c r="CZ4" s="59">
        <f>$CZ$3</f>
        <v>191.63513530247218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0.73499999999999999</v>
      </c>
      <c r="N5" s="13">
        <f>IF('Données projet'!$A$36&gt;35,N4+M5-V4,IF(A5&lt;'Données projet'!$A$36,$K$205^A5,IF(A5='Données projet'!$A$36,'Données projet'!$B$36,N4+M5-V4)))</f>
        <v>1.7146428199482249</v>
      </c>
      <c r="O5" s="13">
        <f>N5*VLOOKUP('Données projet'!$B$9,Paramètres!$A$1:$I$89,3,0)*VLOOKUP('Données projet'!$B$9,Paramètres!$A$1:$I$89,5,0)</f>
        <v>0.87199875251286929</v>
      </c>
      <c r="P5" s="13">
        <f t="shared" ref="P5:P68" si="33">EXP(-1.0587+0.8836*LN(O5)+0.284)</f>
        <v>0.40831175391390312</v>
      </c>
      <c r="Q5" s="20">
        <f t="shared" si="2"/>
        <v>2.2298741320266284</v>
      </c>
      <c r="R5" s="59">
        <f t="shared" si="0"/>
        <v>295.56320746535994</v>
      </c>
      <c r="S5" s="59">
        <f ca="1">AVERAGE(OFFSET($R$3,0,0,'Données projet'!$E$9+1,1))-AVERAGE(OFFSET($H$3,0,0,'Données projet'!$E$9+1,1))</f>
        <v>66.814714696519275</v>
      </c>
      <c r="T5" s="59">
        <f t="shared" ref="T5:T68" si="34">$T$3</f>
        <v>199.56746335788068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1.9</v>
      </c>
      <c r="AI5" s="13">
        <f>IF('Données projet'!$A$62&gt;35,AI4+AH5-AQ4,IF(A5&lt;'Données projet'!$A$62,$AF$205^A5,IF(A5='Données projet'!$A$62,'Données projet'!$B$62,AI4+AH5-AQ4)))</f>
        <v>1.8019831273171425</v>
      </c>
      <c r="AJ5" s="13">
        <f>AI5*VLOOKUP('Données projet'!$B$10,Paramètres!$A$1:$I$89,3,0)*VLOOKUP('Données projet'!$B$10,Paramètres!$A$1:$I$89,5,0)</f>
        <v>1.4336577760935185</v>
      </c>
      <c r="AK5" s="13">
        <f t="shared" ref="AK5:AK68" si="35">EXP(-1.0587+0.8836*LN(AJ5)+0.284)</f>
        <v>0.63355934907379652</v>
      </c>
      <c r="AL5" s="20">
        <f t="shared" si="4"/>
        <v>3.6004031596664068</v>
      </c>
      <c r="AM5" s="59">
        <f t="shared" si="5"/>
        <v>296.93373649299974</v>
      </c>
      <c r="AN5" s="59">
        <f ca="1">AVERAGE(OFFSET($AM$3,0,0,'Données projet'!$E$10+1,1))-AVERAGE(OFFSET($H$3,0,0,'Données projet'!$E$10+1,1))</f>
        <v>325.72928944930294</v>
      </c>
      <c r="AO5" s="59">
        <f t="shared" ref="AO5:AO68" si="36">$AO$3</f>
        <v>318.38876834819752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1.4</v>
      </c>
      <c r="BD5" s="12">
        <f>IF('Données projet'!$A$88&gt;35,BD4+BC5-BL4,IF(A5&lt;'Données projet'!$A$88,$BA$205^A5,IF(A5='Données projet'!$A$88,'Données projet'!$B$88,BD4+BC5-BL4)))</f>
        <v>1.6952182030724354</v>
      </c>
      <c r="BE5" s="13">
        <f>BD5*VLOOKUP('Données projet'!$B$11,Paramètres!$A$1:$I$89,3,0)*VLOOKUP('Données projet'!$B$11,Paramètres!$A$1:$I$89,5,0)</f>
        <v>1.1107069666530596</v>
      </c>
      <c r="BF5" s="13">
        <f t="shared" ref="BF5:BF68" si="37">EXP(-1.0587+0.8836*LN(BE5)+0.284)</f>
        <v>0.50564274395751485</v>
      </c>
      <c r="BG5" s="20">
        <f t="shared" si="7"/>
        <v>2.8151424126467504</v>
      </c>
      <c r="BH5" s="59">
        <f t="shared" si="8"/>
        <v>296.14847574598008</v>
      </c>
      <c r="BI5" s="59">
        <f ca="1">AVERAGE(OFFSET($BH$3,0,0,'Données projet'!$E$11+1,1))-AVERAGE(OFFSET($H$3,0,0,'Données projet'!$E$11+1,1))</f>
        <v>209.40885738157152</v>
      </c>
      <c r="BJ5" s="59">
        <f t="shared" ref="BJ5:BJ68" si="38">$BJ$3</f>
        <v>230.15385333954697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4.0628205128205126</v>
      </c>
      <c r="BY5" s="12">
        <f>IF('Données projet'!$A$114&gt;35,BY4+BX5-CG4,IF(A5&lt;'Données projet'!$A$114,$BV$205^A5,IF(A5='Données projet'!$A$114,'Données projet'!$B$114,BY4+BX5-CG4)))</f>
        <v>1.3774100880908995</v>
      </c>
      <c r="BZ5" s="13">
        <f>BY5*VLOOKUP('Données projet'!$B$12,Paramètres!$A$1:$I$89,3,0)*VLOOKUP('Données projet'!$B$12,Paramètres!$A$1:$I$89,5,0)</f>
        <v>1.2462806477046457</v>
      </c>
      <c r="CA5" s="13">
        <f t="shared" ref="CA5:CA68" si="39">EXP(-1.0587+0.8836*LN(BZ5)+0.284)</f>
        <v>0.55980687933617612</v>
      </c>
      <c r="CB5" s="20">
        <f t="shared" si="10"/>
        <v>3.1456024429294316</v>
      </c>
      <c r="CC5" s="59">
        <f t="shared" si="11"/>
        <v>296.47893577626274</v>
      </c>
      <c r="CD5" s="59">
        <f ca="1">AVERAGE(OFFSET($CC$3,0,0,'Données projet'!$E$12+1,1))-AVERAGE(OFFSET($H$3,0,0,'Données projet'!$E$12+1,1))</f>
        <v>270.87836509222456</v>
      </c>
      <c r="CE5" s="59">
        <f t="shared" ref="CE5:CE68" si="40">$CE$3</f>
        <v>205.24998237949734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1.8</v>
      </c>
      <c r="CT5" s="12">
        <f>IF('Données projet'!$A$140&gt;35,CT4+CS5-DB4,IF(A5&lt;'Données projet'!$A$140,$CQ$205^A5,IF(A5='Données projet'!$A$140,'Données projet'!$B$140,CT4+CS5-DB4)))</f>
        <v>1.7826024579660036</v>
      </c>
      <c r="CU5" s="17">
        <f>CT5*VLOOKUP('Données projet'!$B$13,Paramètres!$A$1:$I$89,3,0)*VLOOKUP('Données projet'!$B$13,Paramètres!$A$1:$I$89,5,0)</f>
        <v>1.5572815072791011</v>
      </c>
      <c r="CV5" s="13">
        <f t="shared" ref="CV5:CV68" si="41">EXP(-1.0587+0.8836*LN(CU5)+0.284)</f>
        <v>0.68159698037116012</v>
      </c>
      <c r="CW5" s="20">
        <f t="shared" si="13"/>
        <v>3.8993800326575379</v>
      </c>
      <c r="CX5" s="59">
        <f t="shared" si="14"/>
        <v>297.23271336599083</v>
      </c>
      <c r="CY5" s="59">
        <f ca="1">AVERAGE(OFFSET($CX$3,0,0,'Données projet'!$E$13+1,1))-AVERAGE(OFFSET($H$3,0,0,'Données projet'!$E$13+1,1))</f>
        <v>207.4513063267579</v>
      </c>
      <c r="CZ5" s="59">
        <f t="shared" ref="CZ5:CZ68" si="42">$CZ$3</f>
        <v>191.63513530247218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0.73499999999999999</v>
      </c>
      <c r="N6" s="13">
        <f>IF('Données projet'!$A$36&gt;35,N5+M6-V5,IF(A6&lt;'Données projet'!$A$36,$K$205^A6,IF(A6='Données projet'!$A$36,'Données projet'!$B$36,N5+M6-V5)))</f>
        <v>2.2452282491202942</v>
      </c>
      <c r="O6" s="13">
        <f>N6*VLOOKUP('Données projet'!$B$9,Paramètres!$A$1:$I$89,3,0)*VLOOKUP('Données projet'!$B$9,Paramètres!$A$1:$I$89,5,0)</f>
        <v>1.1418332783726168</v>
      </c>
      <c r="P6" s="13">
        <f t="shared" si="33"/>
        <v>0.51814320515321177</v>
      </c>
      <c r="Q6" s="20">
        <f t="shared" si="2"/>
        <v>2.8911257088074844</v>
      </c>
      <c r="R6" s="59">
        <f t="shared" si="0"/>
        <v>296.22445904214078</v>
      </c>
      <c r="S6" s="59">
        <f ca="1">AVERAGE(OFFSET($R$3,0,0,'Données projet'!$E$9+1,1))-AVERAGE(OFFSET($H$3,0,0,'Données projet'!$E$9+1,1))</f>
        <v>66.814714696519275</v>
      </c>
      <c r="T6" s="59">
        <f t="shared" si="34"/>
        <v>199.56746335788068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1.9</v>
      </c>
      <c r="AI6" s="13">
        <f>IF('Données projet'!$A$62&gt;35,AI5+AH6-AQ5,IF(A6&lt;'Données projet'!$A$62,$AF$205^A6,IF(A6='Données projet'!$A$62,'Données projet'!$B$62,AI5+AH6-AQ5)))</f>
        <v>2.4189454814875879</v>
      </c>
      <c r="AJ6" s="13">
        <f>AI6*VLOOKUP('Données projet'!$B$10,Paramètres!$A$1:$I$89,3,0)*VLOOKUP('Données projet'!$B$10,Paramètres!$A$1:$I$89,5,0)</f>
        <v>1.9245130250715252</v>
      </c>
      <c r="AK6" s="13">
        <f t="shared" si="35"/>
        <v>0.82182239561499026</v>
      </c>
      <c r="AL6" s="20">
        <f t="shared" si="4"/>
        <v>4.7832008576956815</v>
      </c>
      <c r="AM6" s="59">
        <f t="shared" si="5"/>
        <v>298.11653419102902</v>
      </c>
      <c r="AN6" s="59">
        <f ca="1">AVERAGE(OFFSET($AM$3,0,0,'Données projet'!$E$10+1,1))-AVERAGE(OFFSET($H$3,0,0,'Données projet'!$E$10+1,1))</f>
        <v>325.72928944930294</v>
      </c>
      <c r="AO6" s="59">
        <f t="shared" si="36"/>
        <v>318.38876834819752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1.4</v>
      </c>
      <c r="BD6" s="12">
        <f>IF('Données projet'!$A$88&gt;35,BD5+BC6-BL5,IF(A6&lt;'Données projet'!$A$88,$BA$205^A6,IF(A6='Données projet'!$A$88,'Données projet'!$B$88,BD5+BC6-BL5)))</f>
        <v>2.2071833466585677</v>
      </c>
      <c r="BE6" s="13">
        <f>BD6*VLOOKUP('Données projet'!$B$11,Paramètres!$A$1:$I$89,3,0)*VLOOKUP('Données projet'!$B$11,Paramètres!$A$1:$I$89,5,0)</f>
        <v>1.4461465287306936</v>
      </c>
      <c r="BF6" s="13">
        <f t="shared" si="37"/>
        <v>0.63843347846122611</v>
      </c>
      <c r="BG6" s="20">
        <f t="shared" si="7"/>
        <v>3.6306435125259271</v>
      </c>
      <c r="BH6" s="59">
        <f t="shared" si="8"/>
        <v>296.96397684585924</v>
      </c>
      <c r="BI6" s="59">
        <f ca="1">AVERAGE(OFFSET($BH$3,0,0,'Données projet'!$E$11+1,1))-AVERAGE(OFFSET($H$3,0,0,'Données projet'!$E$11+1,1))</f>
        <v>209.40885738157152</v>
      </c>
      <c r="BJ6" s="59">
        <f t="shared" si="38"/>
        <v>230.15385333954697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4.0628205128205126</v>
      </c>
      <c r="BY6" s="12">
        <f>IF('Données projet'!$A$114&gt;35,BY5+BX6-CG5,IF(A6&lt;'Données projet'!$A$114,$BV$205^A6,IF(A6='Données projet'!$A$114,'Données projet'!$B$114,BY5+BX6-CG5)))</f>
        <v>1.6165713926559588</v>
      </c>
      <c r="BZ6" s="13">
        <f>BY6*VLOOKUP('Données projet'!$B$12,Paramètres!$A$1:$I$89,3,0)*VLOOKUP('Données projet'!$B$12,Paramètres!$A$1:$I$89,5,0)</f>
        <v>1.4626737960751115</v>
      </c>
      <c r="CA6" s="13">
        <f t="shared" si="39"/>
        <v>0.64487624467855742</v>
      </c>
      <c r="CB6" s="20">
        <f t="shared" si="10"/>
        <v>3.6706496543126392</v>
      </c>
      <c r="CC6" s="59">
        <f t="shared" si="11"/>
        <v>297.00398298764594</v>
      </c>
      <c r="CD6" s="59">
        <f ca="1">AVERAGE(OFFSET($CC$3,0,0,'Données projet'!$E$12+1,1))-AVERAGE(OFFSET($H$3,0,0,'Données projet'!$E$12+1,1))</f>
        <v>270.87836509222456</v>
      </c>
      <c r="CE6" s="59">
        <f t="shared" si="40"/>
        <v>205.24998237949734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1.8</v>
      </c>
      <c r="CT6" s="12">
        <f>IF('Données projet'!$A$140&gt;35,CT5+CS6-DB5,IF(A6&lt;'Données projet'!$A$140,$CQ$205^A6,IF(A6='Données projet'!$A$140,'Données projet'!$B$140,CT5+CS6-DB5)))</f>
        <v>2.3800262745964411</v>
      </c>
      <c r="CU6" s="17">
        <f>CT6*VLOOKUP('Données projet'!$B$13,Paramètres!$A$1:$I$89,3,0)*VLOOKUP('Données projet'!$B$13,Paramètres!$A$1:$I$89,5,0)</f>
        <v>2.0791909534874513</v>
      </c>
      <c r="CV6" s="13">
        <f t="shared" si="41"/>
        <v>0.87992070356451979</v>
      </c>
      <c r="CW6" s="20">
        <f t="shared" si="13"/>
        <v>5.1537861360321822</v>
      </c>
      <c r="CX6" s="59">
        <f t="shared" si="14"/>
        <v>298.4871194693655</v>
      </c>
      <c r="CY6" s="59">
        <f ca="1">AVERAGE(OFFSET($CX$3,0,0,'Données projet'!$E$13+1,1))-AVERAGE(OFFSET($H$3,0,0,'Données projet'!$E$13+1,1))</f>
        <v>207.4513063267579</v>
      </c>
      <c r="CZ6" s="59">
        <f t="shared" si="42"/>
        <v>191.63513530247218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>
        <f>VLOOKUP(A7,'Données projet'!$A$35:$I$55,2,0)</f>
        <v>2.94</v>
      </c>
      <c r="L7" s="12">
        <f>VLOOKUP(A7,'Données projet'!$A$35:$I$55,9,0)</f>
        <v>0.73499999999999999</v>
      </c>
      <c r="M7" s="12">
        <f t="array" ref="M7">INDEX(L:L,MIN(IF(ISNUMBER(L7:L203),ROW(L7:L203),"")))</f>
        <v>0.73499999999999999</v>
      </c>
      <c r="N7" s="13">
        <f>IF('Données projet'!$A$36&gt;35,N6+M7-V6,IF(A7&lt;'Données projet'!$A$36,$K$205^A7,IF(A7='Données projet'!$A$36,'Données projet'!$B$36,N6+M7-V6)))</f>
        <v>2.94</v>
      </c>
      <c r="O7" s="13">
        <f>N7*VLOOKUP('Données projet'!$B$9,Paramètres!$A$1:$I$89,3,0)*VLOOKUP('Données projet'!$B$9,Paramètres!$A$1:$I$89,5,0)</f>
        <v>1.4951664000000002</v>
      </c>
      <c r="P7" s="13">
        <f t="shared" si="33"/>
        <v>0.65751813038194717</v>
      </c>
      <c r="Q7" s="20">
        <f t="shared" si="2"/>
        <v>3.7492588904152253</v>
      </c>
      <c r="R7" s="59">
        <f t="shared" si="0"/>
        <v>297.08259222374852</v>
      </c>
      <c r="S7" s="59">
        <f ca="1">AVERAGE(OFFSET($R$3,0,0,'Données projet'!$E$9+1,1))-AVERAGE(OFFSET($H$3,0,0,'Données projet'!$E$9+1,1))</f>
        <v>66.814714696519275</v>
      </c>
      <c r="T7" s="59">
        <f t="shared" si="34"/>
        <v>199.56746335788068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1.9</v>
      </c>
      <c r="AI7" s="13">
        <f>IF('Données projet'!$A$62&gt;35,AI6+AH7-AQ6,IF(A7&lt;'Données projet'!$A$62,$AF$205^A7,IF(A7='Données projet'!$A$62,'Données projet'!$B$62,AI6+AH7-AQ6)))</f>
        <v>3.247143191135669</v>
      </c>
      <c r="AJ7" s="13">
        <f>AI7*VLOOKUP('Données projet'!$B$10,Paramètres!$A$1:$I$89,3,0)*VLOOKUP('Données projet'!$B$10,Paramètres!$A$1:$I$89,5,0)</f>
        <v>2.5834271228675387</v>
      </c>
      <c r="AK7" s="13">
        <f t="shared" si="35"/>
        <v>1.066028069701316</v>
      </c>
      <c r="AL7" s="20">
        <f t="shared" si="4"/>
        <v>6.3561344603907548</v>
      </c>
      <c r="AM7" s="59">
        <f t="shared" si="5"/>
        <v>299.68946779372408</v>
      </c>
      <c r="AN7" s="59">
        <f ca="1">AVERAGE(OFFSET($AM$3,0,0,'Données projet'!$E$10+1,1))-AVERAGE(OFFSET($H$3,0,0,'Données projet'!$E$10+1,1))</f>
        <v>325.72928944930294</v>
      </c>
      <c r="AO7" s="59">
        <f t="shared" si="36"/>
        <v>318.38876834819752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1.4</v>
      </c>
      <c r="BD7" s="12">
        <f>IF('Données projet'!$A$88&gt;35,BD6+BC7-BL6,IF(A7&lt;'Données projet'!$A$88,$BA$205^A7,IF(A7='Données projet'!$A$88,'Données projet'!$B$88,BD6+BC7-BL6)))</f>
        <v>2.873764756028137</v>
      </c>
      <c r="BE7" s="13">
        <f>BD7*VLOOKUP('Données projet'!$B$11,Paramètres!$A$1:$I$89,3,0)*VLOOKUP('Données projet'!$B$11,Paramètres!$A$1:$I$89,5,0)</f>
        <v>1.8828906681496353</v>
      </c>
      <c r="BF7" s="13">
        <f t="shared" si="37"/>
        <v>0.80609741025839377</v>
      </c>
      <c r="BG7" s="20">
        <f t="shared" si="7"/>
        <v>4.6833209032273171</v>
      </c>
      <c r="BH7" s="59">
        <f t="shared" si="8"/>
        <v>298.01665423656061</v>
      </c>
      <c r="BI7" s="59">
        <f ca="1">AVERAGE(OFFSET($BH$3,0,0,'Données projet'!$E$11+1,1))-AVERAGE(OFFSET($H$3,0,0,'Données projet'!$E$11+1,1))</f>
        <v>209.40885738157152</v>
      </c>
      <c r="BJ7" s="59">
        <f t="shared" si="38"/>
        <v>230.15385333954697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4.0628205128205126</v>
      </c>
      <c r="BY7" s="12">
        <f>IF('Données projet'!$A$114&gt;35,BY6+BX7-CG6,IF(A7&lt;'Données projet'!$A$114,$BV$205^A7,IF(A7='Données projet'!$A$114,'Données projet'!$B$114,BY6+BX7-CG6)))</f>
        <v>1.8972585507745794</v>
      </c>
      <c r="BZ7" s="13">
        <f>BY7*VLOOKUP('Données projet'!$B$12,Paramètres!$A$1:$I$89,3,0)*VLOOKUP('Données projet'!$B$12,Paramètres!$A$1:$I$89,5,0)</f>
        <v>1.7166395367408394</v>
      </c>
      <c r="CA7" s="13">
        <f t="shared" si="39"/>
        <v>0.74287291975378222</v>
      </c>
      <c r="CB7" s="20">
        <f t="shared" si="10"/>
        <v>4.283650861728133</v>
      </c>
      <c r="CC7" s="59">
        <f t="shared" si="11"/>
        <v>297.61698419506143</v>
      </c>
      <c r="CD7" s="59">
        <f ca="1">AVERAGE(OFFSET($CC$3,0,0,'Données projet'!$E$12+1,1))-AVERAGE(OFFSET($H$3,0,0,'Données projet'!$E$12+1,1))</f>
        <v>270.87836509222456</v>
      </c>
      <c r="CE7" s="59">
        <f t="shared" si="40"/>
        <v>205.24998237949734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1.8</v>
      </c>
      <c r="CT7" s="12">
        <f>IF('Données projet'!$A$140&gt;35,CT6+CS7-DB6,IF(A7&lt;'Données projet'!$A$140,$CQ$205^A7,IF(A7='Données projet'!$A$140,'Données projet'!$B$140,CT6+CS7-DB6)))</f>
        <v>3.1776715231464374</v>
      </c>
      <c r="CU7" s="17">
        <f>CT7*VLOOKUP('Données projet'!$B$13,Paramètres!$A$1:$I$89,3,0)*VLOOKUP('Données projet'!$B$13,Paramètres!$A$1:$I$89,5,0)</f>
        <v>2.7760138426207281</v>
      </c>
      <c r="CV7" s="13">
        <f t="shared" si="41"/>
        <v>1.135950520408497</v>
      </c>
      <c r="CW7" s="20">
        <f t="shared" si="13"/>
        <v>6.8133379322758998</v>
      </c>
      <c r="CX7" s="59">
        <f t="shared" si="14"/>
        <v>300.1466712656092</v>
      </c>
      <c r="CY7" s="59">
        <f ca="1">AVERAGE(OFFSET($CX$3,0,0,'Données projet'!$E$13+1,1))-AVERAGE(OFFSET($H$3,0,0,'Données projet'!$E$13+1,1))</f>
        <v>207.4513063267579</v>
      </c>
      <c r="CZ7" s="59">
        <f t="shared" si="42"/>
        <v>191.63513530247218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>
        <f>VLOOKUP(A8,'Données projet'!$A$35:$I$55,2,0)</f>
        <v>7.6591666666666711</v>
      </c>
      <c r="L8" s="12">
        <f>VLOOKUP(A8,'Données projet'!$A$35:$I$55,9,0)</f>
        <v>4.7191666666666716</v>
      </c>
      <c r="M8" s="12">
        <f t="array" ref="M8">INDEX(L:L,MIN(IF(ISNUMBER(L8:L204),ROW(L8:L204),"")))</f>
        <v>4.7191666666666716</v>
      </c>
      <c r="N8" s="13">
        <f>IF('Données projet'!$A$36&gt;35,N7+M8-V7,IF(A8&lt;'Données projet'!$A$36,$K$205^A8,IF(A8='Données projet'!$A$36,'Données projet'!$B$36,N7+M8-V7)))</f>
        <v>7.6591666666666711</v>
      </c>
      <c r="O8" s="13">
        <f>N8*VLOOKUP('Données projet'!$B$9,Paramètres!$A$1:$I$89,3,0)*VLOOKUP('Données projet'!$B$9,Paramètres!$A$1:$I$89,5,0)</f>
        <v>3.8951458000000025</v>
      </c>
      <c r="P8" s="13">
        <f t="shared" si="33"/>
        <v>1.5322824327088642</v>
      </c>
      <c r="Q8" s="20">
        <f t="shared" si="2"/>
        <v>9.4527708386346081</v>
      </c>
      <c r="R8" s="59">
        <f t="shared" si="0"/>
        <v>302.78610417196791</v>
      </c>
      <c r="S8" s="59">
        <f ca="1">AVERAGE(OFFSET($R$3,0,0,'Données projet'!$E$9+1,1))-AVERAGE(OFFSET($H$3,0,0,'Données projet'!$E$9+1,1))</f>
        <v>66.814714696519275</v>
      </c>
      <c r="T8" s="59">
        <f t="shared" si="34"/>
        <v>199.56746335788068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1.9</v>
      </c>
      <c r="AI8" s="13">
        <f>IF('Données projet'!$A$62&gt;35,AI7+AH8-AQ7,IF(A8&lt;'Données projet'!$A$62,$AF$205^A8,IF(A8='Données projet'!$A$62,'Données projet'!$B$62,AI7+AH8-AQ7)))</f>
        <v>4.3588989435406749</v>
      </c>
      <c r="AJ8" s="13">
        <f>AI8*VLOOKUP('Données projet'!$B$10,Paramètres!$A$1:$I$89,3,0)*VLOOKUP('Données projet'!$B$10,Paramètres!$A$1:$I$89,5,0)</f>
        <v>3.467939999480961</v>
      </c>
      <c r="AK8" s="13">
        <f t="shared" si="35"/>
        <v>1.382799801337496</v>
      </c>
      <c r="AL8" s="20">
        <f t="shared" si="4"/>
        <v>8.4483718197588118</v>
      </c>
      <c r="AM8" s="59">
        <f t="shared" si="5"/>
        <v>301.7817051530921</v>
      </c>
      <c r="AN8" s="59">
        <f ca="1">AVERAGE(OFFSET($AM$3,0,0,'Données projet'!$E$10+1,1))-AVERAGE(OFFSET($H$3,0,0,'Données projet'!$E$10+1,1))</f>
        <v>325.72928944930294</v>
      </c>
      <c r="AO8" s="59">
        <f t="shared" si="36"/>
        <v>318.38876834819752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1.4</v>
      </c>
      <c r="BD8" s="12">
        <f>IF('Données projet'!$A$88&gt;35,BD7+BC8-BL7,IF(A8&lt;'Données projet'!$A$88,$BA$205^A8,IF(A8='Données projet'!$A$88,'Données projet'!$B$88,BD7+BC8-BL7)))</f>
        <v>3.7416573867739413</v>
      </c>
      <c r="BE8" s="13">
        <f>BD8*VLOOKUP('Données projet'!$B$11,Paramètres!$A$1:$I$89,3,0)*VLOOKUP('Données projet'!$B$11,Paramètres!$A$1:$I$89,5,0)</f>
        <v>2.4515339198142865</v>
      </c>
      <c r="BF8" s="13">
        <f t="shared" si="37"/>
        <v>1.0177928582182787</v>
      </c>
      <c r="BG8" s="20">
        <f t="shared" si="7"/>
        <v>6.0424108050733842</v>
      </c>
      <c r="BH8" s="59">
        <f t="shared" si="8"/>
        <v>299.37574413840667</v>
      </c>
      <c r="BI8" s="59">
        <f ca="1">AVERAGE(OFFSET($BH$3,0,0,'Données projet'!$E$11+1,1))-AVERAGE(OFFSET($H$3,0,0,'Données projet'!$E$11+1,1))</f>
        <v>209.40885738157152</v>
      </c>
      <c r="BJ8" s="59">
        <f t="shared" si="38"/>
        <v>230.15385333954697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4.0628205128205126</v>
      </c>
      <c r="BY8" s="12">
        <f>IF('Données projet'!$A$114&gt;35,BY7+BX8-CG7,IF(A8&lt;'Données projet'!$A$114,$BV$205^A8,IF(A8='Données projet'!$A$114,'Données projet'!$B$114,BY7+BX8-CG7)))</f>
        <v>2.2266817443634719</v>
      </c>
      <c r="BZ8" s="13">
        <f>BY8*VLOOKUP('Données projet'!$B$12,Paramètres!$A$1:$I$89,3,0)*VLOOKUP('Données projet'!$B$12,Paramètres!$A$1:$I$89,5,0)</f>
        <v>2.0147016423000692</v>
      </c>
      <c r="CA8" s="13">
        <f t="shared" si="39"/>
        <v>0.85576136422669402</v>
      </c>
      <c r="CB8" s="20">
        <f t="shared" si="10"/>
        <v>4.999389736367446</v>
      </c>
      <c r="CC8" s="59">
        <f t="shared" si="11"/>
        <v>298.33272306970076</v>
      </c>
      <c r="CD8" s="59">
        <f ca="1">AVERAGE(OFFSET($CC$3,0,0,'Données projet'!$E$12+1,1))-AVERAGE(OFFSET($H$3,0,0,'Données projet'!$E$12+1,1))</f>
        <v>270.87836509222456</v>
      </c>
      <c r="CE8" s="59">
        <f t="shared" si="40"/>
        <v>205.24998237949734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1.8</v>
      </c>
      <c r="CT8" s="12">
        <f>IF('Données projet'!$A$140&gt;35,CT7+CS8-DB7,IF(A8&lt;'Données projet'!$A$140,$CQ$205^A8,IF(A8='Données projet'!$A$140,'Données projet'!$B$140,CT7+CS8-DB7)))</f>
        <v>4.2426406871192865</v>
      </c>
      <c r="CU8" s="17">
        <f>CT8*VLOOKUP('Données projet'!$B$13,Paramètres!$A$1:$I$89,3,0)*VLOOKUP('Données projet'!$B$13,Paramètres!$A$1:$I$89,5,0)</f>
        <v>3.7063709042674091</v>
      </c>
      <c r="CV8" s="13">
        <f t="shared" si="41"/>
        <v>1.4664771263922398</v>
      </c>
      <c r="CW8" s="20">
        <f t="shared" si="13"/>
        <v>9.0093769867322209</v>
      </c>
      <c r="CX8" s="59">
        <f t="shared" si="14"/>
        <v>302.34271032006552</v>
      </c>
      <c r="CY8" s="59">
        <f ca="1">AVERAGE(OFFSET($CX$3,0,0,'Données projet'!$E$13+1,1))-AVERAGE(OFFSET($H$3,0,0,'Données projet'!$E$13+1,1))</f>
        <v>207.4513063267579</v>
      </c>
      <c r="CZ8" s="59">
        <f t="shared" si="42"/>
        <v>191.63513530247218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>
        <f>VLOOKUP(A9,'Données projet'!$A$35:$I$55,2,0)</f>
        <v>13.873589743589744</v>
      </c>
      <c r="L9" s="12">
        <f>VLOOKUP(A9,'Données projet'!$A$35:$I$55,9,0)</f>
        <v>6.2144230769230724</v>
      </c>
      <c r="M9" s="12">
        <f t="array" ref="M9">INDEX(L:L,MIN(IF(ISNUMBER(L9:L205),ROW(L9:L205),"")))</f>
        <v>6.2144230769230724</v>
      </c>
      <c r="N9" s="13">
        <f>IF('Données projet'!$A$36&gt;35,N8+M9-V8,IF(A9&lt;'Données projet'!$A$36,$K$205^A9,IF(A9='Données projet'!$A$36,'Données projet'!$B$36,N8+M9-V8)))</f>
        <v>13.873589743589744</v>
      </c>
      <c r="O9" s="13">
        <f>N9*VLOOKUP('Données projet'!$B$9,Paramètres!$A$1:$I$89,3,0)*VLOOKUP('Données projet'!$B$9,Paramètres!$A$1:$I$89,5,0)</f>
        <v>7.0555528000000001</v>
      </c>
      <c r="P9" s="13">
        <f t="shared" si="33"/>
        <v>2.5900854805149982</v>
      </c>
      <c r="Q9" s="20">
        <f t="shared" si="2"/>
        <v>16.799486671896954</v>
      </c>
      <c r="R9" s="59">
        <f t="shared" si="0"/>
        <v>310.13282000523026</v>
      </c>
      <c r="S9" s="59">
        <f ca="1">AVERAGE(OFFSET($R$3,0,0,'Données projet'!$E$9+1,1))-AVERAGE(OFFSET($H$3,0,0,'Données projet'!$E$9+1,1))</f>
        <v>66.814714696519275</v>
      </c>
      <c r="T9" s="59">
        <f t="shared" si="34"/>
        <v>199.56746335788068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1.9</v>
      </c>
      <c r="AI9" s="13">
        <f>IF('Données projet'!$A$62&gt;35,AI8+AH9-AQ8,IF(A9&lt;'Données projet'!$A$62,$AF$205^A9,IF(A9='Données projet'!$A$62,'Données projet'!$B$62,AI8+AH9-AQ8)))</f>
        <v>5.8512972424092187</v>
      </c>
      <c r="AJ9" s="13">
        <f>AI9*VLOOKUP('Données projet'!$B$10,Paramètres!$A$1:$I$89,3,0)*VLOOKUP('Données projet'!$B$10,Paramètres!$A$1:$I$89,5,0)</f>
        <v>4.6552920860607747</v>
      </c>
      <c r="AK9" s="13">
        <f t="shared" si="35"/>
        <v>1.7937006960002178</v>
      </c>
      <c r="AL9" s="20">
        <f t="shared" si="4"/>
        <v>11.231995762089561</v>
      </c>
      <c r="AM9" s="59">
        <f t="shared" si="5"/>
        <v>304.5653290954229</v>
      </c>
      <c r="AN9" s="59">
        <f ca="1">AVERAGE(OFFSET($AM$3,0,0,'Données projet'!$E$10+1,1))-AVERAGE(OFFSET($H$3,0,0,'Données projet'!$E$10+1,1))</f>
        <v>325.72928944930294</v>
      </c>
      <c r="AO9" s="59">
        <f t="shared" si="36"/>
        <v>318.38876834819752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1.4</v>
      </c>
      <c r="BD9" s="12">
        <f>IF('Données projet'!$A$88&gt;35,BD8+BC9-BL8,IF(A9&lt;'Données projet'!$A$88,$BA$205^A9,IF(A9='Données projet'!$A$88,'Données projet'!$B$88,BD8+BC9-BL8)))</f>
        <v>4.8716583257669139</v>
      </c>
      <c r="BE9" s="13">
        <f>BD9*VLOOKUP('Données projet'!$B$11,Paramètres!$A$1:$I$89,3,0)*VLOOKUP('Données projet'!$B$11,Paramètres!$A$1:$I$89,5,0)</f>
        <v>3.1919105350424819</v>
      </c>
      <c r="BF9" s="13">
        <f t="shared" si="37"/>
        <v>1.2850832778486103</v>
      </c>
      <c r="BG9" s="20">
        <f t="shared" si="7"/>
        <v>7.7974308907853205</v>
      </c>
      <c r="BH9" s="59">
        <f t="shared" si="8"/>
        <v>301.13076422411865</v>
      </c>
      <c r="BI9" s="59">
        <f ca="1">AVERAGE(OFFSET($BH$3,0,0,'Données projet'!$E$11+1,1))-AVERAGE(OFFSET($H$3,0,0,'Données projet'!$E$11+1,1))</f>
        <v>209.40885738157152</v>
      </c>
      <c r="BJ9" s="59">
        <f t="shared" si="38"/>
        <v>230.15385333954697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4.0628205128205126</v>
      </c>
      <c r="BY9" s="12">
        <f>IF('Données projet'!$A$114&gt;35,BY8+BX9-CG8,IF(A9&lt;'Données projet'!$A$114,$BV$205^A9,IF(A9='Données projet'!$A$114,'Données projet'!$B$114,BY8+BX9-CG8)))</f>
        <v>2.6133030675536255</v>
      </c>
      <c r="BZ9" s="13">
        <f>BY9*VLOOKUP('Données projet'!$B$12,Paramètres!$A$1:$I$89,3,0)*VLOOKUP('Données projet'!$B$12,Paramètres!$A$1:$I$89,5,0)</f>
        <v>2.3645166155225201</v>
      </c>
      <c r="CA9" s="13">
        <f t="shared" si="39"/>
        <v>0.98580456095486013</v>
      </c>
      <c r="CB9" s="20">
        <f t="shared" si="10"/>
        <v>5.8351427156981037</v>
      </c>
      <c r="CC9" s="59">
        <f t="shared" si="11"/>
        <v>299.16847604903143</v>
      </c>
      <c r="CD9" s="59">
        <f ca="1">AVERAGE(OFFSET($CC$3,0,0,'Données projet'!$E$12+1,1))-AVERAGE(OFFSET($H$3,0,0,'Données projet'!$E$12+1,1))</f>
        <v>270.87836509222456</v>
      </c>
      <c r="CE9" s="59">
        <f t="shared" si="40"/>
        <v>205.24998237949734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1.8</v>
      </c>
      <c r="CT9" s="12">
        <f>IF('Données projet'!$A$140&gt;35,CT8+CS9-DB8,IF(A9&lt;'Données projet'!$A$140,$CQ$205^A9,IF(A9='Données projet'!$A$140,'Données projet'!$B$140,CT8+CS9-DB8)))</f>
        <v>5.6645250677694134</v>
      </c>
      <c r="CU9" s="17">
        <f>CT9*VLOOKUP('Données projet'!$B$13,Paramètres!$A$1:$I$89,3,0)*VLOOKUP('Données projet'!$B$13,Paramètres!$A$1:$I$89,5,0)</f>
        <v>4.9485290992033608</v>
      </c>
      <c r="CV9" s="13">
        <f t="shared" si="41"/>
        <v>1.8931767921179217</v>
      </c>
      <c r="CW9" s="20">
        <f t="shared" si="13"/>
        <v>11.915971094051232</v>
      </c>
      <c r="CX9" s="59">
        <f t="shared" si="14"/>
        <v>305.24930442738457</v>
      </c>
      <c r="CY9" s="59">
        <f ca="1">AVERAGE(OFFSET($CX$3,0,0,'Données projet'!$E$13+1,1))-AVERAGE(OFFSET($H$3,0,0,'Données projet'!$E$13+1,1))</f>
        <v>207.4513063267579</v>
      </c>
      <c r="CZ9" s="59">
        <f t="shared" si="42"/>
        <v>191.63513530247218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>
        <f>VLOOKUP(A10,'Données projet'!$A$35:$I$55,2,0)</f>
        <v>21.480576923076921</v>
      </c>
      <c r="L10" s="12">
        <f>VLOOKUP(A10,'Données projet'!$A$35:$I$55,9,0)</f>
        <v>7.6069871794871773</v>
      </c>
      <c r="M10" s="12">
        <f t="array" ref="M10">INDEX(L:L,MIN(IF(ISNUMBER(L10:L206),ROW(L10:L206),"")))</f>
        <v>7.6069871794871773</v>
      </c>
      <c r="N10" s="13">
        <f>IF('Données projet'!$A$36&gt;35,N9+M10-V9,IF(A10&lt;'Données projet'!$A$36,$K$205^A10,IF(A10='Données projet'!$A$36,'Données projet'!$B$36,N9+M10-V9)))</f>
        <v>21.480576923076921</v>
      </c>
      <c r="O10" s="13">
        <f>N10*VLOOKUP('Données projet'!$B$9,Paramètres!$A$1:$I$89,3,0)*VLOOKUP('Données projet'!$B$9,Paramètres!$A$1:$I$89,5,0)</f>
        <v>10.9241622</v>
      </c>
      <c r="P10" s="13">
        <f t="shared" si="33"/>
        <v>3.8112885068631246</v>
      </c>
      <c r="Q10" s="20">
        <f t="shared" si="2"/>
        <v>25.664243314453273</v>
      </c>
      <c r="R10" s="59">
        <f t="shared" si="0"/>
        <v>318.99757664778656</v>
      </c>
      <c r="S10" s="59">
        <f ca="1">AVERAGE(OFFSET($R$3,0,0,'Données projet'!$E$9+1,1))-AVERAGE(OFFSET($H$3,0,0,'Données projet'!$E$9+1,1))</f>
        <v>66.814714696519275</v>
      </c>
      <c r="T10" s="59">
        <f t="shared" si="34"/>
        <v>199.56746335788068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1.9</v>
      </c>
      <c r="AI10" s="13">
        <f>IF('Données projet'!$A$62&gt;35,AI9+AH10-AQ9,IF(A10&lt;'Données projet'!$A$62,$AF$205^A10,IF(A10='Données projet'!$A$62,'Données projet'!$B$62,AI9+AH10-AQ9)))</f>
        <v>7.8546623499408135</v>
      </c>
      <c r="AJ10" s="13">
        <f>AI10*VLOOKUP('Données projet'!$B$10,Paramètres!$A$1:$I$89,3,0)*VLOOKUP('Données projet'!$B$10,Paramètres!$A$1:$I$89,5,0)</f>
        <v>6.2491693656129108</v>
      </c>
      <c r="AK10" s="13">
        <f t="shared" si="35"/>
        <v>2.326701366112224</v>
      </c>
      <c r="AL10" s="20">
        <f t="shared" si="4"/>
        <v>14.936308191087944</v>
      </c>
      <c r="AM10" s="59">
        <f t="shared" si="5"/>
        <v>308.26964152442127</v>
      </c>
      <c r="AN10" s="59">
        <f ca="1">AVERAGE(OFFSET($AM$3,0,0,'Données projet'!$E$10+1,1))-AVERAGE(OFFSET($H$3,0,0,'Données projet'!$E$10+1,1))</f>
        <v>325.72928944930294</v>
      </c>
      <c r="AO10" s="59">
        <f t="shared" si="36"/>
        <v>318.38876834819752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1.4</v>
      </c>
      <c r="BD10" s="12">
        <f>IF('Données projet'!$A$88&gt;35,BD9+BC10-BL9,IF(A10&lt;'Données projet'!$A$88,$BA$205^A10,IF(A10='Données projet'!$A$88,'Données projet'!$B$88,BD9+BC10-BL9)))</f>
        <v>6.3429257117196256</v>
      </c>
      <c r="BE10" s="13">
        <f>BD10*VLOOKUP('Données projet'!$B$11,Paramètres!$A$1:$I$89,3,0)*VLOOKUP('Données projet'!$B$11,Paramètres!$A$1:$I$89,5,0)</f>
        <v>4.1558849263186985</v>
      </c>
      <c r="BF10" s="13">
        <f t="shared" si="37"/>
        <v>1.6225688927480735</v>
      </c>
      <c r="BG10" s="20">
        <f t="shared" si="7"/>
        <v>10.064140401541296</v>
      </c>
      <c r="BH10" s="59">
        <f t="shared" si="8"/>
        <v>303.39747373487461</v>
      </c>
      <c r="BI10" s="59">
        <f ca="1">AVERAGE(OFFSET($BH$3,0,0,'Données projet'!$E$11+1,1))-AVERAGE(OFFSET($H$3,0,0,'Données projet'!$E$11+1,1))</f>
        <v>209.40885738157152</v>
      </c>
      <c r="BJ10" s="59">
        <f t="shared" si="38"/>
        <v>230.15385333954697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4.0628205128205126</v>
      </c>
      <c r="BY10" s="12">
        <f>IF('Données projet'!$A$114&gt;35,BY9+BX10-CG9,IF(A10&lt;'Données projet'!$A$114,$BV$205^A10,IF(A10='Données projet'!$A$114,'Données projet'!$B$114,BY9+BX10-CG9)))</f>
        <v>3.067053897654088</v>
      </c>
      <c r="BZ10" s="13">
        <f>BY10*VLOOKUP('Données projet'!$B$12,Paramètres!$A$1:$I$89,3,0)*VLOOKUP('Données projet'!$B$12,Paramètres!$A$1:$I$89,5,0)</f>
        <v>2.775070366597419</v>
      </c>
      <c r="CA10" s="13">
        <f t="shared" si="39"/>
        <v>1.1356093801659046</v>
      </c>
      <c r="CB10" s="20">
        <f t="shared" si="10"/>
        <v>6.811100558946122</v>
      </c>
      <c r="CC10" s="59">
        <f t="shared" si="11"/>
        <v>300.14443389227944</v>
      </c>
      <c r="CD10" s="59">
        <f ca="1">AVERAGE(OFFSET($CC$3,0,0,'Données projet'!$E$12+1,1))-AVERAGE(OFFSET($H$3,0,0,'Données projet'!$E$12+1,1))</f>
        <v>270.87836509222456</v>
      </c>
      <c r="CE10" s="59">
        <f t="shared" si="40"/>
        <v>205.24998237949734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1.8</v>
      </c>
      <c r="CT10" s="12">
        <f>IF('Données projet'!$A$140&gt;35,CT9+CS10-DB9,IF(A10&lt;'Données projet'!$A$140,$CQ$205^A10,IF(A10='Données projet'!$A$140,'Données projet'!$B$140,CT9+CS10-DB9)))</f>
        <v>7.5629417171254145</v>
      </c>
      <c r="CU10" s="17">
        <f>CT10*VLOOKUP('Données projet'!$B$13,Paramètres!$A$1:$I$89,3,0)*VLOOKUP('Données projet'!$B$13,Paramètres!$A$1:$I$89,5,0)</f>
        <v>6.6069858840807631</v>
      </c>
      <c r="CV10" s="13">
        <f t="shared" si="41"/>
        <v>2.4440329151477385</v>
      </c>
      <c r="CW10" s="20">
        <f t="shared" si="13"/>
        <v>15.763857741989639</v>
      </c>
      <c r="CX10" s="59">
        <f t="shared" si="14"/>
        <v>309.09719107532294</v>
      </c>
      <c r="CY10" s="59">
        <f ca="1">AVERAGE(OFFSET($CX$3,0,0,'Données projet'!$E$13+1,1))-AVERAGE(OFFSET($H$3,0,0,'Données projet'!$E$13+1,1))</f>
        <v>207.4513063267579</v>
      </c>
      <c r="CZ10" s="59">
        <f t="shared" si="42"/>
        <v>191.63513530247218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>
        <f>VLOOKUP(A11,'Données projet'!$A$35:$I$55,2,0)</f>
        <v>30.377435897435895</v>
      </c>
      <c r="L11" s="12">
        <f>VLOOKUP(A11,'Données projet'!$A$35:$I$55,9,0)</f>
        <v>8.8968589743589739</v>
      </c>
      <c r="M11" s="12">
        <f t="array" ref="M11">INDEX(L:L,MIN(IF(ISNUMBER(L11:L207),ROW(L11:L207),"")))</f>
        <v>8.8968589743589739</v>
      </c>
      <c r="N11" s="13">
        <f>IF('Données projet'!$A$36&gt;35,N10+M11-V10,IF(A11&lt;'Données projet'!$A$36,$K$205^A11,IF(A11='Données projet'!$A$36,'Données projet'!$B$36,N10+M11-V10)))</f>
        <v>30.377435897435895</v>
      </c>
      <c r="O11" s="13">
        <f>N11*VLOOKUP('Données projet'!$B$9,Paramètres!$A$1:$I$89,3,0)*VLOOKUP('Données projet'!$B$9,Paramètres!$A$1:$I$89,5,0)</f>
        <v>15.448748800000001</v>
      </c>
      <c r="P11" s="13">
        <f t="shared" si="33"/>
        <v>5.1767619526979693</v>
      </c>
      <c r="Q11" s="20">
        <f t="shared" si="2"/>
        <v>35.922764560948956</v>
      </c>
      <c r="R11" s="59">
        <f t="shared" si="0"/>
        <v>329.25609789428228</v>
      </c>
      <c r="S11" s="59">
        <f ca="1">AVERAGE(OFFSET($R$3,0,0,'Données projet'!$E$9+1,1))-AVERAGE(OFFSET($H$3,0,0,'Données projet'!$E$9+1,1))</f>
        <v>66.814714696519275</v>
      </c>
      <c r="T11" s="59">
        <f t="shared" si="34"/>
        <v>199.56746335788068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1.9</v>
      </c>
      <c r="AI11" s="13">
        <f>IF('Données projet'!$A$62&gt;35,AI10+AH11-AQ10,IF(A11&lt;'Données projet'!$A$62,$AF$205^A11,IF(A11='Données projet'!$A$62,'Données projet'!$B$62,AI10+AH11-AQ10)))</f>
        <v>10.543938903738736</v>
      </c>
      <c r="AJ11" s="13">
        <f>AI11*VLOOKUP('Données projet'!$B$10,Paramètres!$A$1:$I$89,3,0)*VLOOKUP('Données projet'!$B$10,Paramètres!$A$1:$I$89,5,0)</f>
        <v>8.3887577918145393</v>
      </c>
      <c r="AK11" s="13">
        <f t="shared" si="35"/>
        <v>3.0180839306915423</v>
      </c>
      <c r="AL11" s="20">
        <f t="shared" si="4"/>
        <v>19.866916000031427</v>
      </c>
      <c r="AM11" s="59">
        <f t="shared" si="5"/>
        <v>313.20024933336475</v>
      </c>
      <c r="AN11" s="59">
        <f ca="1">AVERAGE(OFFSET($AM$3,0,0,'Données projet'!$E$10+1,1))-AVERAGE(OFFSET($H$3,0,0,'Données projet'!$E$10+1,1))</f>
        <v>325.72928944930294</v>
      </c>
      <c r="AO11" s="59">
        <f t="shared" si="36"/>
        <v>318.38876834819752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1.4</v>
      </c>
      <c r="BD11" s="12">
        <f>IF('Données projet'!$A$88&gt;35,BD10+BC11-BL10,IF(A11&lt;'Données projet'!$A$88,$BA$205^A11,IF(A11='Données projet'!$A$88,'Données projet'!$B$88,BD10+BC11-BL10)))</f>
        <v>8.258523872989457</v>
      </c>
      <c r="BE11" s="13">
        <f>BD11*VLOOKUP('Données projet'!$B$11,Paramètres!$A$1:$I$89,3,0)*VLOOKUP('Données projet'!$B$11,Paramètres!$A$1:$I$89,5,0)</f>
        <v>5.4109848415826924</v>
      </c>
      <c r="BF11" s="13">
        <f t="shared" si="37"/>
        <v>2.0486842036581692</v>
      </c>
      <c r="BG11" s="20">
        <f t="shared" si="7"/>
        <v>12.992256920461166</v>
      </c>
      <c r="BH11" s="59">
        <f t="shared" si="8"/>
        <v>306.32559025379447</v>
      </c>
      <c r="BI11" s="59">
        <f ca="1">AVERAGE(OFFSET($BH$3,0,0,'Données projet'!$E$11+1,1))-AVERAGE(OFFSET($H$3,0,0,'Données projet'!$E$11+1,1))</f>
        <v>209.40885738157152</v>
      </c>
      <c r="BJ11" s="59">
        <f t="shared" si="38"/>
        <v>230.15385333954697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4.0628205128205126</v>
      </c>
      <c r="BY11" s="12">
        <f>IF('Données projet'!$A$114&gt;35,BY10+BX11-CG10,IF(A11&lt;'Données projet'!$A$114,$BV$205^A11,IF(A11='Données projet'!$A$114,'Données projet'!$B$114,BY10+BX11-CG10)))</f>
        <v>3.5995900084872572</v>
      </c>
      <c r="BZ11" s="13">
        <f>BY11*VLOOKUP('Données projet'!$B$12,Paramètres!$A$1:$I$89,3,0)*VLOOKUP('Données projet'!$B$12,Paramètres!$A$1:$I$89,5,0)</f>
        <v>3.2569090396792704</v>
      </c>
      <c r="CA11" s="13">
        <f t="shared" si="39"/>
        <v>1.3081788372653314</v>
      </c>
      <c r="CB11" s="20">
        <f t="shared" si="10"/>
        <v>7.9508613856785146</v>
      </c>
      <c r="CC11" s="59">
        <f t="shared" si="11"/>
        <v>301.28419471901185</v>
      </c>
      <c r="CD11" s="59">
        <f ca="1">AVERAGE(OFFSET($CC$3,0,0,'Données projet'!$E$12+1,1))-AVERAGE(OFFSET($H$3,0,0,'Données projet'!$E$12+1,1))</f>
        <v>270.87836509222456</v>
      </c>
      <c r="CE11" s="59">
        <f t="shared" si="40"/>
        <v>205.24998237949734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1.8</v>
      </c>
      <c r="CT11" s="12">
        <f>IF('Données projet'!$A$140&gt;35,CT10+CS11-DB10,IF(A11&lt;'Données projet'!$A$140,$CQ$205^A11,IF(A11='Données projet'!$A$140,'Données projet'!$B$140,CT10+CS11-DB10)))</f>
        <v>10.097596309015799</v>
      </c>
      <c r="CU11" s="17">
        <f>CT11*VLOOKUP('Données projet'!$B$13,Paramètres!$A$1:$I$89,3,0)*VLOOKUP('Données projet'!$B$13,Paramètres!$A$1:$I$89,5,0)</f>
        <v>8.8212601355562033</v>
      </c>
      <c r="CV11" s="13">
        <f t="shared" si="41"/>
        <v>3.1551711996443523</v>
      </c>
      <c r="CW11" s="20">
        <f t="shared" si="13"/>
        <v>20.858951242140964</v>
      </c>
      <c r="CX11" s="59">
        <f t="shared" si="14"/>
        <v>314.19228457547428</v>
      </c>
      <c r="CY11" s="59">
        <f ca="1">AVERAGE(OFFSET($CX$3,0,0,'Données projet'!$E$13+1,1))-AVERAGE(OFFSET($H$3,0,0,'Données projet'!$E$13+1,1))</f>
        <v>207.4513063267579</v>
      </c>
      <c r="CZ11" s="59">
        <f t="shared" si="42"/>
        <v>191.63513530247218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>
        <f>VLOOKUP(A12,'Données projet'!$A$35:$I$55,2,0)</f>
        <v>40.46147435897435</v>
      </c>
      <c r="L12" s="12">
        <f>VLOOKUP(A12,'Données projet'!$A$35:$I$55,9,0)</f>
        <v>10.084038461538455</v>
      </c>
      <c r="M12" s="12">
        <f t="array" ref="M12">INDEX(L:L,MIN(IF(ISNUMBER(L12:L208),ROW(L12:L208),"")))</f>
        <v>10.084038461538455</v>
      </c>
      <c r="N12" s="13">
        <f>IF('Données projet'!$A$36&gt;35,N11+M12-V11,IF(A12&lt;'Données projet'!$A$36,$K$205^A12,IF(A12='Données projet'!$A$36,'Données projet'!$B$36,N11+M12-V11)))</f>
        <v>40.46147435897435</v>
      </c>
      <c r="O12" s="13">
        <f>N12*VLOOKUP('Données projet'!$B$9,Paramètres!$A$1:$I$89,3,0)*VLOOKUP('Données projet'!$B$9,Paramètres!$A$1:$I$89,5,0)</f>
        <v>20.577087399999996</v>
      </c>
      <c r="P12" s="13">
        <f t="shared" si="33"/>
        <v>6.668959513498276</v>
      </c>
      <c r="Q12" s="20">
        <f t="shared" si="2"/>
        <v>47.453531707676156</v>
      </c>
      <c r="R12" s="59">
        <f t="shared" si="0"/>
        <v>340.78686504100949</v>
      </c>
      <c r="S12" s="59">
        <f ca="1">AVERAGE(OFFSET($R$3,0,0,'Données projet'!$E$9+1,1))-AVERAGE(OFFSET($H$3,0,0,'Données projet'!$E$9+1,1))</f>
        <v>66.814714696519275</v>
      </c>
      <c r="T12" s="59">
        <f t="shared" si="34"/>
        <v>199.56746335788068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1.9</v>
      </c>
      <c r="AI12" s="13">
        <f>IF('Données projet'!$A$62&gt;35,AI11+AH12-AQ11,IF(A12&lt;'Données projet'!$A$62,$AF$205^A12,IF(A12='Données projet'!$A$62,'Données projet'!$B$62,AI11+AH12-AQ11)))</f>
        <v>14.153969025366564</v>
      </c>
      <c r="AJ12" s="13">
        <f>AI12*VLOOKUP('Données projet'!$B$10,Paramètres!$A$1:$I$89,3,0)*VLOOKUP('Données projet'!$B$10,Paramètres!$A$1:$I$89,5,0)</f>
        <v>11.260897756581638</v>
      </c>
      <c r="AK12" s="13">
        <f t="shared" si="35"/>
        <v>3.9149117911590028</v>
      </c>
      <c r="AL12" s="20">
        <f t="shared" si="4"/>
        <v>26.431201628981615</v>
      </c>
      <c r="AM12" s="59">
        <f t="shared" si="5"/>
        <v>319.76453496231494</v>
      </c>
      <c r="AN12" s="59">
        <f ca="1">AVERAGE(OFFSET($AM$3,0,0,'Données projet'!$E$10+1,1))-AVERAGE(OFFSET($H$3,0,0,'Données projet'!$E$10+1,1))</f>
        <v>325.72928944930294</v>
      </c>
      <c r="AO12" s="59">
        <f t="shared" si="36"/>
        <v>318.38876834819752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1.4</v>
      </c>
      <c r="BD12" s="12">
        <f>IF('Données projet'!$A$88&gt;35,BD11+BC12-BL11,IF(A12&lt;'Données projet'!$A$88,$BA$205^A12,IF(A12='Données projet'!$A$88,'Données projet'!$B$88,BD11+BC12-BL11)))</f>
        <v>10.752643127243291</v>
      </c>
      <c r="BE12" s="13">
        <f>BD12*VLOOKUP('Données projet'!$B$11,Paramètres!$A$1:$I$89,3,0)*VLOOKUP('Données projet'!$B$11,Paramètres!$A$1:$I$89,5,0)</f>
        <v>7.0451317769698045</v>
      </c>
      <c r="BF12" s="13">
        <f t="shared" si="37"/>
        <v>2.5867049375081068</v>
      </c>
      <c r="BG12" s="20">
        <f t="shared" si="7"/>
        <v>16.775448944382362</v>
      </c>
      <c r="BH12" s="59">
        <f t="shared" si="8"/>
        <v>310.1087822777157</v>
      </c>
      <c r="BI12" s="59">
        <f ca="1">AVERAGE(OFFSET($BH$3,0,0,'Données projet'!$E$11+1,1))-AVERAGE(OFFSET($H$3,0,0,'Données projet'!$E$11+1,1))</f>
        <v>209.40885738157152</v>
      </c>
      <c r="BJ12" s="59">
        <f t="shared" si="38"/>
        <v>230.15385333954697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4.0628205128205126</v>
      </c>
      <c r="BY12" s="12">
        <f>IF('Données projet'!$A$114&gt;35,BY11+BX12-CG11,IF(A12&lt;'Données projet'!$A$114,$BV$205^A12,IF(A12='Données projet'!$A$114,'Données projet'!$B$114,BY11+BX12-CG11)))</f>
        <v>4.2245909793472531</v>
      </c>
      <c r="BZ12" s="13">
        <f>BY12*VLOOKUP('Données projet'!$B$12,Paramètres!$A$1:$I$89,3,0)*VLOOKUP('Données projet'!$B$12,Paramètres!$A$1:$I$89,5,0)</f>
        <v>3.822409918113395</v>
      </c>
      <c r="CA12" s="13">
        <f t="shared" si="39"/>
        <v>1.5069722918446318</v>
      </c>
      <c r="CB12" s="20">
        <f t="shared" si="10"/>
        <v>9.2820073490102306</v>
      </c>
      <c r="CC12" s="59">
        <f t="shared" si="11"/>
        <v>302.61534068234357</v>
      </c>
      <c r="CD12" s="59">
        <f ca="1">AVERAGE(OFFSET($CC$3,0,0,'Données projet'!$E$12+1,1))-AVERAGE(OFFSET($H$3,0,0,'Données projet'!$E$12+1,1))</f>
        <v>270.87836509222456</v>
      </c>
      <c r="CE12" s="59">
        <f t="shared" si="40"/>
        <v>205.24998237949734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1.8</v>
      </c>
      <c r="CT12" s="12">
        <f>IF('Données projet'!$A$140&gt;35,CT11+CS12-DB11,IF(A12&lt;'Données projet'!$A$140,$CQ$205^A12,IF(A12='Données projet'!$A$140,'Données projet'!$B$140,CT11+CS12-DB11)))</f>
        <v>13.48171849440139</v>
      </c>
      <c r="CU12" s="17">
        <f>CT12*VLOOKUP('Données projet'!$B$13,Paramètres!$A$1:$I$89,3,0)*VLOOKUP('Données projet'!$B$13,Paramètres!$A$1:$I$89,5,0)</f>
        <v>11.777629276709055</v>
      </c>
      <c r="CV12" s="13">
        <f t="shared" si="41"/>
        <v>4.0732288167499631</v>
      </c>
      <c r="CW12" s="20">
        <f t="shared" si="13"/>
        <v>27.606911179441123</v>
      </c>
      <c r="CX12" s="59">
        <f t="shared" si="14"/>
        <v>320.94024451277443</v>
      </c>
      <c r="CY12" s="59">
        <f ca="1">AVERAGE(OFFSET($CX$3,0,0,'Données projet'!$E$13+1,1))-AVERAGE(OFFSET($H$3,0,0,'Données projet'!$E$13+1,1))</f>
        <v>207.4513063267579</v>
      </c>
      <c r="CZ12" s="59">
        <f t="shared" si="42"/>
        <v>191.63513530247218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>
        <f>VLOOKUP(A13,'Données projet'!$A$35:$I$55,2,0)</f>
        <v>51.630000000000017</v>
      </c>
      <c r="L13" s="12">
        <f>VLOOKUP(A13,'Données projet'!$A$35:$I$55,9,0)</f>
        <v>11.168525641025667</v>
      </c>
      <c r="M13" s="12">
        <f t="array" ref="M13">INDEX(L:L,MIN(IF(ISNUMBER(L13:L209),ROW(L13:L209),"")))</f>
        <v>11.168525641025667</v>
      </c>
      <c r="N13" s="13">
        <f>IF('Données projet'!$A$36&gt;35,N12+M13-V12,IF(A13&lt;'Données projet'!$A$36,$K$205^A13,IF(A13='Données projet'!$A$36,'Données projet'!$B$36,N12+M13-V12)))</f>
        <v>51.630000000000017</v>
      </c>
      <c r="O13" s="13">
        <f>N13*VLOOKUP('Données projet'!$B$9,Paramètres!$A$1:$I$89,3,0)*VLOOKUP('Données projet'!$B$9,Paramètres!$A$1:$I$89,5,0)</f>
        <v>26.256952800000011</v>
      </c>
      <c r="P13" s="13">
        <f t="shared" si="33"/>
        <v>8.2717299817437926</v>
      </c>
      <c r="Q13" s="20">
        <f t="shared" si="2"/>
        <v>60.137455844870459</v>
      </c>
      <c r="R13" s="59">
        <f t="shared" si="0"/>
        <v>353.47078917820374</v>
      </c>
      <c r="S13" s="59">
        <f ca="1">AVERAGE(OFFSET($R$3,0,0,'Données projet'!$E$9+1,1))-AVERAGE(OFFSET($H$3,0,0,'Données projet'!$E$9+1,1))</f>
        <v>66.814714696519275</v>
      </c>
      <c r="T13" s="59">
        <f t="shared" si="34"/>
        <v>199.56746335788068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>
        <f>VLOOKUP(A13,'Données projet'!$A$61:$I$81,2,0)</f>
        <v>19</v>
      </c>
      <c r="AG13" s="12">
        <f>VLOOKUP(A13,'Données projet'!$A$61:$I$81,9,0)</f>
        <v>1.9</v>
      </c>
      <c r="AH13" s="12">
        <f t="array" ref="AH13">INDEX(AG:AG,MIN(IF(ISNUMBER(AG13:AG209),ROW(AG13:AG209),"")))</f>
        <v>1.9</v>
      </c>
      <c r="AI13" s="13">
        <f>IF('Données projet'!$A$62&gt;35,AI12+AH13-AQ12,IF(A13&lt;'Données projet'!$A$62,$AF$205^A13,IF(A13='Données projet'!$A$62,'Données projet'!$B$62,AI12+AH13-AQ12)))</f>
        <v>19</v>
      </c>
      <c r="AJ13" s="13">
        <f>AI13*VLOOKUP('Données projet'!$B$10,Paramètres!$A$1:$I$89,3,0)*VLOOKUP('Données projet'!$B$10,Paramètres!$A$1:$I$89,5,0)</f>
        <v>15.116400000000001</v>
      </c>
      <c r="AK13" s="13">
        <f t="shared" si="35"/>
        <v>5.0782333044806913</v>
      </c>
      <c r="AL13" s="20">
        <f t="shared" si="4"/>
        <v>35.172319671970541</v>
      </c>
      <c r="AM13" s="59">
        <f t="shared" si="5"/>
        <v>328.50565300530388</v>
      </c>
      <c r="AN13" s="59">
        <f ca="1">AVERAGE(OFFSET($AM$3,0,0,'Données projet'!$E$10+1,1))-AVERAGE(OFFSET($H$3,0,0,'Données projet'!$E$10+1,1))</f>
        <v>325.72928944930294</v>
      </c>
      <c r="AO13" s="59">
        <f t="shared" si="36"/>
        <v>318.38876834819752</v>
      </c>
      <c r="AP13" s="15">
        <f>IF(ISNA(VLOOKUP(A13,'Données projet'!$A$61:$I$81,3,0)),0,VLOOKUP(A13,'Données projet'!$A$61:$I$81,3,0))</f>
        <v>1</v>
      </c>
      <c r="AQ13" s="15">
        <f>IF(ISNA(VLOOKUP(A13,'Données projet'!$A$61:$I$81,4,0)),0,VLOOKUP(A13,'Données projet'!$A$61:$I$81,4,0))</f>
        <v>7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>
        <f>VLOOKUP(A13,'Données projet'!$A$87:$I$107,2,0)</f>
        <v>14</v>
      </c>
      <c r="BB13" s="12">
        <f>VLOOKUP(A13,'Données projet'!$A$87:$I$107,9,0)</f>
        <v>1.4</v>
      </c>
      <c r="BC13" s="12">
        <f t="array" ref="BC13">INDEX(BB:BB,MIN(IF(ISNUMBER(BB13:BB209),ROW(BB13:BB209),"")))</f>
        <v>1.4</v>
      </c>
      <c r="BD13" s="12">
        <f>IF('Données projet'!$A$88&gt;35,BD12+BC13-BL12,IF(A13&lt;'Données projet'!$A$88,$BA$205^A13,IF(A13='Données projet'!$A$88,'Données projet'!$B$88,BD12+BC13-BL12)))</f>
        <v>14</v>
      </c>
      <c r="BE13" s="13">
        <f>BD13*VLOOKUP('Données projet'!$B$11,Paramètres!$A$1:$I$89,3,0)*VLOOKUP('Données projet'!$B$11,Paramètres!$A$1:$I$89,5,0)</f>
        <v>9.1728000000000005</v>
      </c>
      <c r="BF13" s="13">
        <f t="shared" si="37"/>
        <v>3.2660194391020205</v>
      </c>
      <c r="BG13" s="20">
        <f t="shared" si="7"/>
        <v>21.664277189769351</v>
      </c>
      <c r="BH13" s="59">
        <f t="shared" si="8"/>
        <v>314.99761052310265</v>
      </c>
      <c r="BI13" s="59">
        <f ca="1">AVERAGE(OFFSET($BH$3,0,0,'Données projet'!$E$11+1,1))-AVERAGE(OFFSET($H$3,0,0,'Données projet'!$E$11+1,1))</f>
        <v>209.40885738157152</v>
      </c>
      <c r="BJ13" s="59">
        <f t="shared" si="38"/>
        <v>230.15385333954697</v>
      </c>
      <c r="BK13" s="15">
        <f>IF(ISNA(VLOOKUP(A13,'Données projet'!$A$87:$I$107,3,0)),0,VLOOKUP(A13,'Données projet'!$A$87:$I$107,3,0))</f>
        <v>1</v>
      </c>
      <c r="BL13" s="15" t="str">
        <f>IF(ISNA(VLOOKUP(A13,'Données projet'!$A$87:$I$107,4,0)),0,VLOOKUP(A13,'Données projet'!$A$87:$I$107,4,0))</f>
        <v>1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4.3000000000000003E-2</v>
      </c>
      <c r="BO13" s="16">
        <f>IF(ISNA(VLOOKUP(A13,'Données projet'!$A$87:$I$107,7,0)),0%,VLOOKUP(A13,'Données projet'!$A$87:$I$107,7,0))</f>
        <v>0.3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3.1022450236522271E-2</v>
      </c>
      <c r="BR13" s="21">
        <f>EXP(-LN(2)/2)*BR12+(1-EXP(-LN(2)/2))/(LN(2)/2)*BL13*BO13*VLOOKUP('Données projet'!$B$11,Paramètres!$A$1:$I$89,3,0)*0.475*44/12</f>
        <v>0.18545965033483505</v>
      </c>
      <c r="BS13" s="22">
        <f t="shared" si="9"/>
        <v>0.21648210057135733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4.0628205128205126</v>
      </c>
      <c r="BY13" s="12">
        <f>IF('Données projet'!$A$114&gt;35,BY12+BX13-CG12,IF(A13&lt;'Données projet'!$A$114,$BV$205^A13,IF(A13='Données projet'!$A$114,'Données projet'!$B$114,BY12+BX13-CG12)))</f>
        <v>4.9581115906815549</v>
      </c>
      <c r="BZ13" s="13">
        <f>BY13*VLOOKUP('Données projet'!$B$12,Paramètres!$A$1:$I$89,3,0)*VLOOKUP('Données projet'!$B$12,Paramètres!$A$1:$I$89,5,0)</f>
        <v>4.4860993672486709</v>
      </c>
      <c r="CA13" s="13">
        <f t="shared" si="39"/>
        <v>1.7359747946502311</v>
      </c>
      <c r="CB13" s="20">
        <f t="shared" si="10"/>
        <v>10.836779165307254</v>
      </c>
      <c r="CC13" s="59">
        <f t="shared" si="11"/>
        <v>304.17011249864055</v>
      </c>
      <c r="CD13" s="59">
        <f ca="1">AVERAGE(OFFSET($CC$3,0,0,'Données projet'!$E$12+1,1))-AVERAGE(OFFSET($H$3,0,0,'Données projet'!$E$12+1,1))</f>
        <v>270.87836509222456</v>
      </c>
      <c r="CE13" s="59">
        <f t="shared" si="40"/>
        <v>205.24998237949734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>
        <f>VLOOKUP(A13,'Données projet'!$A$139:$I$159,2,0)</f>
        <v>18</v>
      </c>
      <c r="CR13" s="12">
        <f>VLOOKUP(A13,'Données projet'!$A$139:$I$159,9,0)</f>
        <v>1.8</v>
      </c>
      <c r="CS13" s="12">
        <f t="array" ref="CS13">INDEX(CR:CR,MIN(IF(ISNUMBER(CR13:CR209),ROW(CR13:CR209),"")))</f>
        <v>1.8</v>
      </c>
      <c r="CT13" s="12">
        <f>IF('Données projet'!$A$140&gt;35,CT12+CS13-DB12,IF(A13&lt;'Données projet'!$A$140,$CQ$205^A13,IF(A13='Données projet'!$A$140,'Données projet'!$B$140,CT12+CS13-DB12)))</f>
        <v>18</v>
      </c>
      <c r="CU13" s="17">
        <f>CT13*VLOOKUP('Données projet'!$B$13,Paramètres!$A$1:$I$89,3,0)*VLOOKUP('Données projet'!$B$13,Paramètres!$A$1:$I$89,5,0)</f>
        <v>15.724800000000004</v>
      </c>
      <c r="CV13" s="13">
        <f t="shared" si="41"/>
        <v>5.2584129176484753</v>
      </c>
      <c r="CW13" s="20">
        <f t="shared" si="13"/>
        <v>36.545762498237771</v>
      </c>
      <c r="CX13" s="59">
        <f t="shared" si="14"/>
        <v>329.87909583157108</v>
      </c>
      <c r="CY13" s="59">
        <f ca="1">AVERAGE(OFFSET($CX$3,0,0,'Données projet'!$E$13+1,1))-AVERAGE(OFFSET($H$3,0,0,'Données projet'!$E$13+1,1))</f>
        <v>207.4513063267579</v>
      </c>
      <c r="CZ13" s="59">
        <f t="shared" si="42"/>
        <v>191.63513530247218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>
        <f>VLOOKUP(A14,'Données projet'!$A$35:$I$55,2,0)</f>
        <v>63.780320512820509</v>
      </c>
      <c r="L14" s="12">
        <f>VLOOKUP(A14,'Données projet'!$A$35:$I$55,9,0)</f>
        <v>12.150320512820493</v>
      </c>
      <c r="M14" s="12">
        <f t="array" ref="M14">INDEX(L:L,MIN(IF(ISNUMBER(L14:L210),ROW(L14:L210),"")))</f>
        <v>12.150320512820493</v>
      </c>
      <c r="N14" s="13">
        <f>IF('Données projet'!$A$36&gt;35,N13+M14-V13,IF(A14&lt;'Données projet'!$A$36,$K$205^A14,IF(A14='Données projet'!$A$36,'Données projet'!$B$36,N13+M14-V13)))</f>
        <v>63.780320512820509</v>
      </c>
      <c r="O14" s="13">
        <f>N14*VLOOKUP('Données projet'!$B$9,Paramètres!$A$1:$I$89,3,0)*VLOOKUP('Données projet'!$B$9,Paramètres!$A$1:$I$89,5,0)</f>
        <v>32.4361198</v>
      </c>
      <c r="P14" s="13">
        <f t="shared" si="33"/>
        <v>9.9700468059329115</v>
      </c>
      <c r="Q14" s="20">
        <f t="shared" si="2"/>
        <v>73.857406838666478</v>
      </c>
      <c r="R14" s="59">
        <f t="shared" si="0"/>
        <v>367.19074017199978</v>
      </c>
      <c r="S14" s="59">
        <f ca="1">AVERAGE(OFFSET($R$3,0,0,'Données projet'!$E$9+1,1))-AVERAGE(OFFSET($H$3,0,0,'Données projet'!$E$9+1,1))</f>
        <v>66.814714696519275</v>
      </c>
      <c r="T14" s="59">
        <f t="shared" si="34"/>
        <v>199.56746335788068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14.6</v>
      </c>
      <c r="AI14" s="13">
        <f>IF('Données projet'!$A$62&gt;35,AI13+AH14-AQ13,IF(A14&lt;'Données projet'!$A$62,$AF$205^A14,IF(A14='Données projet'!$A$62,'Données projet'!$B$62,AI13+AH14-AQ13)))</f>
        <v>26.6</v>
      </c>
      <c r="AJ14" s="13">
        <f>AI14*VLOOKUP('Données projet'!$B$10,Paramètres!$A$1:$I$89,3,0)*VLOOKUP('Données projet'!$B$10,Paramètres!$A$1:$I$89,5,0)</f>
        <v>21.162960000000002</v>
      </c>
      <c r="AK14" s="13">
        <f t="shared" si="35"/>
        <v>6.8364616466980515</v>
      </c>
      <c r="AL14" s="20">
        <f t="shared" si="4"/>
        <v>48.765659367999113</v>
      </c>
      <c r="AM14" s="59">
        <f t="shared" si="5"/>
        <v>342.09899270133241</v>
      </c>
      <c r="AN14" s="59">
        <f ca="1">AVERAGE(OFFSET($AM$3,0,0,'Données projet'!$E$10+1,1))-AVERAGE(OFFSET($H$3,0,0,'Données projet'!$E$10+1,1))</f>
        <v>325.72928944930294</v>
      </c>
      <c r="AO14" s="59">
        <f t="shared" si="36"/>
        <v>318.38876834819752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7.8</v>
      </c>
      <c r="BD14" s="12">
        <f>IF('Données projet'!$A$88&gt;35,BD13+BC14-BL13,IF(A14&lt;'Données projet'!$A$88,$BA$205^A14,IF(A14='Données projet'!$A$88,'Données projet'!$B$88,BD13+BC14-BL13)))</f>
        <v>20.8</v>
      </c>
      <c r="BE14" s="13">
        <f>BD14*VLOOKUP('Données projet'!$B$11,Paramètres!$A$1:$I$89,3,0)*VLOOKUP('Données projet'!$B$11,Paramètres!$A$1:$I$89,5,0)</f>
        <v>13.628160000000001</v>
      </c>
      <c r="BF14" s="13">
        <f t="shared" si="37"/>
        <v>4.6338374564363161</v>
      </c>
      <c r="BG14" s="20">
        <f t="shared" si="7"/>
        <v>31.806312236626585</v>
      </c>
      <c r="BH14" s="59">
        <f t="shared" si="8"/>
        <v>325.1396455699599</v>
      </c>
      <c r="BI14" s="59">
        <f ca="1">AVERAGE(OFFSET($BH$3,0,0,'Données projet'!$E$11+1,1))-AVERAGE(OFFSET($H$3,0,0,'Données projet'!$E$11+1,1))</f>
        <v>209.40885738157152</v>
      </c>
      <c r="BJ14" s="59">
        <f t="shared" si="38"/>
        <v>230.15385333954697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3.0174139703404813E-2</v>
      </c>
      <c r="BR14" s="21">
        <f>EXP(-LN(2)/2)*BR13+(1-EXP(-LN(2)/2))/(LN(2)/2)*BL14*BO14*VLOOKUP('Données projet'!$B$11,Paramètres!$A$1:$I$89,3,0)*0.475*44/12</f>
        <v>0.13113977638824784</v>
      </c>
      <c r="BS14" s="22">
        <f t="shared" si="9"/>
        <v>0.16131391609165266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4.0628205128205126</v>
      </c>
      <c r="BY14" s="12">
        <f>IF('Données projet'!$A$114&gt;35,BY13+BX14-CG13,IF(A14&lt;'Données projet'!$A$114,$BV$205^A14,IF(A14='Données projet'!$A$114,'Données projet'!$B$114,BY13+BX14-CG13)))</f>
        <v>5.8189942330107201</v>
      </c>
      <c r="BZ14" s="13">
        <f>BY14*VLOOKUP('Données projet'!$B$12,Paramètres!$A$1:$I$89,3,0)*VLOOKUP('Données projet'!$B$12,Paramètres!$A$1:$I$89,5,0)</f>
        <v>5.2650259820280993</v>
      </c>
      <c r="CA14" s="13">
        <f t="shared" si="39"/>
        <v>1.9997769726555885</v>
      </c>
      <c r="CB14" s="20">
        <f t="shared" si="10"/>
        <v>12.65286514607409</v>
      </c>
      <c r="CC14" s="59">
        <f t="shared" si="11"/>
        <v>305.98619847940739</v>
      </c>
      <c r="CD14" s="59">
        <f ca="1">AVERAGE(OFFSET($CC$3,0,0,'Données projet'!$E$12+1,1))-AVERAGE(OFFSET($H$3,0,0,'Données projet'!$E$12+1,1))</f>
        <v>270.87836509222456</v>
      </c>
      <c r="CE14" s="59">
        <f t="shared" si="40"/>
        <v>205.24998237949734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5.8</v>
      </c>
      <c r="CT14" s="12">
        <f>IF('Données projet'!$A$140&gt;35,CT13+CS14-DB13,IF(A14&lt;'Données projet'!$A$140,$CQ$205^A14,IF(A14='Données projet'!$A$140,'Données projet'!$B$140,CT13+CS14-DB13)))</f>
        <v>23.8</v>
      </c>
      <c r="CU14" s="17">
        <f>CT14*VLOOKUP('Données projet'!$B$13,Paramètres!$A$1:$I$89,3,0)*VLOOKUP('Données projet'!$B$13,Paramètres!$A$1:$I$89,5,0)</f>
        <v>20.791680000000003</v>
      </c>
      <c r="CV14" s="13">
        <f t="shared" si="41"/>
        <v>6.7303755760501467</v>
      </c>
      <c r="CW14" s="20">
        <f t="shared" si="13"/>
        <v>47.934246794954014</v>
      </c>
      <c r="CX14" s="59">
        <f t="shared" si="14"/>
        <v>341.26758012828731</v>
      </c>
      <c r="CY14" s="59">
        <f ca="1">AVERAGE(OFFSET($CX$3,0,0,'Données projet'!$E$13+1,1))-AVERAGE(OFFSET($H$3,0,0,'Données projet'!$E$13+1,1))</f>
        <v>207.4513063267579</v>
      </c>
      <c r="CZ14" s="59">
        <f t="shared" si="42"/>
        <v>191.63513530247218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76.80974358974359</v>
      </c>
      <c r="L15" s="12">
        <f>VLOOKUP(A15,'Données projet'!$A$35:$I$55,9,0)</f>
        <v>13.029423076923081</v>
      </c>
      <c r="M15" s="12">
        <f t="array" ref="M15">INDEX(L:L,MIN(IF(ISNUMBER(L15:L211),ROW(L15:L211),"")))</f>
        <v>13.029423076923081</v>
      </c>
      <c r="N15" s="13">
        <f>IF('Données projet'!$A$36&gt;35,N14+M15-V14,IF(A15&lt;'Données projet'!$A$36,$K$205^A15,IF(A15='Données projet'!$A$36,'Données projet'!$B$36,N14+M15-V14)))</f>
        <v>76.80974358974359</v>
      </c>
      <c r="O15" s="13">
        <f>N15*VLOOKUP('Données projet'!$B$9,Paramètres!$A$1:$I$89,3,0)*VLOOKUP('Données projet'!$B$9,Paramètres!$A$1:$I$89,5,0)</f>
        <v>39.0623632</v>
      </c>
      <c r="P15" s="13">
        <f t="shared" si="33"/>
        <v>11.749784127487876</v>
      </c>
      <c r="Q15" s="20">
        <f t="shared" si="2"/>
        <v>88.497823262041379</v>
      </c>
      <c r="R15" s="59">
        <f t="shared" si="0"/>
        <v>381.83115659537469</v>
      </c>
      <c r="S15" s="59">
        <f ca="1">AVERAGE(OFFSET($R$3,0,0,'Données projet'!$E$9+1,1))-AVERAGE(OFFSET($H$3,0,0,'Données projet'!$E$9+1,1))</f>
        <v>66.814714696519275</v>
      </c>
      <c r="T15" s="59">
        <f t="shared" si="34"/>
        <v>199.56746335788068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14.6</v>
      </c>
      <c r="AI15" s="13">
        <f>IF('Données projet'!$A$62&gt;35,AI14+AH15-AQ14,IF(A15&lt;'Données projet'!$A$62,$AF$205^A15,IF(A15='Données projet'!$A$62,'Données projet'!$B$62,AI14+AH15-AQ14)))</f>
        <v>41.2</v>
      </c>
      <c r="AJ15" s="13">
        <f>AI15*VLOOKUP('Données projet'!$B$10,Paramètres!$A$1:$I$89,3,0)*VLOOKUP('Données projet'!$B$10,Paramètres!$A$1:$I$89,5,0)</f>
        <v>32.77872</v>
      </c>
      <c r="AK15" s="13">
        <f t="shared" si="35"/>
        <v>10.063038810723747</v>
      </c>
      <c r="AL15" s="20">
        <f t="shared" si="4"/>
        <v>74.616063262010528</v>
      </c>
      <c r="AM15" s="59">
        <f t="shared" si="5"/>
        <v>367.94939659534384</v>
      </c>
      <c r="AN15" s="59">
        <f ca="1">AVERAGE(OFFSET($AM$3,0,0,'Données projet'!$E$10+1,1))-AVERAGE(OFFSET($H$3,0,0,'Données projet'!$E$10+1,1))</f>
        <v>325.72928944930294</v>
      </c>
      <c r="AO15" s="59">
        <f t="shared" si="36"/>
        <v>318.38876834819752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7.8</v>
      </c>
      <c r="BD15" s="12">
        <f>IF('Données projet'!$A$88&gt;35,BD14+BC15-BL14,IF(A15&lt;'Données projet'!$A$88,$BA$205^A15,IF(A15='Données projet'!$A$88,'Données projet'!$B$88,BD14+BC15-BL14)))</f>
        <v>28.6</v>
      </c>
      <c r="BE15" s="13">
        <f>BD15*VLOOKUP('Données projet'!$B$11,Paramètres!$A$1:$I$89,3,0)*VLOOKUP('Données projet'!$B$11,Paramètres!$A$1:$I$89,5,0)</f>
        <v>18.738720000000001</v>
      </c>
      <c r="BF15" s="13">
        <f t="shared" si="37"/>
        <v>6.1396704366978918</v>
      </c>
      <c r="BG15" s="20">
        <f t="shared" si="7"/>
        <v>43.329863343915491</v>
      </c>
      <c r="BH15" s="59">
        <f t="shared" si="8"/>
        <v>336.66319667724883</v>
      </c>
      <c r="BI15" s="59">
        <f ca="1">AVERAGE(OFFSET($BH$3,0,0,'Données projet'!$E$11+1,1))-AVERAGE(OFFSET($H$3,0,0,'Données projet'!$E$11+1,1))</f>
        <v>209.40885738157152</v>
      </c>
      <c r="BJ15" s="59">
        <f t="shared" si="38"/>
        <v>230.15385333954697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2.9349026266426166E-2</v>
      </c>
      <c r="BR15" s="21">
        <f>EXP(-LN(2)/2)*BR14+(1-EXP(-LN(2)/2))/(LN(2)/2)*BL15*BO15*VLOOKUP('Données projet'!$B$11,Paramètres!$A$1:$I$89,3,0)*0.475*44/12</f>
        <v>9.272982516741754E-2</v>
      </c>
      <c r="BS15" s="22">
        <f t="shared" si="9"/>
        <v>0.1220788514338437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4.0628205128205126</v>
      </c>
      <c r="BY15" s="12">
        <f>IF('Données projet'!$A$114&gt;35,BY14+BX15-CG14,IF(A15&lt;'Données projet'!$A$114,$BV$205^A15,IF(A15='Données projet'!$A$114,'Données projet'!$B$114,BY14+BX15-CG14)))</f>
        <v>6.8293529228851897</v>
      </c>
      <c r="BZ15" s="13">
        <f>BY15*VLOOKUP('Données projet'!$B$12,Paramètres!$A$1:$I$89,3,0)*VLOOKUP('Données projet'!$B$12,Paramètres!$A$1:$I$89,5,0)</f>
        <v>6.1791985246265195</v>
      </c>
      <c r="CA15" s="13">
        <f t="shared" si="39"/>
        <v>2.3036670536275285</v>
      </c>
      <c r="CB15" s="20">
        <f t="shared" si="10"/>
        <v>14.774324215459131</v>
      </c>
      <c r="CC15" s="59">
        <f t="shared" si="11"/>
        <v>308.10765754879242</v>
      </c>
      <c r="CD15" s="59">
        <f ca="1">AVERAGE(OFFSET($CC$3,0,0,'Données projet'!$E$12+1,1))-AVERAGE(OFFSET($H$3,0,0,'Données projet'!$E$12+1,1))</f>
        <v>270.87836509222456</v>
      </c>
      <c r="CE15" s="59">
        <f t="shared" si="40"/>
        <v>205.24998237949734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5.8</v>
      </c>
      <c r="CT15" s="12">
        <f>IF('Données projet'!$A$140&gt;35,CT14+CS15-DB14,IF(A15&lt;'Données projet'!$A$140,$CQ$205^A15,IF(A15='Données projet'!$A$140,'Données projet'!$B$140,CT14+CS15-DB14)))</f>
        <v>29.6</v>
      </c>
      <c r="CU15" s="17">
        <f>CT15*VLOOKUP('Données projet'!$B$13,Paramètres!$A$1:$I$89,3,0)*VLOOKUP('Données projet'!$B$13,Paramètres!$A$1:$I$89,5,0)</f>
        <v>25.858560000000008</v>
      </c>
      <c r="CV15" s="13">
        <f t="shared" si="41"/>
        <v>8.1607346448714608</v>
      </c>
      <c r="CW15" s="20">
        <f t="shared" si="13"/>
        <v>59.250271506484466</v>
      </c>
      <c r="CX15" s="59">
        <f t="shared" si="14"/>
        <v>352.58360483981778</v>
      </c>
      <c r="CY15" s="59">
        <f ca="1">AVERAGE(OFFSET($CX$3,0,0,'Données projet'!$E$13+1,1))-AVERAGE(OFFSET($H$3,0,0,'Données projet'!$E$13+1,1))</f>
        <v>207.4513063267579</v>
      </c>
      <c r="CZ15" s="59">
        <f t="shared" si="42"/>
        <v>191.63513530247218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>
        <f>VLOOKUP(A16,'Données projet'!$A$35:$I$55,2,0)</f>
        <v>90.615576923076929</v>
      </c>
      <c r="L16" s="12">
        <f>VLOOKUP(A16,'Données projet'!$A$35:$I$55,9,0)</f>
        <v>13.805833333333339</v>
      </c>
      <c r="M16" s="12">
        <f t="array" ref="M16">INDEX(L:L,MIN(IF(ISNUMBER(L16:L212),ROW(L16:L212),"")))</f>
        <v>13.805833333333339</v>
      </c>
      <c r="N16" s="13">
        <f>IF('Données projet'!$A$36&gt;35,N15+M16-V15,IF(A16&lt;'Données projet'!$A$36,$K$205^A16,IF(A16='Données projet'!$A$36,'Données projet'!$B$36,N15+M16-V15)))</f>
        <v>90.615576923076929</v>
      </c>
      <c r="O16" s="13">
        <f>N16*VLOOKUP('Données projet'!$B$9,Paramètres!$A$1:$I$89,3,0)*VLOOKUP('Données projet'!$B$9,Paramètres!$A$1:$I$89,5,0)</f>
        <v>46.083457800000005</v>
      </c>
      <c r="P16" s="13">
        <f t="shared" si="33"/>
        <v>13.597544172817395</v>
      </c>
      <c r="Q16" s="20">
        <f t="shared" si="2"/>
        <v>103.94441176932362</v>
      </c>
      <c r="R16" s="59">
        <f t="shared" si="0"/>
        <v>397.27774510265692</v>
      </c>
      <c r="S16" s="59">
        <f ca="1">AVERAGE(OFFSET($R$3,0,0,'Données projet'!$E$9+1,1))-AVERAGE(OFFSET($H$3,0,0,'Données projet'!$E$9+1,1))</f>
        <v>66.814714696519275</v>
      </c>
      <c r="T16" s="59">
        <f t="shared" si="34"/>
        <v>199.56746335788068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14.6</v>
      </c>
      <c r="AI16" s="13">
        <f>IF('Données projet'!$A$62&gt;35,AI15+AH16-AQ15,IF(A16&lt;'Données projet'!$A$62,$AF$205^A16,IF(A16='Données projet'!$A$62,'Données projet'!$B$62,AI15+AH16-AQ15)))</f>
        <v>55.800000000000004</v>
      </c>
      <c r="AJ16" s="13">
        <f>AI16*VLOOKUP('Données projet'!$B$10,Paramètres!$A$1:$I$89,3,0)*VLOOKUP('Données projet'!$B$10,Paramètres!$A$1:$I$89,5,0)</f>
        <v>44.394480000000001</v>
      </c>
      <c r="AK16" s="13">
        <f t="shared" si="35"/>
        <v>13.1562447968447</v>
      </c>
      <c r="AL16" s="20">
        <f t="shared" si="4"/>
        <v>100.2341790211712</v>
      </c>
      <c r="AM16" s="59">
        <f t="shared" si="5"/>
        <v>393.56751235450452</v>
      </c>
      <c r="AN16" s="59">
        <f ca="1">AVERAGE(OFFSET($AM$3,0,0,'Données projet'!$E$10+1,1))-AVERAGE(OFFSET($H$3,0,0,'Données projet'!$E$10+1,1))</f>
        <v>325.72928944930294</v>
      </c>
      <c r="AO16" s="59">
        <f t="shared" si="36"/>
        <v>318.38876834819752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7.8</v>
      </c>
      <c r="BD16" s="12">
        <f>IF('Données projet'!$A$88&gt;35,BD15+BC16-BL15,IF(A16&lt;'Données projet'!$A$88,$BA$205^A16,IF(A16='Données projet'!$A$88,'Données projet'!$B$88,BD15+BC16-BL15)))</f>
        <v>36.4</v>
      </c>
      <c r="BE16" s="13">
        <f>BD16*VLOOKUP('Données projet'!$B$11,Paramètres!$A$1:$I$89,3,0)*VLOOKUP('Données projet'!$B$11,Paramètres!$A$1:$I$89,5,0)</f>
        <v>23.849279999999997</v>
      </c>
      <c r="BF16" s="13">
        <f t="shared" si="37"/>
        <v>7.5978237630267955</v>
      </c>
      <c r="BG16" s="20">
        <f t="shared" si="7"/>
        <v>54.770372387271664</v>
      </c>
      <c r="BH16" s="59">
        <f t="shared" si="8"/>
        <v>348.10370572060498</v>
      </c>
      <c r="BI16" s="59">
        <f ca="1">AVERAGE(OFFSET($BH$3,0,0,'Données projet'!$E$11+1,1))-AVERAGE(OFFSET($H$3,0,0,'Données projet'!$E$11+1,1))</f>
        <v>209.40885738157152</v>
      </c>
      <c r="BJ16" s="59">
        <f t="shared" si="38"/>
        <v>230.15385333954697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2.8546475599772528E-2</v>
      </c>
      <c r="BR16" s="21">
        <f>EXP(-LN(2)/2)*BR15+(1-EXP(-LN(2)/2))/(LN(2)/2)*BL16*BO16*VLOOKUP('Données projet'!$B$11,Paramètres!$A$1:$I$89,3,0)*0.475*44/12</f>
        <v>6.5569888194123932E-2</v>
      </c>
      <c r="BS16" s="22">
        <f t="shared" si="9"/>
        <v>9.4116363793896457E-2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4.0628205128205126</v>
      </c>
      <c r="BY16" s="12">
        <f>IF('Données projet'!$A$114&gt;35,BY15+BX16-CG15,IF(A16&lt;'Données projet'!$A$114,$BV$205^A16,IF(A16='Données projet'!$A$114,'Données projet'!$B$114,BY15+BX16-CG15)))</f>
        <v>8.0151413590917304</v>
      </c>
      <c r="BZ16" s="13">
        <f>BY16*VLOOKUP('Données projet'!$B$12,Paramètres!$A$1:$I$89,3,0)*VLOOKUP('Données projet'!$B$12,Paramètres!$A$1:$I$89,5,0)</f>
        <v>7.2520999017061971</v>
      </c>
      <c r="CA16" s="13">
        <f t="shared" si="39"/>
        <v>2.6537368749284589</v>
      </c>
      <c r="CB16" s="20">
        <f t="shared" si="10"/>
        <v>17.252665719305359</v>
      </c>
      <c r="CC16" s="59">
        <f t="shared" si="11"/>
        <v>310.58599905263867</v>
      </c>
      <c r="CD16" s="59">
        <f ca="1">AVERAGE(OFFSET($CC$3,0,0,'Données projet'!$E$12+1,1))-AVERAGE(OFFSET($H$3,0,0,'Données projet'!$E$12+1,1))</f>
        <v>270.87836509222456</v>
      </c>
      <c r="CE16" s="59">
        <f t="shared" si="40"/>
        <v>205.24998237949734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5.8</v>
      </c>
      <c r="CT16" s="12">
        <f>IF('Données projet'!$A$140&gt;35,CT15+CS16-DB15,IF(A16&lt;'Données projet'!$A$140,$CQ$205^A16,IF(A16='Données projet'!$A$140,'Données projet'!$B$140,CT15+CS16-DB15)))</f>
        <v>35.4</v>
      </c>
      <c r="CU16" s="17">
        <f>CT16*VLOOKUP('Données projet'!$B$13,Paramètres!$A$1:$I$89,3,0)*VLOOKUP('Données projet'!$B$13,Paramètres!$A$1:$I$89,5,0)</f>
        <v>30.925440000000002</v>
      </c>
      <c r="CV16" s="13">
        <f t="shared" si="41"/>
        <v>9.5586196975402125</v>
      </c>
      <c r="CW16" s="20">
        <f t="shared" si="13"/>
        <v>70.509737306549212</v>
      </c>
      <c r="CX16" s="59">
        <f t="shared" si="14"/>
        <v>363.84307063988251</v>
      </c>
      <c r="CY16" s="59">
        <f ca="1">AVERAGE(OFFSET($CX$3,0,0,'Données projet'!$E$13+1,1))-AVERAGE(OFFSET($H$3,0,0,'Données projet'!$E$13+1,1))</f>
        <v>207.4513063267579</v>
      </c>
      <c r="CZ16" s="59">
        <f t="shared" si="42"/>
        <v>191.63513530247218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105.09512820512822</v>
      </c>
      <c r="L17" s="12">
        <f>VLOOKUP(A17,'Données projet'!$A$35:$I$55,9,0)</f>
        <v>14.47955128205129</v>
      </c>
      <c r="M17" s="12">
        <f t="array" ref="M17">INDEX(L:L,MIN(IF(ISNUMBER(L17:L213),ROW(L17:L213),"")))</f>
        <v>14.47955128205129</v>
      </c>
      <c r="N17" s="13">
        <f>IF('Données projet'!$A$36&gt;35,N16+M17-V16,IF(A17&lt;'Données projet'!$A$36,$K$205^A17,IF(A17='Données projet'!$A$36,'Données projet'!$B$36,N16+M17-V16)))</f>
        <v>105.09512820512822</v>
      </c>
      <c r="O17" s="13">
        <f>N17*VLOOKUP('Données projet'!$B$9,Paramètres!$A$1:$I$89,3,0)*VLOOKUP('Données projet'!$B$9,Paramètres!$A$1:$I$89,5,0)</f>
        <v>53.447178400000006</v>
      </c>
      <c r="P17" s="13">
        <f t="shared" si="33"/>
        <v>15.500524821688407</v>
      </c>
      <c r="Q17" s="20">
        <f t="shared" si="2"/>
        <v>120.08391644444065</v>
      </c>
      <c r="R17" s="59">
        <f t="shared" si="0"/>
        <v>413.41724977777397</v>
      </c>
      <c r="S17" s="59">
        <f ca="1">AVERAGE(OFFSET($R$3,0,0,'Données projet'!$E$9+1,1))-AVERAGE(OFFSET($H$3,0,0,'Données projet'!$E$9+1,1))</f>
        <v>66.814714696519275</v>
      </c>
      <c r="T17" s="59">
        <f t="shared" si="34"/>
        <v>199.56746335788068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14.6</v>
      </c>
      <c r="AI17" s="13">
        <f>IF('Données projet'!$A$62&gt;35,AI16+AH17-AQ16,IF(A17&lt;'Données projet'!$A$62,$AF$205^A17,IF(A17='Données projet'!$A$62,'Données projet'!$B$62,AI16+AH17-AQ16)))</f>
        <v>70.400000000000006</v>
      </c>
      <c r="AJ17" s="13">
        <f>AI17*VLOOKUP('Données projet'!$B$10,Paramètres!$A$1:$I$89,3,0)*VLOOKUP('Données projet'!$B$10,Paramètres!$A$1:$I$89,5,0)</f>
        <v>56.01024000000001</v>
      </c>
      <c r="AK17" s="13">
        <f t="shared" si="35"/>
        <v>16.155528478402793</v>
      </c>
      <c r="AL17" s="20">
        <f t="shared" si="4"/>
        <v>125.68871343321821</v>
      </c>
      <c r="AM17" s="59">
        <f t="shared" si="5"/>
        <v>419.02204676655151</v>
      </c>
      <c r="AN17" s="59">
        <f ca="1">AVERAGE(OFFSET($AM$3,0,0,'Données projet'!$E$10+1,1))-AVERAGE(OFFSET($H$3,0,0,'Données projet'!$E$10+1,1))</f>
        <v>325.72928944930294</v>
      </c>
      <c r="AO17" s="59">
        <f t="shared" si="36"/>
        <v>318.38876834819752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7.8</v>
      </c>
      <c r="BD17" s="12">
        <f>IF('Données projet'!$A$88&gt;35,BD16+BC17-BL16,IF(A17&lt;'Données projet'!$A$88,$BA$205^A17,IF(A17='Données projet'!$A$88,'Données projet'!$B$88,BD16+BC17-BL16)))</f>
        <v>44.199999999999996</v>
      </c>
      <c r="BE17" s="13">
        <f>BD17*VLOOKUP('Données projet'!$B$11,Paramètres!$A$1:$I$89,3,0)*VLOOKUP('Données projet'!$B$11,Paramètres!$A$1:$I$89,5,0)</f>
        <v>28.959839999999996</v>
      </c>
      <c r="BF17" s="13">
        <f t="shared" si="37"/>
        <v>9.0197634951152139</v>
      </c>
      <c r="BG17" s="20">
        <f t="shared" si="7"/>
        <v>66.147809420658987</v>
      </c>
      <c r="BH17" s="59">
        <f t="shared" si="8"/>
        <v>359.48114275399229</v>
      </c>
      <c r="BI17" s="59">
        <f ca="1">AVERAGE(OFFSET($BH$3,0,0,'Données projet'!$E$11+1,1))-AVERAGE(OFFSET($H$3,0,0,'Données projet'!$E$11+1,1))</f>
        <v>209.40885738157152</v>
      </c>
      <c r="BJ17" s="59">
        <f t="shared" si="38"/>
        <v>230.15385333954697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2.7765870723302839E-2</v>
      </c>
      <c r="BR17" s="21">
        <f>EXP(-LN(2)/2)*BR16+(1-EXP(-LN(2)/2))/(LN(2)/2)*BL17*BO17*VLOOKUP('Données projet'!$B$11,Paramètres!$A$1:$I$89,3,0)*0.475*44/12</f>
        <v>4.6364912583708777E-2</v>
      </c>
      <c r="BS17" s="22">
        <f t="shared" si="9"/>
        <v>7.4130783307011616E-2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4.0628205128205126</v>
      </c>
      <c r="BY17" s="12">
        <f>IF('Données projet'!$A$114&gt;35,BY16+BX17-CG16,IF(A17&lt;'Données projet'!$A$114,$BV$205^A17,IF(A17='Données projet'!$A$114,'Données projet'!$B$114,BY16+BX17-CG16)))</f>
        <v>9.4068196111151305</v>
      </c>
      <c r="BZ17" s="13">
        <f>BY17*VLOOKUP('Données projet'!$B$12,Paramètres!$A$1:$I$89,3,0)*VLOOKUP('Données projet'!$B$12,Paramètres!$A$1:$I$89,5,0)</f>
        <v>8.51129038413697</v>
      </c>
      <c r="CA17" s="13">
        <f t="shared" si="39"/>
        <v>3.0570040016267526</v>
      </c>
      <c r="CB17" s="20">
        <f t="shared" si="10"/>
        <v>20.148112721871815</v>
      </c>
      <c r="CC17" s="59">
        <f t="shared" si="11"/>
        <v>313.48144605520514</v>
      </c>
      <c r="CD17" s="59">
        <f ca="1">AVERAGE(OFFSET($CC$3,0,0,'Données projet'!$E$12+1,1))-AVERAGE(OFFSET($H$3,0,0,'Données projet'!$E$12+1,1))</f>
        <v>270.87836509222456</v>
      </c>
      <c r="CE17" s="59">
        <f t="shared" si="40"/>
        <v>205.24998237949734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5.8</v>
      </c>
      <c r="CT17" s="12">
        <f>IF('Données projet'!$A$140&gt;35,CT16+CS17-DB16,IF(A17&lt;'Données projet'!$A$140,$CQ$205^A17,IF(A17='Données projet'!$A$140,'Données projet'!$B$140,CT16+CS17-DB16)))</f>
        <v>41.199999999999996</v>
      </c>
      <c r="CU17" s="17">
        <f>CT17*VLOOKUP('Données projet'!$B$13,Paramètres!$A$1:$I$89,3,0)*VLOOKUP('Données projet'!$B$13,Paramètres!$A$1:$I$89,5,0)</f>
        <v>35.992319999999999</v>
      </c>
      <c r="CV17" s="13">
        <f t="shared" si="41"/>
        <v>10.929972788578748</v>
      </c>
      <c r="CW17" s="20">
        <f t="shared" si="13"/>
        <v>81.722993273441304</v>
      </c>
      <c r="CX17" s="59">
        <f t="shared" si="14"/>
        <v>375.05632660677463</v>
      </c>
      <c r="CY17" s="59">
        <f ca="1">AVERAGE(OFFSET($CX$3,0,0,'Données projet'!$E$13+1,1))-AVERAGE(OFFSET($H$3,0,0,'Données projet'!$E$13+1,1))</f>
        <v>207.4513063267579</v>
      </c>
      <c r="CZ17" s="59">
        <f t="shared" si="42"/>
        <v>191.63513530247218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120.14570512820511</v>
      </c>
      <c r="L18" s="12">
        <f>VLOOKUP(A18,'Données projet'!$A$35:$I$55,9,0)</f>
        <v>15.050576923076889</v>
      </c>
      <c r="M18" s="12">
        <f t="array" ref="M18">INDEX(L:L,MIN(IF(ISNUMBER(L18:L214),ROW(L18:L214),"")))</f>
        <v>15.050576923076889</v>
      </c>
      <c r="N18" s="13">
        <f>IF('Données projet'!$A$36&gt;35,N17+M18-V17,IF(A18&lt;'Données projet'!$A$36,$K$205^A18,IF(A18='Données projet'!$A$36,'Données projet'!$B$36,N17+M18-V17)))</f>
        <v>120.14570512820511</v>
      </c>
      <c r="O18" s="13">
        <f>N18*VLOOKUP('Données projet'!$B$9,Paramètres!$A$1:$I$89,3,0)*VLOOKUP('Données projet'!$B$9,Paramètres!$A$1:$I$89,5,0)</f>
        <v>61.101299799999993</v>
      </c>
      <c r="P18" s="13">
        <f t="shared" si="33"/>
        <v>17.446416717537055</v>
      </c>
      <c r="Q18" s="20">
        <f t="shared" si="2"/>
        <v>136.80393960137704</v>
      </c>
      <c r="R18" s="59">
        <f t="shared" si="0"/>
        <v>430.13727293471038</v>
      </c>
      <c r="S18" s="59">
        <f ca="1">AVERAGE(OFFSET($R$3,0,0,'Données projet'!$E$9+1,1))-AVERAGE(OFFSET($H$3,0,0,'Données projet'!$E$9+1,1))</f>
        <v>66.814714696519275</v>
      </c>
      <c r="T18" s="59">
        <f t="shared" si="34"/>
        <v>199.56746335788068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>
        <f>VLOOKUP(A18,'Données projet'!$A$61:$I$81,2,0)</f>
        <v>85</v>
      </c>
      <c r="AG18" s="12">
        <f>VLOOKUP(A18,'Données projet'!$A$61:$I$81,9,0)</f>
        <v>14.6</v>
      </c>
      <c r="AH18" s="12">
        <f t="array" ref="AH18">INDEX(AG:AG,MIN(IF(ISNUMBER(AG18:AG214),ROW(AG18:AG214),"")))</f>
        <v>14.6</v>
      </c>
      <c r="AI18" s="13">
        <f>IF('Données projet'!$A$62&gt;35,AI17+AH18-AQ17,IF(A18&lt;'Données projet'!$A$62,$AF$205^A18,IF(A18='Données projet'!$A$62,'Données projet'!$B$62,AI17+AH18-AQ17)))</f>
        <v>85</v>
      </c>
      <c r="AJ18" s="13">
        <f>AI18*VLOOKUP('Données projet'!$B$10,Paramètres!$A$1:$I$89,3,0)*VLOOKUP('Données projet'!$B$10,Paramètres!$A$1:$I$89,5,0)</f>
        <v>67.626000000000005</v>
      </c>
      <c r="AK18" s="13">
        <f t="shared" si="35"/>
        <v>19.082731089464875</v>
      </c>
      <c r="AL18" s="20">
        <f t="shared" si="4"/>
        <v>151.01770664748466</v>
      </c>
      <c r="AM18" s="59">
        <f t="shared" si="5"/>
        <v>444.35103998081797</v>
      </c>
      <c r="AN18" s="59">
        <f ca="1">AVERAGE(OFFSET($AM$3,0,0,'Données projet'!$E$10+1,1))-AVERAGE(OFFSET($H$3,0,0,'Données projet'!$E$10+1,1))</f>
        <v>325.72928944930294</v>
      </c>
      <c r="AO18" s="59">
        <f t="shared" si="36"/>
        <v>318.38876834819752</v>
      </c>
      <c r="AP18" s="15">
        <f>IF(ISNA(VLOOKUP(A18,'Données projet'!$A$61:$I$81,3,0)),0,VLOOKUP(A18,'Données projet'!$A$61:$I$81,3,0))</f>
        <v>2</v>
      </c>
      <c r="AQ18" s="15">
        <f>IF(ISNA(VLOOKUP(A18,'Données projet'!$A$61:$I$81,4,0)),0,VLOOKUP(A18,'Données projet'!$A$61:$I$81,4,0))</f>
        <v>42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>
        <f>VLOOKUP(A18,'Données projet'!$A$87:$I$107,2,0)</f>
        <v>52</v>
      </c>
      <c r="BB18" s="12">
        <f>VLOOKUP(A18,'Données projet'!$A$87:$I$107,9,0)</f>
        <v>7.8</v>
      </c>
      <c r="BC18" s="12">
        <f t="array" ref="BC18">INDEX(BB:BB,MIN(IF(ISNUMBER(BB18:BB214),ROW(BB18:BB214),"")))</f>
        <v>7.8</v>
      </c>
      <c r="BD18" s="12">
        <f>IF('Données projet'!$A$88&gt;35,BD17+BC18-BL17,IF(A18&lt;'Données projet'!$A$88,$BA$205^A18,IF(A18='Données projet'!$A$88,'Données projet'!$B$88,BD17+BC18-BL17)))</f>
        <v>51.999999999999993</v>
      </c>
      <c r="BE18" s="13">
        <f>BD18*VLOOKUP('Données projet'!$B$11,Paramètres!$A$1:$I$89,3,0)*VLOOKUP('Données projet'!$B$11,Paramètres!$A$1:$I$89,5,0)</f>
        <v>34.070399999999992</v>
      </c>
      <c r="BF18" s="13">
        <f t="shared" si="37"/>
        <v>10.412633617059315</v>
      </c>
      <c r="BG18" s="20">
        <f t="shared" si="7"/>
        <v>77.474616883044959</v>
      </c>
      <c r="BH18" s="59">
        <f t="shared" si="8"/>
        <v>370.80795021637829</v>
      </c>
      <c r="BI18" s="59">
        <f ca="1">AVERAGE(OFFSET($BH$3,0,0,'Données projet'!$E$11+1,1))-AVERAGE(OFFSET($H$3,0,0,'Données projet'!$E$11+1,1))</f>
        <v>209.40885738157152</v>
      </c>
      <c r="BJ18" s="59">
        <f t="shared" si="38"/>
        <v>230.15385333954697</v>
      </c>
      <c r="BK18" s="15">
        <f>IF(ISNA(VLOOKUP(A18,'Données projet'!$A$87:$I$107,3,0)),0,VLOOKUP(A18,'Données projet'!$A$87:$I$107,3,0))</f>
        <v>2</v>
      </c>
      <c r="BL18" s="15" t="str">
        <f>IF(ISNA(VLOOKUP(A18,'Données projet'!$A$87:$I$107,4,0)),0,VLOOKUP(A18,'Données projet'!$A$87:$I$107,4,0))</f>
        <v>5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4.3000000000000003E-2</v>
      </c>
      <c r="BO18" s="16">
        <f>IF(ISNA(VLOOKUP(A18,'Données projet'!$A$87:$I$107,7,0)),0%,VLOOKUP(A18,'Données projet'!$A$87:$I$107,7,0))</f>
        <v>0.3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0.18211886271084179</v>
      </c>
      <c r="BR18" s="21">
        <f>EXP(-LN(2)/2)*BR17+(1-EXP(-LN(2)/2))/(LN(2)/2)*BL18*BO18*VLOOKUP('Données projet'!$B$11,Paramètres!$A$1:$I$89,3,0)*0.475*44/12</f>
        <v>0.96008319577123757</v>
      </c>
      <c r="BS18" s="22">
        <f t="shared" si="9"/>
        <v>1.1422020584820793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4.0628205128205126</v>
      </c>
      <c r="BY18" s="12">
        <f>IF('Données projet'!$A$114&gt;35,BY17+BX18-CG17,IF(A18&lt;'Données projet'!$A$114,$BV$205^A18,IF(A18='Données projet'!$A$114,'Données projet'!$B$114,BY17+BX18-CG17)))</f>
        <v>11.040136565487554</v>
      </c>
      <c r="BZ18" s="13">
        <f>BY18*VLOOKUP('Données projet'!$B$12,Paramètres!$A$1:$I$89,3,0)*VLOOKUP('Données projet'!$B$12,Paramètres!$A$1:$I$89,5,0)</f>
        <v>9.9891155644531384</v>
      </c>
      <c r="CA18" s="13">
        <f t="shared" si="39"/>
        <v>3.5215524019177353</v>
      </c>
      <c r="CB18" s="20">
        <f t="shared" si="10"/>
        <v>23.531080041429274</v>
      </c>
      <c r="CC18" s="59">
        <f t="shared" si="11"/>
        <v>316.86441337476259</v>
      </c>
      <c r="CD18" s="59">
        <f ca="1">AVERAGE(OFFSET($CC$3,0,0,'Données projet'!$E$12+1,1))-AVERAGE(OFFSET($H$3,0,0,'Données projet'!$E$12+1,1))</f>
        <v>270.87836509222456</v>
      </c>
      <c r="CE18" s="59">
        <f t="shared" si="40"/>
        <v>205.24998237949734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>
        <f>VLOOKUP(A18,'Données projet'!$A$139:$I$159,2,0)</f>
        <v>47</v>
      </c>
      <c r="CR18" s="12">
        <f>VLOOKUP(A18,'Données projet'!$A$139:$I$159,9,0)</f>
        <v>5.8</v>
      </c>
      <c r="CS18" s="12">
        <f t="array" ref="CS18">INDEX(CR:CR,MIN(IF(ISNUMBER(CR18:CR214),ROW(CR18:CR214),"")))</f>
        <v>5.8</v>
      </c>
      <c r="CT18" s="12">
        <f>IF('Données projet'!$A$140&gt;35,CT17+CS18-DB17,IF(A18&lt;'Données projet'!$A$140,$CQ$205^A18,IF(A18='Données projet'!$A$140,'Données projet'!$B$140,CT17+CS18-DB17)))</f>
        <v>46.999999999999993</v>
      </c>
      <c r="CU18" s="17">
        <f>CT18*VLOOKUP('Données projet'!$B$13,Paramètres!$A$1:$I$89,3,0)*VLOOKUP('Données projet'!$B$13,Paramètres!$A$1:$I$89,5,0)</f>
        <v>41.059200000000004</v>
      </c>
      <c r="CV18" s="13">
        <f t="shared" si="41"/>
        <v>12.278959527914743</v>
      </c>
      <c r="CW18" s="20">
        <f t="shared" si="13"/>
        <v>92.897294511118176</v>
      </c>
      <c r="CX18" s="59">
        <f t="shared" si="14"/>
        <v>386.23062784445148</v>
      </c>
      <c r="CY18" s="59">
        <f ca="1">AVERAGE(OFFSET($CX$3,0,0,'Données projet'!$E$13+1,1))-AVERAGE(OFFSET($H$3,0,0,'Données projet'!$E$13+1,1))</f>
        <v>207.4513063267579</v>
      </c>
      <c r="CZ18" s="59">
        <f t="shared" si="42"/>
        <v>191.63513530247218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135.66461538461539</v>
      </c>
      <c r="L19" s="12">
        <f>VLOOKUP(A19,'Données projet'!$A$35:$I$55,9,0)</f>
        <v>15.51891025641028</v>
      </c>
      <c r="M19" s="12">
        <f t="array" ref="M19">INDEX(L:L,MIN(IF(ISNUMBER(L19:L215),ROW(L19:L215),"")))</f>
        <v>15.51891025641028</v>
      </c>
      <c r="N19" s="13">
        <f>IF('Données projet'!$A$36&gt;35,N18+M19-V18,IF(A19&lt;'Données projet'!$A$36,$K$205^A19,IF(A19='Données projet'!$A$36,'Données projet'!$B$36,N18+M19-V18)))</f>
        <v>135.66461538461539</v>
      </c>
      <c r="O19" s="13">
        <f>N19*VLOOKUP('Données projet'!$B$9,Paramètres!$A$1:$I$89,3,0)*VLOOKUP('Données projet'!$B$9,Paramètres!$A$1:$I$89,5,0)</f>
        <v>68.993596800000006</v>
      </c>
      <c r="P19" s="13">
        <f t="shared" si="33"/>
        <v>19.423321933594313</v>
      </c>
      <c r="Q19" s="20">
        <f t="shared" si="2"/>
        <v>153.99280012767676</v>
      </c>
      <c r="R19" s="59">
        <f t="shared" si="0"/>
        <v>447.32613346101004</v>
      </c>
      <c r="S19" s="59">
        <f ca="1">AVERAGE(OFFSET($R$3,0,0,'Données projet'!$E$9+1,1))-AVERAGE(OFFSET($H$3,0,0,'Données projet'!$E$9+1,1))</f>
        <v>66.814714696519275</v>
      </c>
      <c r="T19" s="59">
        <f t="shared" si="34"/>
        <v>199.56746335788068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16</v>
      </c>
      <c r="AI19" s="13">
        <f>IF('Données projet'!$A$62&gt;35,AI18+AH19-AQ18,IF(A19&lt;'Données projet'!$A$62,$AF$205^A19,IF(A19='Données projet'!$A$62,'Données projet'!$B$62,AI18+AH19-AQ18)))</f>
        <v>59</v>
      </c>
      <c r="AJ19" s="13">
        <f>AI19*VLOOKUP('Données projet'!$B$10,Paramètres!$A$1:$I$89,3,0)*VLOOKUP('Données projet'!$B$10,Paramètres!$A$1:$I$89,5,0)</f>
        <v>46.940400000000004</v>
      </c>
      <c r="AK19" s="13">
        <f t="shared" si="35"/>
        <v>13.82072434588865</v>
      </c>
      <c r="AL19" s="20">
        <f t="shared" si="4"/>
        <v>105.82562490242275</v>
      </c>
      <c r="AM19" s="59">
        <f t="shared" si="5"/>
        <v>399.15895823575607</v>
      </c>
      <c r="AN19" s="59">
        <f ca="1">AVERAGE(OFFSET($AM$3,0,0,'Données projet'!$E$10+1,1))-AVERAGE(OFFSET($H$3,0,0,'Données projet'!$E$10+1,1))</f>
        <v>325.72928944930294</v>
      </c>
      <c r="AO19" s="59">
        <f t="shared" si="36"/>
        <v>318.38876834819752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14</v>
      </c>
      <c r="BD19" s="12">
        <f>IF('Données projet'!$A$88&gt;35,BD18+BC19-BL18,IF(A19&lt;'Données projet'!$A$88,$BA$205^A19,IF(A19='Données projet'!$A$88,'Données projet'!$B$88,BD18+BC19-BL18)))</f>
        <v>61</v>
      </c>
      <c r="BE19" s="13">
        <f>BD19*VLOOKUP('Données projet'!$B$11,Paramètres!$A$1:$I$89,3,0)*VLOOKUP('Données projet'!$B$11,Paramètres!$A$1:$I$89,5,0)</f>
        <v>39.967199999999998</v>
      </c>
      <c r="BF19" s="13">
        <f t="shared" si="37"/>
        <v>11.989952848060867</v>
      </c>
      <c r="BG19" s="20">
        <f t="shared" si="7"/>
        <v>90.492041210372676</v>
      </c>
      <c r="BH19" s="59">
        <f t="shared" si="8"/>
        <v>383.825374543706</v>
      </c>
      <c r="BI19" s="59">
        <f ca="1">AVERAGE(OFFSET($BH$3,0,0,'Données projet'!$E$11+1,1))-AVERAGE(OFFSET($H$3,0,0,'Données projet'!$E$11+1,1))</f>
        <v>209.40885738157152</v>
      </c>
      <c r="BJ19" s="59">
        <f t="shared" si="38"/>
        <v>230.15385333954697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0.17713881283279909</v>
      </c>
      <c r="BR19" s="21">
        <f>EXP(-LN(2)/2)*BR18+(1-EXP(-LN(2)/2))/(LN(2)/2)*BL19*BO19*VLOOKUP('Données projet'!$B$11,Paramètres!$A$1:$I$89,3,0)*0.475*44/12</f>
        <v>0.67888133823309382</v>
      </c>
      <c r="BS19" s="22">
        <f t="shared" si="9"/>
        <v>0.85602015106589291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4.0628205128205126</v>
      </c>
      <c r="BY19" s="12">
        <f>IF('Données projet'!$A$114&gt;35,BY18+BX19-CG18,IF(A19&lt;'Données projet'!$A$114,$BV$205^A19,IF(A19='Données projet'!$A$114,'Données projet'!$B$114,BY18+BX19-CG18)))</f>
        <v>12.957048229201293</v>
      </c>
      <c r="BZ19" s="13">
        <f>BY19*VLOOKUP('Données projet'!$B$12,Paramètres!$A$1:$I$89,3,0)*VLOOKUP('Données projet'!$B$12,Paramètres!$A$1:$I$89,5,0)</f>
        <v>11.723537237781329</v>
      </c>
      <c r="CA19" s="13">
        <f t="shared" si="39"/>
        <v>4.0566944998610817</v>
      </c>
      <c r="CB19" s="20">
        <f t="shared" si="10"/>
        <v>27.483903609727193</v>
      </c>
      <c r="CC19" s="59">
        <f t="shared" si="11"/>
        <v>320.81723694306049</v>
      </c>
      <c r="CD19" s="59">
        <f ca="1">AVERAGE(OFFSET($CC$3,0,0,'Données projet'!$E$12+1,1))-AVERAGE(OFFSET($H$3,0,0,'Données projet'!$E$12+1,1))</f>
        <v>270.87836509222456</v>
      </c>
      <c r="CE19" s="59">
        <f t="shared" si="40"/>
        <v>205.24998237949734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8</v>
      </c>
      <c r="CT19" s="12">
        <f>IF('Données projet'!$A$140&gt;35,CT18+CS19-DB18,IF(A19&lt;'Données projet'!$A$140,$CQ$205^A19,IF(A19='Données projet'!$A$140,'Données projet'!$B$140,CT18+CS19-DB18)))</f>
        <v>54.999999999999993</v>
      </c>
      <c r="CU19" s="17">
        <f>CT19*VLOOKUP('Données projet'!$B$13,Paramètres!$A$1:$I$89,3,0)*VLOOKUP('Données projet'!$B$13,Paramètres!$A$1:$I$89,5,0)</f>
        <v>48.048000000000002</v>
      </c>
      <c r="CV19" s="13">
        <f t="shared" si="41"/>
        <v>14.108484750160615</v>
      </c>
      <c r="CW19" s="20">
        <f t="shared" si="13"/>
        <v>108.25587760652974</v>
      </c>
      <c r="CX19" s="59">
        <f t="shared" si="14"/>
        <v>401.58921093986305</v>
      </c>
      <c r="CY19" s="59">
        <f ca="1">AVERAGE(OFFSET($CX$3,0,0,'Données projet'!$E$13+1,1))-AVERAGE(OFFSET($H$3,0,0,'Données projet'!$E$13+1,1))</f>
        <v>207.4513063267579</v>
      </c>
      <c r="CZ19" s="59">
        <f t="shared" si="42"/>
        <v>191.63513530247218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151.54916666666668</v>
      </c>
      <c r="L20" s="12">
        <f>VLOOKUP(A20,'Données projet'!$A$35:$I$55,9,0)</f>
        <v>15.884551282051291</v>
      </c>
      <c r="M20" s="12">
        <f t="array" ref="M20">INDEX(L:L,MIN(IF(ISNUMBER(L20:L216),ROW(L20:L216),"")))</f>
        <v>15.884551282051291</v>
      </c>
      <c r="N20" s="13">
        <f>IF('Données projet'!$A$36&gt;35,N19+M20-V19,IF(A20&lt;'Données projet'!$A$36,$K$205^A20,IF(A20='Données projet'!$A$36,'Données projet'!$B$36,N19+M20-V19)))</f>
        <v>151.54916666666668</v>
      </c>
      <c r="O20" s="13">
        <f>N20*VLOOKUP('Données projet'!$B$9,Paramètres!$A$1:$I$89,3,0)*VLOOKUP('Données projet'!$B$9,Paramètres!$A$1:$I$89,5,0)</f>
        <v>77.071844200000015</v>
      </c>
      <c r="P20" s="13">
        <f t="shared" si="33"/>
        <v>21.419688488508918</v>
      </c>
      <c r="Q20" s="20">
        <f t="shared" si="2"/>
        <v>171.53941943248637</v>
      </c>
      <c r="R20" s="59">
        <f t="shared" si="0"/>
        <v>464.87275276581965</v>
      </c>
      <c r="S20" s="59">
        <f ca="1">AVERAGE(OFFSET($R$3,0,0,'Données projet'!$E$9+1,1))-AVERAGE(OFFSET($H$3,0,0,'Données projet'!$E$9+1,1))</f>
        <v>66.814714696519275</v>
      </c>
      <c r="T20" s="59">
        <f t="shared" si="34"/>
        <v>199.56746335788068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16</v>
      </c>
      <c r="AI20" s="13">
        <f>IF('Données projet'!$A$62&gt;35,AI19+AH20-AQ19,IF(A20&lt;'Données projet'!$A$62,$AF$205^A20,IF(A20='Données projet'!$A$62,'Données projet'!$B$62,AI19+AH20-AQ19)))</f>
        <v>75</v>
      </c>
      <c r="AJ20" s="13">
        <f>AI20*VLOOKUP('Données projet'!$B$10,Paramètres!$A$1:$I$89,3,0)*VLOOKUP('Données projet'!$B$10,Paramètres!$A$1:$I$89,5,0)</f>
        <v>59.67</v>
      </c>
      <c r="AK20" s="13">
        <f t="shared" si="35"/>
        <v>17.084807896591332</v>
      </c>
      <c r="AL20" s="20">
        <f t="shared" si="4"/>
        <v>133.68129041989656</v>
      </c>
      <c r="AM20" s="59">
        <f t="shared" si="5"/>
        <v>427.0146237532299</v>
      </c>
      <c r="AN20" s="59">
        <f ca="1">AVERAGE(OFFSET($AM$3,0,0,'Données projet'!$E$10+1,1))-AVERAGE(OFFSET($H$3,0,0,'Données projet'!$E$10+1,1))</f>
        <v>325.72928944930294</v>
      </c>
      <c r="AO20" s="59">
        <f t="shared" si="36"/>
        <v>318.38876834819752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14</v>
      </c>
      <c r="BD20" s="12">
        <f>IF('Données projet'!$A$88&gt;35,BD19+BC20-BL19,IF(A20&lt;'Données projet'!$A$88,$BA$205^A20,IF(A20='Données projet'!$A$88,'Données projet'!$B$88,BD19+BC20-BL19)))</f>
        <v>75</v>
      </c>
      <c r="BE20" s="13">
        <f>BD20*VLOOKUP('Données projet'!$B$11,Paramètres!$A$1:$I$89,3,0)*VLOOKUP('Données projet'!$B$11,Paramètres!$A$1:$I$89,5,0)</f>
        <v>49.14</v>
      </c>
      <c r="BF20" s="13">
        <f t="shared" si="37"/>
        <v>14.391437147300868</v>
      </c>
      <c r="BG20" s="20">
        <f t="shared" si="7"/>
        <v>110.65058636488233</v>
      </c>
      <c r="BH20" s="59">
        <f t="shared" si="8"/>
        <v>403.98391969821563</v>
      </c>
      <c r="BI20" s="59">
        <f ca="1">AVERAGE(OFFSET($BH$3,0,0,'Données projet'!$E$11+1,1))-AVERAGE(OFFSET($H$3,0,0,'Données projet'!$E$11+1,1))</f>
        <v>209.40885738157152</v>
      </c>
      <c r="BJ20" s="59">
        <f t="shared" si="38"/>
        <v>230.15385333954697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0.17229494268056089</v>
      </c>
      <c r="BR20" s="21">
        <f>EXP(-LN(2)/2)*BR19+(1-EXP(-LN(2)/2))/(LN(2)/2)*BL20*BO20*VLOOKUP('Données projet'!$B$11,Paramètres!$A$1:$I$89,3,0)*0.475*44/12</f>
        <v>0.48004159788561884</v>
      </c>
      <c r="BS20" s="22">
        <f t="shared" si="9"/>
        <v>0.65233654056617973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4.0628205128205126</v>
      </c>
      <c r="BY20" s="12">
        <f>IF('Données projet'!$A$114&gt;35,BY19+BX20-CG19,IF(A20&lt;'Données projet'!$A$114,$BV$205^A20,IF(A20='Données projet'!$A$114,'Données projet'!$B$114,BY19+BX20-CG19)))</f>
        <v>15.206795479203771</v>
      </c>
      <c r="BZ20" s="13">
        <f>BY20*VLOOKUP('Données projet'!$B$12,Paramètres!$A$1:$I$89,3,0)*VLOOKUP('Données projet'!$B$12,Paramètres!$A$1:$I$89,5,0)</f>
        <v>13.759108549583573</v>
      </c>
      <c r="CA20" s="13">
        <f t="shared" si="39"/>
        <v>4.6731578539740832</v>
      </c>
      <c r="CB20" s="20">
        <f t="shared" si="10"/>
        <v>32.102863986196247</v>
      </c>
      <c r="CC20" s="59">
        <f t="shared" si="11"/>
        <v>325.43619731952958</v>
      </c>
      <c r="CD20" s="59">
        <f ca="1">AVERAGE(OFFSET($CC$3,0,0,'Données projet'!$E$12+1,1))-AVERAGE(OFFSET($H$3,0,0,'Données projet'!$E$12+1,1))</f>
        <v>270.87836509222456</v>
      </c>
      <c r="CE20" s="59">
        <f t="shared" si="40"/>
        <v>205.24998237949734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8</v>
      </c>
      <c r="CT20" s="12">
        <f>IF('Données projet'!$A$140&gt;35,CT19+CS20-DB19,IF(A20&lt;'Données projet'!$A$140,$CQ$205^A20,IF(A20='Données projet'!$A$140,'Données projet'!$B$140,CT19+CS20-DB19)))</f>
        <v>62.999999999999993</v>
      </c>
      <c r="CU20" s="17">
        <f>CT20*VLOOKUP('Données projet'!$B$13,Paramètres!$A$1:$I$89,3,0)*VLOOKUP('Données projet'!$B$13,Paramètres!$A$1:$I$89,5,0)</f>
        <v>55.036800000000007</v>
      </c>
      <c r="CV20" s="13">
        <f t="shared" si="41"/>
        <v>15.907180538864345</v>
      </c>
      <c r="CW20" s="20">
        <f t="shared" si="13"/>
        <v>123.56076610518875</v>
      </c>
      <c r="CX20" s="59">
        <f t="shared" si="14"/>
        <v>416.89409943852206</v>
      </c>
      <c r="CY20" s="59">
        <f ca="1">AVERAGE(OFFSET($CX$3,0,0,'Données projet'!$E$13+1,1))-AVERAGE(OFFSET($H$3,0,0,'Données projet'!$E$13+1,1))</f>
        <v>207.4513063267579</v>
      </c>
      <c r="CZ20" s="59">
        <f t="shared" si="42"/>
        <v>191.63513530247218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167.69666666666663</v>
      </c>
      <c r="L21" s="12">
        <f>VLOOKUP(A21,'Données projet'!$A$35:$I$55,9,0)</f>
        <v>16.147499999999951</v>
      </c>
      <c r="M21" s="12">
        <f t="array" ref="M21">INDEX(L:L,MIN(IF(ISNUMBER(L21:L217),ROW(L21:L217),"")))</f>
        <v>16.147499999999951</v>
      </c>
      <c r="N21" s="13">
        <f>IF('Données projet'!$A$36&gt;35,N20+M21-V20,IF(A21&lt;'Données projet'!$A$36,$K$205^A21,IF(A21='Données projet'!$A$36,'Données projet'!$B$36,N20+M21-V20)))</f>
        <v>167.69666666666663</v>
      </c>
      <c r="O21" s="13">
        <f>N21*VLOOKUP('Données projet'!$B$9,Paramètres!$A$1:$I$89,3,0)*VLOOKUP('Données projet'!$B$9,Paramètres!$A$1:$I$89,5,0)</f>
        <v>85.283816799999983</v>
      </c>
      <c r="P21" s="13">
        <f t="shared" si="33"/>
        <v>23.424256654634469</v>
      </c>
      <c r="Q21" s="20">
        <f t="shared" si="2"/>
        <v>189.3332279334883</v>
      </c>
      <c r="R21" s="59">
        <f t="shared" si="0"/>
        <v>482.66656126682165</v>
      </c>
      <c r="S21" s="59">
        <f ca="1">AVERAGE(OFFSET($R$3,0,0,'Données projet'!$E$9+1,1))-AVERAGE(OFFSET($H$3,0,0,'Données projet'!$E$9+1,1))</f>
        <v>66.814714696519275</v>
      </c>
      <c r="T21" s="59">
        <f t="shared" si="34"/>
        <v>199.56746335788068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16</v>
      </c>
      <c r="AI21" s="13">
        <f>IF('Données projet'!$A$62&gt;35,AI20+AH21-AQ20,IF(A21&lt;'Données projet'!$A$62,$AF$205^A21,IF(A21='Données projet'!$A$62,'Données projet'!$B$62,AI20+AH21-AQ20)))</f>
        <v>91</v>
      </c>
      <c r="AJ21" s="13">
        <f>AI21*VLOOKUP('Données projet'!$B$10,Paramètres!$A$1:$I$89,3,0)*VLOOKUP('Données projet'!$B$10,Paramètres!$A$1:$I$89,5,0)</f>
        <v>72.399600000000007</v>
      </c>
      <c r="AK21" s="13">
        <f t="shared" si="35"/>
        <v>20.268188832715463</v>
      </c>
      <c r="AL21" s="20">
        <f t="shared" si="4"/>
        <v>161.39639888364613</v>
      </c>
      <c r="AM21" s="59">
        <f t="shared" si="5"/>
        <v>454.72973221697941</v>
      </c>
      <c r="AN21" s="59">
        <f ca="1">AVERAGE(OFFSET($AM$3,0,0,'Données projet'!$E$10+1,1))-AVERAGE(OFFSET($H$3,0,0,'Données projet'!$E$10+1,1))</f>
        <v>325.72928944930294</v>
      </c>
      <c r="AO21" s="59">
        <f t="shared" si="36"/>
        <v>318.38876834819752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14</v>
      </c>
      <c r="BD21" s="12">
        <f>IF('Données projet'!$A$88&gt;35,BD20+BC21-BL20,IF(A21&lt;'Données projet'!$A$88,$BA$205^A21,IF(A21='Données projet'!$A$88,'Données projet'!$B$88,BD20+BC21-BL20)))</f>
        <v>89</v>
      </c>
      <c r="BE21" s="13">
        <f>BD21*VLOOKUP('Données projet'!$B$11,Paramètres!$A$1:$I$89,3,0)*VLOOKUP('Données projet'!$B$11,Paramètres!$A$1:$I$89,5,0)</f>
        <v>58.312799999999996</v>
      </c>
      <c r="BF21" s="13">
        <f t="shared" si="37"/>
        <v>16.740986371230957</v>
      </c>
      <c r="BG21" s="20">
        <f t="shared" si="7"/>
        <v>130.71867792989391</v>
      </c>
      <c r="BH21" s="59">
        <f t="shared" si="8"/>
        <v>424.0520112632272</v>
      </c>
      <c r="BI21" s="59">
        <f ca="1">AVERAGE(OFFSET($BH$3,0,0,'Données projet'!$E$11+1,1))-AVERAGE(OFFSET($H$3,0,0,'Données projet'!$E$11+1,1))</f>
        <v>209.40885738157152</v>
      </c>
      <c r="BJ21" s="59">
        <f t="shared" si="38"/>
        <v>230.15385333954697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0.16758352841236371</v>
      </c>
      <c r="BR21" s="21">
        <f>EXP(-LN(2)/2)*BR20+(1-EXP(-LN(2)/2))/(LN(2)/2)*BL21*BO21*VLOOKUP('Données projet'!$B$11,Paramètres!$A$1:$I$89,3,0)*0.475*44/12</f>
        <v>0.33944066911654697</v>
      </c>
      <c r="BS21" s="22">
        <f t="shared" si="9"/>
        <v>0.5070241975289107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4.0628205128205126</v>
      </c>
      <c r="BY21" s="12">
        <f>IF('Données projet'!$A$114&gt;35,BY20+BX21-CG20,IF(A21&lt;'Données projet'!$A$114,$BV$205^A21,IF(A21='Données projet'!$A$114,'Données projet'!$B$114,BY20+BX21-CG20)))</f>
        <v>17.847168942782186</v>
      </c>
      <c r="BZ21" s="13">
        <f>BY21*VLOOKUP('Données projet'!$B$12,Paramètres!$A$1:$I$89,3,0)*VLOOKUP('Données projet'!$B$12,Paramètres!$A$1:$I$89,5,0)</f>
        <v>16.148118459429323</v>
      </c>
      <c r="CA21" s="13">
        <f t="shared" si="39"/>
        <v>5.3833002038747271</v>
      </c>
      <c r="CB21" s="20">
        <f t="shared" si="10"/>
        <v>37.500554171921223</v>
      </c>
      <c r="CC21" s="59">
        <f t="shared" si="11"/>
        <v>330.83388750525455</v>
      </c>
      <c r="CD21" s="59">
        <f ca="1">AVERAGE(OFFSET($CC$3,0,0,'Données projet'!$E$12+1,1))-AVERAGE(OFFSET($H$3,0,0,'Données projet'!$E$12+1,1))</f>
        <v>270.87836509222456</v>
      </c>
      <c r="CE21" s="59">
        <f t="shared" si="40"/>
        <v>205.24998237949734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8</v>
      </c>
      <c r="CT21" s="12">
        <f>IF('Données projet'!$A$140&gt;35,CT20+CS21-DB20,IF(A21&lt;'Données projet'!$A$140,$CQ$205^A21,IF(A21='Données projet'!$A$140,'Données projet'!$B$140,CT20+CS21-DB20)))</f>
        <v>71</v>
      </c>
      <c r="CU21" s="17">
        <f>CT21*VLOOKUP('Données projet'!$B$13,Paramètres!$A$1:$I$89,3,0)*VLOOKUP('Données projet'!$B$13,Paramètres!$A$1:$I$89,5,0)</f>
        <v>62.025600000000011</v>
      </c>
      <c r="CV21" s="13">
        <f t="shared" si="41"/>
        <v>17.679410406677221</v>
      </c>
      <c r="CW21" s="20">
        <f t="shared" si="13"/>
        <v>138.8195597916295</v>
      </c>
      <c r="CX21" s="59">
        <f t="shared" si="14"/>
        <v>432.15289312496282</v>
      </c>
      <c r="CY21" s="59">
        <f ca="1">AVERAGE(OFFSET($CX$3,0,0,'Données projet'!$E$13+1,1))-AVERAGE(OFFSET($H$3,0,0,'Données projet'!$E$13+1,1))</f>
        <v>207.4513063267579</v>
      </c>
      <c r="CZ21" s="59">
        <f t="shared" si="42"/>
        <v>191.63513530247218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184.00442307692299</v>
      </c>
      <c r="L22" s="12">
        <f>VLOOKUP(A22,'Données projet'!$A$35:$I$55,9,0)</f>
        <v>16.30775641025636</v>
      </c>
      <c r="M22" s="12">
        <f t="array" ref="M22">INDEX(L:L,MIN(IF(ISNUMBER(L22:L218),ROW(L22:L218),"")))</f>
        <v>16.30775641025636</v>
      </c>
      <c r="N22" s="13">
        <f>IF('Données projet'!$A$36&gt;35,N21+M22-V21,IF(A22&lt;'Données projet'!$A$36,$K$205^A22,IF(A22='Données projet'!$A$36,'Données projet'!$B$36,N21+M22-V21)))</f>
        <v>184.00442307692299</v>
      </c>
      <c r="O22" s="13">
        <f>N22*VLOOKUP('Données projet'!$B$9,Paramètres!$A$1:$I$89,3,0)*VLOOKUP('Données projet'!$B$9,Paramètres!$A$1:$I$89,5,0)</f>
        <v>93.57728939999997</v>
      </c>
      <c r="P22" s="13">
        <f t="shared" si="33"/>
        <v>25.426014145970452</v>
      </c>
      <c r="Q22" s="20">
        <f t="shared" si="2"/>
        <v>207.26408700923182</v>
      </c>
      <c r="R22" s="59">
        <f t="shared" si="0"/>
        <v>500.5974203425651</v>
      </c>
      <c r="S22" s="59">
        <f ca="1">AVERAGE(OFFSET($R$3,0,0,'Données projet'!$E$9+1,1))-AVERAGE(OFFSET($H$3,0,0,'Données projet'!$E$9+1,1))</f>
        <v>66.814714696519275</v>
      </c>
      <c r="T22" s="59">
        <f t="shared" si="34"/>
        <v>199.56746335788068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16</v>
      </c>
      <c r="AI22" s="13">
        <f>IF('Données projet'!$A$62&gt;35,AI21+AH22-AQ21,IF(A22&lt;'Données projet'!$A$62,$AF$205^A22,IF(A22='Données projet'!$A$62,'Données projet'!$B$62,AI21+AH22-AQ21)))</f>
        <v>107</v>
      </c>
      <c r="AJ22" s="13">
        <f>AI22*VLOOKUP('Données projet'!$B$10,Paramètres!$A$1:$I$89,3,0)*VLOOKUP('Données projet'!$B$10,Paramètres!$A$1:$I$89,5,0)</f>
        <v>85.129199999999997</v>
      </c>
      <c r="AK22" s="13">
        <f t="shared" si="35"/>
        <v>23.386728480923388</v>
      </c>
      <c r="AL22" s="20">
        <f t="shared" si="4"/>
        <v>188.99857543760822</v>
      </c>
      <c r="AM22" s="59">
        <f t="shared" si="5"/>
        <v>482.33190877094154</v>
      </c>
      <c r="AN22" s="59">
        <f ca="1">AVERAGE(OFFSET($AM$3,0,0,'Données projet'!$E$10+1,1))-AVERAGE(OFFSET($H$3,0,0,'Données projet'!$E$10+1,1))</f>
        <v>325.72928944930294</v>
      </c>
      <c r="AO22" s="59">
        <f t="shared" si="36"/>
        <v>318.38876834819752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14</v>
      </c>
      <c r="BD22" s="12">
        <f>IF('Données projet'!$A$88&gt;35,BD21+BC22-BL21,IF(A22&lt;'Données projet'!$A$88,$BA$205^A22,IF(A22='Données projet'!$A$88,'Données projet'!$B$88,BD21+BC22-BL21)))</f>
        <v>103</v>
      </c>
      <c r="BE22" s="13">
        <f>BD22*VLOOKUP('Données projet'!$B$11,Paramètres!$A$1:$I$89,3,0)*VLOOKUP('Données projet'!$B$11,Paramètres!$A$1:$I$89,5,0)</f>
        <v>67.485600000000005</v>
      </c>
      <c r="BF22" s="13">
        <f t="shared" si="37"/>
        <v>19.047720279466478</v>
      </c>
      <c r="BG22" s="20">
        <f t="shared" si="7"/>
        <v>150.71219948673746</v>
      </c>
      <c r="BH22" s="59">
        <f t="shared" si="8"/>
        <v>444.04553282007078</v>
      </c>
      <c r="BI22" s="59">
        <f ca="1">AVERAGE(OFFSET($BH$3,0,0,'Données projet'!$E$11+1,1))-AVERAGE(OFFSET($H$3,0,0,'Données projet'!$E$11+1,1))</f>
        <v>209.40885738157152</v>
      </c>
      <c r="BJ22" s="59">
        <f t="shared" si="38"/>
        <v>230.15385333954697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0.16300094801509288</v>
      </c>
      <c r="BR22" s="21">
        <f>EXP(-LN(2)/2)*BR21+(1-EXP(-LN(2)/2))/(LN(2)/2)*BL22*BO22*VLOOKUP('Données projet'!$B$11,Paramètres!$A$1:$I$89,3,0)*0.475*44/12</f>
        <v>0.24002079894280948</v>
      </c>
      <c r="BS22" s="22">
        <f t="shared" si="9"/>
        <v>0.40302174695790238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4.0628205128205126</v>
      </c>
      <c r="BY22" s="12">
        <f>IF('Données projet'!$A$114&gt;35,BY21+BX22-CG21,IF(A22&lt;'Données projet'!$A$114,$BV$205^A22,IF(A22='Données projet'!$A$114,'Données projet'!$B$114,BY21+BX22-CG21)))</f>
        <v>20.945993500590358</v>
      </c>
      <c r="BZ22" s="13">
        <f>BY22*VLOOKUP('Données projet'!$B$12,Paramètres!$A$1:$I$89,3,0)*VLOOKUP('Données projet'!$B$12,Paramètres!$A$1:$I$89,5,0)</f>
        <v>18.951934919334153</v>
      </c>
      <c r="CA22" s="13">
        <f t="shared" si="39"/>
        <v>6.2013571958398481</v>
      </c>
      <c r="CB22" s="20">
        <f t="shared" si="10"/>
        <v>43.808650433928051</v>
      </c>
      <c r="CC22" s="59">
        <f t="shared" si="11"/>
        <v>337.14198376726137</v>
      </c>
      <c r="CD22" s="59">
        <f ca="1">AVERAGE(OFFSET($CC$3,0,0,'Données projet'!$E$12+1,1))-AVERAGE(OFFSET($H$3,0,0,'Données projet'!$E$12+1,1))</f>
        <v>270.87836509222456</v>
      </c>
      <c r="CE22" s="59">
        <f t="shared" si="40"/>
        <v>205.24998237949734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8</v>
      </c>
      <c r="CT22" s="12">
        <f>IF('Données projet'!$A$140&gt;35,CT21+CS22-DB21,IF(A22&lt;'Données projet'!$A$140,$CQ$205^A22,IF(A22='Données projet'!$A$140,'Données projet'!$B$140,CT21+CS22-DB21)))</f>
        <v>79</v>
      </c>
      <c r="CU22" s="17">
        <f>CT22*VLOOKUP('Données projet'!$B$13,Paramètres!$A$1:$I$89,3,0)*VLOOKUP('Données projet'!$B$13,Paramètres!$A$1:$I$89,5,0)</f>
        <v>69.014400000000009</v>
      </c>
      <c r="CV22" s="13">
        <f t="shared" si="41"/>
        <v>19.428496726251055</v>
      </c>
      <c r="CW22" s="20">
        <f t="shared" si="13"/>
        <v>154.03804513155393</v>
      </c>
      <c r="CX22" s="59">
        <f t="shared" si="14"/>
        <v>447.37137846488724</v>
      </c>
      <c r="CY22" s="59">
        <f ca="1">AVERAGE(OFFSET($CX$3,0,0,'Données projet'!$E$13+1,1))-AVERAGE(OFFSET($H$3,0,0,'Données projet'!$E$13+1,1))</f>
        <v>207.4513063267579</v>
      </c>
      <c r="CZ22" s="59">
        <f t="shared" si="42"/>
        <v>191.63513530247218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200.36974358974356</v>
      </c>
      <c r="L23" s="12">
        <f>VLOOKUP(A23,'Données projet'!$A$35:$I$55,9,0)</f>
        <v>16.365320512820574</v>
      </c>
      <c r="M23" s="12">
        <f t="array" ref="M23">INDEX(L:L,MIN(IF(ISNUMBER(L23:L219),ROW(L23:L219),"")))</f>
        <v>16.365320512820574</v>
      </c>
      <c r="N23" s="13">
        <f>IF('Données projet'!$A$36&gt;35,N22+M23-V22,IF(A23&lt;'Données projet'!$A$36,$K$205^A23,IF(A23='Données projet'!$A$36,'Données projet'!$B$36,N22+M23-V22)))</f>
        <v>200.36974358974356</v>
      </c>
      <c r="O23" s="13">
        <f>N23*VLOOKUP('Données projet'!$B$9,Paramètres!$A$1:$I$89,3,0)*VLOOKUP('Données projet'!$B$9,Paramètres!$A$1:$I$89,5,0)</f>
        <v>101.9000368</v>
      </c>
      <c r="P23" s="13">
        <f t="shared" si="33"/>
        <v>27.414158060770966</v>
      </c>
      <c r="Q23" s="20">
        <f t="shared" si="2"/>
        <v>225.22222271584272</v>
      </c>
      <c r="R23" s="59">
        <f t="shared" si="0"/>
        <v>518.55555604917606</v>
      </c>
      <c r="S23" s="59">
        <f ca="1">AVERAGE(OFFSET($R$3,0,0,'Données projet'!$E$9+1,1))-AVERAGE(OFFSET($H$3,0,0,'Données projet'!$E$9+1,1))</f>
        <v>66.814714696519275</v>
      </c>
      <c r="T23" s="59">
        <f t="shared" si="34"/>
        <v>199.56746335788068</v>
      </c>
      <c r="U23" s="15" t="str">
        <f>IF(ISNA(VLOOKUP(A23,'Données projet'!$A$35:$I$55,3,0)),0,VLOOKUP(A23,'Données projet'!$A$35:$I$55,3,0))</f>
        <v>CR</v>
      </c>
      <c r="V23" s="15">
        <f>IF(ISNA(VLOOKUP(A23,'Données projet'!$A$35:$I$55,4,0)),0,VLOOKUP(A23,'Données projet'!$A$35:$I$55,4,0))</f>
        <v>200.36974358974356</v>
      </c>
      <c r="W23" s="16">
        <f>IF(ISNA(VLOOKUP(A23,'Données projet'!$A$35:$I$55,5,0)),0%,VLOOKUP(A23,'Données projet'!$A$35:$I$55,5,0)*VLOOKUP('Données projet'!$B$9,Paramètres!$A$1:$I$89,7,0))</f>
        <v>0.42</v>
      </c>
      <c r="X23" s="16">
        <f>IF(ISNA(VLOOKUP(A23,'Données projet'!$A$35:$I$55,6,0)),0%,VLOOKUP(A23,'Données projet'!$A$35:$I$55,6,0)*VLOOKUP('Données projet'!$B$9,Paramètres!$A$1:$I$89,7,0))</f>
        <v>0.09</v>
      </c>
      <c r="Y23" s="16">
        <f>IF(ISNA(VLOOKUP(A23,'Données projet'!$A$35:$I$55,7,0)),0%,VLOOKUP(A23,'Données projet'!$A$35:$I$55,7,0))</f>
        <v>0.15</v>
      </c>
      <c r="Z23" s="21">
        <f>EXP(-LN(2)/35)*Z22+(1-EXP(-LN(2)/35))/(LN(2)/35)*V23*W23*VLOOKUP('Données projet'!$B$9,Paramètres!$A$1:$I$89,3,0)*0.475*44/12</f>
        <v>47.311938389401384</v>
      </c>
      <c r="AA23" s="21">
        <f>EXP(-LN(2)/25)*AA22+(1-EXP(-LN(2)/25))/(LN(2)/25)*Calculateur!V23*Calculateur!X23*VLOOKUP('Données projet'!$B$9,Paramètres!$A$1:$I$89,3,0)*0.475*44/12</f>
        <v>10.0983542701501</v>
      </c>
      <c r="AB23" s="21">
        <f>EXP(-LN(2)/2)*AB22+(1-EXP(-LN(2)/2))/(LN(2)/2)*V23*Y23*VLOOKUP('Données projet'!$B$9,Paramètres!$A$1:$I$89,3,0)*0.475*44/12</f>
        <v>14.421814098011927</v>
      </c>
      <c r="AC23" s="22">
        <f t="shared" si="3"/>
        <v>71.832106757563409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123</v>
      </c>
      <c r="AG23" s="12">
        <f>VLOOKUP(A23,'Données projet'!$A$61:$I$81,9,0)</f>
        <v>16</v>
      </c>
      <c r="AH23" s="12">
        <f t="array" ref="AH23">INDEX(AG:AG,MIN(IF(ISNUMBER(AG23:AG219),ROW(AG23:AG219),"")))</f>
        <v>16</v>
      </c>
      <c r="AI23" s="13">
        <f>IF('Données projet'!$A$62&gt;35,AI22+AH23-AQ22,IF(A23&lt;'Données projet'!$A$62,$AF$205^A23,IF(A23='Données projet'!$A$62,'Données projet'!$B$62,AI22+AH23-AQ22)))</f>
        <v>123</v>
      </c>
      <c r="AJ23" s="13">
        <f>AI23*VLOOKUP('Données projet'!$B$10,Paramètres!$A$1:$I$89,3,0)*VLOOKUP('Données projet'!$B$10,Paramètres!$A$1:$I$89,5,0)</f>
        <v>97.858800000000016</v>
      </c>
      <c r="AK23" s="13">
        <f t="shared" si="35"/>
        <v>26.45124536158788</v>
      </c>
      <c r="AL23" s="20">
        <f t="shared" si="4"/>
        <v>216.50666233809889</v>
      </c>
      <c r="AM23" s="59">
        <f t="shared" si="5"/>
        <v>509.83999567143223</v>
      </c>
      <c r="AN23" s="59">
        <f ca="1">AVERAGE(OFFSET($AM$3,0,0,'Données projet'!$E$10+1,1))-AVERAGE(OFFSET($H$3,0,0,'Données projet'!$E$10+1,1))</f>
        <v>325.72928944930294</v>
      </c>
      <c r="AO23" s="59">
        <f t="shared" si="36"/>
        <v>318.38876834819752</v>
      </c>
      <c r="AP23" s="15">
        <f>IF(ISNA(VLOOKUP(A23,'Données projet'!$A$61:$I$81,3,0)),0,VLOOKUP(A23,'Données projet'!$A$61:$I$81,3,0))</f>
        <v>3</v>
      </c>
      <c r="AQ23" s="15">
        <f>IF(ISNA(VLOOKUP(A23,'Données projet'!$A$61:$I$81,4,0)),0,VLOOKUP(A23,'Données projet'!$A$61:$I$81,4,0))</f>
        <v>42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6.3600000000000004E-2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2.3401027810972939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2.3401027810972939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117</v>
      </c>
      <c r="BB23" s="12">
        <f>VLOOKUP(A23,'Données projet'!$A$87:$I$107,9,0)</f>
        <v>14</v>
      </c>
      <c r="BC23" s="12">
        <f t="array" ref="BC23">INDEX(BB:BB,MIN(IF(ISNUMBER(BB23:BB219),ROW(BB23:BB219),"")))</f>
        <v>14</v>
      </c>
      <c r="BD23" s="12">
        <f>IF('Données projet'!$A$88&gt;35,BD22+BC23-BL22,IF(A23&lt;'Données projet'!$A$88,$BA$205^A23,IF(A23='Données projet'!$A$88,'Données projet'!$B$88,BD22+BC23-BL22)))</f>
        <v>117</v>
      </c>
      <c r="BE23" s="13">
        <f>BD23*VLOOKUP('Données projet'!$B$11,Paramètres!$A$1:$I$89,3,0)*VLOOKUP('Données projet'!$B$11,Paramètres!$A$1:$I$89,5,0)</f>
        <v>76.6584</v>
      </c>
      <c r="BF23" s="13">
        <f t="shared" si="37"/>
        <v>21.318127749842347</v>
      </c>
      <c r="BG23" s="20">
        <f t="shared" si="7"/>
        <v>170.6424524976421</v>
      </c>
      <c r="BH23" s="59">
        <f t="shared" si="8"/>
        <v>463.97578583097538</v>
      </c>
      <c r="BI23" s="59">
        <f ca="1">AVERAGE(OFFSET($BH$3,0,0,'Données projet'!$E$11+1,1))-AVERAGE(OFFSET($H$3,0,0,'Données projet'!$E$11+1,1))</f>
        <v>209.40885738157152</v>
      </c>
      <c r="BJ23" s="59">
        <f t="shared" si="38"/>
        <v>230.15385333954697</v>
      </c>
      <c r="BK23" s="15">
        <f>IF(ISNA(VLOOKUP(A23,'Données projet'!$A$87:$I$107,3,0)),0,VLOOKUP(A23,'Données projet'!$A$87:$I$107,3,0))</f>
        <v>3</v>
      </c>
      <c r="BL23" s="15" t="str">
        <f>IF(ISNA(VLOOKUP(A23,'Données projet'!$A$87:$I$107,4,0)),0,VLOOKUP(A23,'Données projet'!$A$87:$I$107,4,0))</f>
        <v>12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4.3000000000000003E-2</v>
      </c>
      <c r="BO23" s="16">
        <f>IF(ISNA(VLOOKUP(A23,'Données projet'!$A$87:$I$107,7,0)),0%,VLOOKUP(A23,'Données projet'!$A$87:$I$107,7,0))</f>
        <v>0.3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0.53081308135804017</v>
      </c>
      <c r="BR23" s="21">
        <f>EXP(-LN(2)/2)*BR22+(1-EXP(-LN(2)/2))/(LN(2)/2)*BL23*BO23*VLOOKUP('Données projet'!$B$11,Paramètres!$A$1:$I$89,3,0)*0.475*44/12</f>
        <v>2.3952361385762946</v>
      </c>
      <c r="BS23" s="22">
        <f t="shared" si="9"/>
        <v>2.9260492199343346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4.0628205128205126</v>
      </c>
      <c r="BY23" s="12">
        <f>IF('Données projet'!$A$114&gt;35,BY22+BX23-CG22,IF(A23&lt;'Données projet'!$A$114,$BV$205^A23,IF(A23='Données projet'!$A$114,'Données projet'!$B$114,BY22+BX23-CG22)))</f>
        <v>24.582870545650774</v>
      </c>
      <c r="BZ23" s="13">
        <f>BY23*VLOOKUP('Données projet'!$B$12,Paramètres!$A$1:$I$89,3,0)*VLOOKUP('Données projet'!$B$12,Paramètres!$A$1:$I$89,5,0)</f>
        <v>22.242581269704818</v>
      </c>
      <c r="CA23" s="13">
        <f t="shared" si="39"/>
        <v>7.1437277532311274</v>
      </c>
      <c r="CB23" s="20">
        <f t="shared" si="10"/>
        <v>51.181154881613445</v>
      </c>
      <c r="CC23" s="59">
        <f t="shared" si="11"/>
        <v>344.51448821494677</v>
      </c>
      <c r="CD23" s="59">
        <f ca="1">AVERAGE(OFFSET($CC$3,0,0,'Données projet'!$E$12+1,1))-AVERAGE(OFFSET($H$3,0,0,'Données projet'!$E$12+1,1))</f>
        <v>270.87836509222456</v>
      </c>
      <c r="CE23" s="59">
        <f t="shared" si="40"/>
        <v>205.24998237949734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>
        <f>VLOOKUP(A23,'Données projet'!$A$139:$I$159,2,0)</f>
        <v>87</v>
      </c>
      <c r="CR23" s="12">
        <f>VLOOKUP(A23,'Données projet'!$A$139:$I$159,9,0)</f>
        <v>8</v>
      </c>
      <c r="CS23" s="12">
        <f t="array" ref="CS23">INDEX(CR:CR,MIN(IF(ISNUMBER(CR23:CR219),ROW(CR23:CR219),"")))</f>
        <v>8</v>
      </c>
      <c r="CT23" s="12">
        <f>IF('Données projet'!$A$140&gt;35,CT22+CS23-DB22,IF(A23&lt;'Données projet'!$A$140,$CQ$205^A23,IF(A23='Données projet'!$A$140,'Données projet'!$B$140,CT22+CS23-DB22)))</f>
        <v>87</v>
      </c>
      <c r="CU23" s="17">
        <f>CT23*VLOOKUP('Données projet'!$B$13,Paramètres!$A$1:$I$89,3,0)*VLOOKUP('Données projet'!$B$13,Paramètres!$A$1:$I$89,5,0)</f>
        <v>76.003200000000007</v>
      </c>
      <c r="CV23" s="13">
        <f t="shared" si="41"/>
        <v>21.157049992000456</v>
      </c>
      <c r="CW23" s="20">
        <f t="shared" si="13"/>
        <v>169.22076873606747</v>
      </c>
      <c r="CX23" s="59">
        <f t="shared" si="14"/>
        <v>462.55410206940076</v>
      </c>
      <c r="CY23" s="59">
        <f ca="1">AVERAGE(OFFSET($CX$3,0,0,'Données projet'!$E$13+1,1))-AVERAGE(OFFSET($H$3,0,0,'Données projet'!$E$13+1,1))</f>
        <v>207.4513063267579</v>
      </c>
      <c r="CZ23" s="59">
        <f t="shared" si="42"/>
        <v>191.63513530247218</v>
      </c>
      <c r="DA23" s="15">
        <f>IF(ISNA(VLOOKUP(A23,'Données projet'!$A$139:$I$159,3,0)),0,VLOOKUP(A23,'Données projet'!$A$139:$I$159,3,0))</f>
        <v>1</v>
      </c>
      <c r="DB23" s="15" t="str">
        <f>IF(ISNA(VLOOKUP(A23,'Données projet'!$A$139:$I$159,4,0)),0,VLOOKUP(A23,'Données projet'!$A$139:$I$159,4,0))</f>
        <v>29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0</v>
      </c>
      <c r="N24" s="13">
        <f>IF('Données projet'!$A$36&gt;35,N23+M24-V23,IF(A24&lt;'Données projet'!$A$36,$K$205^A24,IF(A24='Données projet'!$A$36,'Données projet'!$B$36,N23+M24-V23)))</f>
        <v>0</v>
      </c>
      <c r="O24" s="13">
        <f>N24*VLOOKUP('Données projet'!$B$9,Paramètres!$A$1:$I$89,3,0)*VLOOKUP('Données projet'!$B$9,Paramètres!$A$1:$I$89,5,0)</f>
        <v>0</v>
      </c>
      <c r="P24" s="13" t="e">
        <f t="shared" si="33"/>
        <v>#NUM!</v>
      </c>
      <c r="Q24" s="20" t="e">
        <f t="shared" si="2"/>
        <v>#NUM!</v>
      </c>
      <c r="R24" s="59" t="e">
        <f t="shared" si="0"/>
        <v>#NUM!</v>
      </c>
      <c r="S24" s="59">
        <f ca="1">AVERAGE(OFFSET($R$3,0,0,'Données projet'!$E$9+1,1))-AVERAGE(OFFSET($H$3,0,0,'Données projet'!$E$9+1,1))</f>
        <v>66.814714696519275</v>
      </c>
      <c r="T24" s="59">
        <f t="shared" si="34"/>
        <v>199.56746335788068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46.384180135018205</v>
      </c>
      <c r="AA24" s="21">
        <f>EXP(-LN(2)/25)*AA23+(1-EXP(-LN(2)/25))/(LN(2)/25)*Calculateur!V24*Calculateur!X24*VLOOKUP('Données projet'!$B$9,Paramètres!$A$1:$I$89,3,0)*0.475*44/12</f>
        <v>9.8222142415834739</v>
      </c>
      <c r="AB24" s="21">
        <f>EXP(-LN(2)/2)*AB23+(1-EXP(-LN(2)/2))/(LN(2)/2)*V24*Y24*VLOOKUP('Données projet'!$B$9,Paramètres!$A$1:$I$89,3,0)*0.475*44/12</f>
        <v>10.197762545715987</v>
      </c>
      <c r="AC24" s="22">
        <f t="shared" si="3"/>
        <v>66.404156922317668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16.8</v>
      </c>
      <c r="AI24" s="13">
        <f>IF('Données projet'!$A$62&gt;35,AI23+AH24-AQ23,IF(A24&lt;'Données projet'!$A$62,$AF$205^A24,IF(A24='Données projet'!$A$62,'Données projet'!$B$62,AI23+AH24-AQ23)))</f>
        <v>97.800000000000011</v>
      </c>
      <c r="AJ24" s="13">
        <f>AI24*VLOOKUP('Données projet'!$B$10,Paramètres!$A$1:$I$89,3,0)*VLOOKUP('Données projet'!$B$10,Paramètres!$A$1:$I$89,5,0)</f>
        <v>77.809680000000014</v>
      </c>
      <c r="AK24" s="13">
        <f t="shared" si="35"/>
        <v>21.600777311280577</v>
      </c>
      <c r="AL24" s="20">
        <f t="shared" si="4"/>
        <v>173.13987981714703</v>
      </c>
      <c r="AM24" s="59">
        <f t="shared" si="5"/>
        <v>466.47321315048032</v>
      </c>
      <c r="AN24" s="59">
        <f ca="1">AVERAGE(OFFSET($AM$3,0,0,'Données projet'!$E$10+1,1))-AVERAGE(OFFSET($H$3,0,0,'Données projet'!$E$10+1,1))</f>
        <v>325.72928944930294</v>
      </c>
      <c r="AO24" s="59">
        <f t="shared" si="36"/>
        <v>318.38876834819752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2.2761125474875317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2.2761125474875317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11</v>
      </c>
      <c r="BD24" s="12">
        <f>IF('Données projet'!$A$88&gt;35,BD23+BC24-BL23,IF(A24&lt;'Données projet'!$A$88,$BA$205^A24,IF(A24='Données projet'!$A$88,'Données projet'!$B$88,BD23+BC24-BL23)))</f>
        <v>116</v>
      </c>
      <c r="BE24" s="13">
        <f>BD24*VLOOKUP('Données projet'!$B$11,Paramètres!$A$1:$I$89,3,0)*VLOOKUP('Données projet'!$B$11,Paramètres!$A$1:$I$89,5,0)</f>
        <v>76.003200000000007</v>
      </c>
      <c r="BF24" s="13">
        <f t="shared" si="37"/>
        <v>21.157049992000456</v>
      </c>
      <c r="BG24" s="20">
        <f t="shared" si="7"/>
        <v>169.22076873606747</v>
      </c>
      <c r="BH24" s="59">
        <f t="shared" si="8"/>
        <v>462.55410206940076</v>
      </c>
      <c r="BI24" s="59">
        <f ca="1">AVERAGE(OFFSET($BH$3,0,0,'Données projet'!$E$11+1,1))-AVERAGE(OFFSET($H$3,0,0,'Données projet'!$E$11+1,1))</f>
        <v>209.40885738157152</v>
      </c>
      <c r="BJ24" s="59">
        <f t="shared" si="38"/>
        <v>230.15385333954697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0.51629796973405784</v>
      </c>
      <c r="BR24" s="21">
        <f>EXP(-LN(2)/2)*BR23+(1-EXP(-LN(2)/2))/(LN(2)/2)*BL24*BO24*VLOOKUP('Données projet'!$B$11,Paramètres!$A$1:$I$89,3,0)*0.475*44/12</f>
        <v>1.6936877161303792</v>
      </c>
      <c r="BS24" s="22">
        <f t="shared" si="9"/>
        <v>2.2099856858644369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4.0628205128205126</v>
      </c>
      <c r="BY24" s="12">
        <f>IF('Données projet'!$A$114&gt;35,BY23+BX24-CG23,IF(A24&lt;'Données projet'!$A$114,$BV$205^A24,IF(A24='Données projet'!$A$114,'Données projet'!$B$114,BY23+BX24-CG23)))</f>
        <v>28.851222752799568</v>
      </c>
      <c r="BZ24" s="13">
        <f>BY24*VLOOKUP('Données projet'!$B$12,Paramètres!$A$1:$I$89,3,0)*VLOOKUP('Données projet'!$B$12,Paramètres!$A$1:$I$89,5,0)</f>
        <v>26.104586346733051</v>
      </c>
      <c r="CA24" s="13">
        <f t="shared" si="39"/>
        <v>8.2293028123778775</v>
      </c>
      <c r="CB24" s="20">
        <f t="shared" si="10"/>
        <v>59.798190285451518</v>
      </c>
      <c r="CC24" s="59">
        <f t="shared" si="11"/>
        <v>353.13152361878485</v>
      </c>
      <c r="CD24" s="59">
        <f ca="1">AVERAGE(OFFSET($CC$3,0,0,'Données projet'!$E$12+1,1))-AVERAGE(OFFSET($H$3,0,0,'Données projet'!$E$12+1,1))</f>
        <v>270.87836509222456</v>
      </c>
      <c r="CE24" s="59">
        <f t="shared" si="40"/>
        <v>205.24998237949734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8</v>
      </c>
      <c r="CT24" s="12">
        <f>IF('Données projet'!$A$140&gt;35,CT23+CS24-DB23,IF(A24&lt;'Données projet'!$A$140,$CQ$205^A24,IF(A24='Données projet'!$A$140,'Données projet'!$B$140,CT23+CS24-DB23)))</f>
        <v>66</v>
      </c>
      <c r="CU24" s="17">
        <f>CT24*VLOOKUP('Données projet'!$B$13,Paramètres!$A$1:$I$89,3,0)*VLOOKUP('Données projet'!$B$13,Paramètres!$A$1:$I$89,5,0)</f>
        <v>57.657600000000002</v>
      </c>
      <c r="CV24" s="13">
        <f t="shared" si="41"/>
        <v>16.574671209026025</v>
      </c>
      <c r="CW24" s="20">
        <f t="shared" si="13"/>
        <v>129.28787235572034</v>
      </c>
      <c r="CX24" s="59">
        <f t="shared" si="14"/>
        <v>422.62120568905368</v>
      </c>
      <c r="CY24" s="59">
        <f ca="1">AVERAGE(OFFSET($CX$3,0,0,'Données projet'!$E$13+1,1))-AVERAGE(OFFSET($H$3,0,0,'Données projet'!$E$13+1,1))</f>
        <v>207.4513063267579</v>
      </c>
      <c r="CZ24" s="59">
        <f t="shared" si="42"/>
        <v>191.63513530247218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0</v>
      </c>
      <c r="N25" s="13">
        <f>IF('Données projet'!$A$36&gt;35,N24+M25-V24,IF(A25&lt;'Données projet'!$A$36,$K$205^A25,IF(A25='Données projet'!$A$36,'Données projet'!$B$36,N24+M25-V24)))</f>
        <v>0</v>
      </c>
      <c r="O25" s="13">
        <f>N25*VLOOKUP('Données projet'!$B$9,Paramètres!$A$1:$I$89,3,0)*VLOOKUP('Données projet'!$B$9,Paramètres!$A$1:$I$89,5,0)</f>
        <v>0</v>
      </c>
      <c r="P25" s="13" t="e">
        <f t="shared" si="33"/>
        <v>#NUM!</v>
      </c>
      <c r="Q25" s="20" t="e">
        <f t="shared" si="2"/>
        <v>#NUM!</v>
      </c>
      <c r="R25" s="59" t="e">
        <f t="shared" si="0"/>
        <v>#NUM!</v>
      </c>
      <c r="S25" s="59">
        <f ca="1">AVERAGE(OFFSET($R$3,0,0,'Données projet'!$E$9+1,1))-AVERAGE(OFFSET($H$3,0,0,'Données projet'!$E$9+1,1))</f>
        <v>66.814714696519275</v>
      </c>
      <c r="T25" s="59">
        <f t="shared" si="34"/>
        <v>199.56746335788068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45.474614654126825</v>
      </c>
      <c r="AA25" s="21">
        <f>EXP(-LN(2)/25)*AA24+(1-EXP(-LN(2)/25))/(LN(2)/25)*Calculateur!V25*Calculateur!X25*VLOOKUP('Données projet'!$B$9,Paramètres!$A$1:$I$89,3,0)*0.475*44/12</f>
        <v>9.5536252766195755</v>
      </c>
      <c r="AB25" s="21">
        <f>EXP(-LN(2)/2)*AB24+(1-EXP(-LN(2)/2))/(LN(2)/2)*V25*Y25*VLOOKUP('Données projet'!$B$9,Paramètres!$A$1:$I$89,3,0)*0.475*44/12</f>
        <v>7.2109070490059652</v>
      </c>
      <c r="AC25" s="22">
        <f t="shared" si="3"/>
        <v>62.23914697975237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16.8</v>
      </c>
      <c r="AI25" s="13">
        <f>IF('Données projet'!$A$62&gt;35,AI24+AH25-AQ24,IF(A25&lt;'Données projet'!$A$62,$AF$205^A25,IF(A25='Données projet'!$A$62,'Données projet'!$B$62,AI24+AH25-AQ24)))</f>
        <v>114.60000000000001</v>
      </c>
      <c r="AJ25" s="13">
        <f>AI25*VLOOKUP('Données projet'!$B$10,Paramètres!$A$1:$I$89,3,0)*VLOOKUP('Données projet'!$B$10,Paramètres!$A$1:$I$89,5,0)</f>
        <v>91.175760000000011</v>
      </c>
      <c r="AK25" s="13">
        <f t="shared" si="35"/>
        <v>24.848575433138123</v>
      </c>
      <c r="AL25" s="20">
        <f t="shared" si="4"/>
        <v>202.07571754604893</v>
      </c>
      <c r="AM25" s="59">
        <f t="shared" si="5"/>
        <v>495.40905087938222</v>
      </c>
      <c r="AN25" s="59">
        <f ca="1">AVERAGE(OFFSET($AM$3,0,0,'Données projet'!$E$10+1,1))-AVERAGE(OFFSET($H$3,0,0,'Données projet'!$E$10+1,1))</f>
        <v>325.72928944930294</v>
      </c>
      <c r="AO25" s="59">
        <f t="shared" si="36"/>
        <v>318.38876834819752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2.2138721301809285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2.2138721301809285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11</v>
      </c>
      <c r="BD25" s="12">
        <f>IF('Données projet'!$A$88&gt;35,BD24+BC25-BL24,IF(A25&lt;'Données projet'!$A$88,$BA$205^A25,IF(A25='Données projet'!$A$88,'Données projet'!$B$88,BD24+BC25-BL24)))</f>
        <v>127</v>
      </c>
      <c r="BE25" s="13">
        <f>BD25*VLOOKUP('Données projet'!$B$11,Paramètres!$A$1:$I$89,3,0)*VLOOKUP('Données projet'!$B$11,Paramètres!$A$1:$I$89,5,0)</f>
        <v>83.210399999999993</v>
      </c>
      <c r="BF25" s="13">
        <f t="shared" si="37"/>
        <v>22.920337105048574</v>
      </c>
      <c r="BG25" s="20">
        <f t="shared" si="7"/>
        <v>184.84436712462625</v>
      </c>
      <c r="BH25" s="59">
        <f t="shared" si="8"/>
        <v>478.17770045795953</v>
      </c>
      <c r="BI25" s="59">
        <f ca="1">AVERAGE(OFFSET($BH$3,0,0,'Données projet'!$E$11+1,1))-AVERAGE(OFFSET($H$3,0,0,'Données projet'!$E$11+1,1))</f>
        <v>209.40885738157152</v>
      </c>
      <c r="BJ25" s="59">
        <f t="shared" si="38"/>
        <v>230.15385333954697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0.50217977460074981</v>
      </c>
      <c r="BR25" s="21">
        <f>EXP(-LN(2)/2)*BR24+(1-EXP(-LN(2)/2))/(LN(2)/2)*BL25*BO25*VLOOKUP('Données projet'!$B$11,Paramètres!$A$1:$I$89,3,0)*0.475*44/12</f>
        <v>1.1976180692881475</v>
      </c>
      <c r="BS25" s="22">
        <f t="shared" si="9"/>
        <v>1.6997978438888972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4.0628205128205126</v>
      </c>
      <c r="BY25" s="12">
        <f>IF('Données projet'!$A$114&gt;35,BY24+BX25-CG24,IF(A25&lt;'Données projet'!$A$114,$BV$205^A25,IF(A25='Données projet'!$A$114,'Données projet'!$B$114,BY24+BX25-CG24)))</f>
        <v>33.860693883812012</v>
      </c>
      <c r="BZ25" s="13">
        <f>BY25*VLOOKUP('Données projet'!$B$12,Paramètres!$A$1:$I$89,3,0)*VLOOKUP('Données projet'!$B$12,Paramètres!$A$1:$I$89,5,0)</f>
        <v>30.637155826073108</v>
      </c>
      <c r="CA25" s="13">
        <f t="shared" si="39"/>
        <v>9.4798440138175533</v>
      </c>
      <c r="CB25" s="20">
        <f t="shared" si="10"/>
        <v>69.870441387809549</v>
      </c>
      <c r="CC25" s="59">
        <f t="shared" si="11"/>
        <v>363.20377472114285</v>
      </c>
      <c r="CD25" s="59">
        <f ca="1">AVERAGE(OFFSET($CC$3,0,0,'Données projet'!$E$12+1,1))-AVERAGE(OFFSET($H$3,0,0,'Données projet'!$E$12+1,1))</f>
        <v>270.87836509222456</v>
      </c>
      <c r="CE25" s="59">
        <f t="shared" si="40"/>
        <v>205.24998237949734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8</v>
      </c>
      <c r="CT25" s="12">
        <f>IF('Données projet'!$A$140&gt;35,CT24+CS25-DB24,IF(A25&lt;'Données projet'!$A$140,$CQ$205^A25,IF(A25='Données projet'!$A$140,'Données projet'!$B$140,CT24+CS25-DB24)))</f>
        <v>74</v>
      </c>
      <c r="CU25" s="17">
        <f>CT25*VLOOKUP('Données projet'!$B$13,Paramètres!$A$1:$I$89,3,0)*VLOOKUP('Données projet'!$B$13,Paramètres!$A$1:$I$89,5,0)</f>
        <v>64.646400000000014</v>
      </c>
      <c r="CV25" s="13">
        <f t="shared" si="41"/>
        <v>18.337876695493666</v>
      </c>
      <c r="CW25" s="20">
        <f t="shared" si="13"/>
        <v>144.53094857798482</v>
      </c>
      <c r="CX25" s="59">
        <f t="shared" si="14"/>
        <v>437.86428191131813</v>
      </c>
      <c r="CY25" s="59">
        <f ca="1">AVERAGE(OFFSET($CX$3,0,0,'Données projet'!$E$13+1,1))-AVERAGE(OFFSET($H$3,0,0,'Données projet'!$E$13+1,1))</f>
        <v>207.4513063267579</v>
      </c>
      <c r="CZ25" s="59">
        <f t="shared" si="42"/>
        <v>191.63513530247218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0</v>
      </c>
      <c r="N26" s="13">
        <f>IF('Données projet'!$A$36&gt;35,N25+M26-V25,IF(A26&lt;'Données projet'!$A$36,$K$205^A26,IF(A26='Données projet'!$A$36,'Données projet'!$B$36,N25+M26-V25)))</f>
        <v>0</v>
      </c>
      <c r="O26" s="13">
        <f>N26*VLOOKUP('Données projet'!$B$9,Paramètres!$A$1:$I$89,3,0)*VLOOKUP('Données projet'!$B$9,Paramètres!$A$1:$I$89,5,0)</f>
        <v>0</v>
      </c>
      <c r="P26" s="13" t="e">
        <f t="shared" si="33"/>
        <v>#NUM!</v>
      </c>
      <c r="Q26" s="20" t="e">
        <f t="shared" si="2"/>
        <v>#NUM!</v>
      </c>
      <c r="R26" s="59" t="e">
        <f t="shared" si="0"/>
        <v>#NUM!</v>
      </c>
      <c r="S26" s="59">
        <f ca="1">AVERAGE(OFFSET($R$3,0,0,'Données projet'!$E$9+1,1))-AVERAGE(OFFSET($H$3,0,0,'Données projet'!$E$9+1,1))</f>
        <v>66.814714696519275</v>
      </c>
      <c r="T26" s="59">
        <f t="shared" si="34"/>
        <v>199.56746335788068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44.58288519753556</v>
      </c>
      <c r="AA26" s="21">
        <f>EXP(-LN(2)/25)*AA25+(1-EXP(-LN(2)/25))/(LN(2)/25)*Calculateur!V26*Calculateur!X26*VLOOKUP('Données projet'!$B$9,Paramètres!$A$1:$I$89,3,0)*0.475*44/12</f>
        <v>9.2923808910270953</v>
      </c>
      <c r="AB26" s="21">
        <f>EXP(-LN(2)/2)*AB25+(1-EXP(-LN(2)/2))/(LN(2)/2)*V26*Y26*VLOOKUP('Données projet'!$B$9,Paramètres!$A$1:$I$89,3,0)*0.475*44/12</f>
        <v>5.0988812728579944</v>
      </c>
      <c r="AC26" s="22">
        <f t="shared" si="3"/>
        <v>58.974147361420648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16.8</v>
      </c>
      <c r="AI26" s="13">
        <f>IF('Données projet'!$A$62&gt;35,AI25+AH26-AQ25,IF(A26&lt;'Données projet'!$A$62,$AF$205^A26,IF(A26='Données projet'!$A$62,'Données projet'!$B$62,AI25+AH26-AQ25)))</f>
        <v>131.4</v>
      </c>
      <c r="AJ26" s="13">
        <f>AI26*VLOOKUP('Données projet'!$B$10,Paramètres!$A$1:$I$89,3,0)*VLOOKUP('Données projet'!$B$10,Paramètres!$A$1:$I$89,5,0)</f>
        <v>104.54184000000002</v>
      </c>
      <c r="AK26" s="13">
        <f t="shared" si="35"/>
        <v>28.041215323191079</v>
      </c>
      <c r="AL26" s="20">
        <f t="shared" si="4"/>
        <v>230.91548802122449</v>
      </c>
      <c r="AM26" s="59">
        <f t="shared" si="5"/>
        <v>524.24882135455778</v>
      </c>
      <c r="AN26" s="59">
        <f ca="1">AVERAGE(OFFSET($AM$3,0,0,'Données projet'!$E$10+1,1))-AVERAGE(OFFSET($H$3,0,0,'Données projet'!$E$10+1,1))</f>
        <v>325.72928944930294</v>
      </c>
      <c r="AO26" s="59">
        <f t="shared" si="36"/>
        <v>318.38876834819752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2.1533336803586556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2.1533336803586556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11</v>
      </c>
      <c r="BD26" s="12">
        <f>IF('Données projet'!$A$88&gt;35,BD25+BC26-BL25,IF(A26&lt;'Données projet'!$A$88,$BA$205^A26,IF(A26='Données projet'!$A$88,'Données projet'!$B$88,BD25+BC26-BL25)))</f>
        <v>138</v>
      </c>
      <c r="BE26" s="13">
        <f>BD26*VLOOKUP('Données projet'!$B$11,Paramètres!$A$1:$I$89,3,0)*VLOOKUP('Données projet'!$B$11,Paramètres!$A$1:$I$89,5,0)</f>
        <v>90.417600000000007</v>
      </c>
      <c r="BF26" s="13">
        <f t="shared" si="37"/>
        <v>24.665912907068826</v>
      </c>
      <c r="BG26" s="20">
        <f t="shared" si="7"/>
        <v>200.43711831314488</v>
      </c>
      <c r="BH26" s="59">
        <f t="shared" si="8"/>
        <v>493.77045164647819</v>
      </c>
      <c r="BI26" s="59">
        <f ca="1">AVERAGE(OFFSET($BH$3,0,0,'Données projet'!$E$11+1,1))-AVERAGE(OFFSET($H$3,0,0,'Données projet'!$E$11+1,1))</f>
        <v>209.40885738157152</v>
      </c>
      <c r="BJ26" s="59">
        <f t="shared" si="38"/>
        <v>230.15385333954697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0.48844764225580573</v>
      </c>
      <c r="BR26" s="21">
        <f>EXP(-LN(2)/2)*BR25+(1-EXP(-LN(2)/2))/(LN(2)/2)*BL26*BO26*VLOOKUP('Données projet'!$B$11,Paramètres!$A$1:$I$89,3,0)*0.475*44/12</f>
        <v>0.84684385806518969</v>
      </c>
      <c r="BS26" s="22">
        <f t="shared" si="9"/>
        <v>1.3352915003209955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4.0628205128205126</v>
      </c>
      <c r="BY26" s="12">
        <f>IF('Données projet'!$A$114&gt;35,BY25+BX26-CG25,IF(A26&lt;'Données projet'!$A$114,$BV$205^A26,IF(A26='Données projet'!$A$114,'Données projet'!$B$114,BY25+BX26-CG25)))</f>
        <v>39.739965273463824</v>
      </c>
      <c r="BZ26" s="13">
        <f>BY26*VLOOKUP('Données projet'!$B$12,Paramètres!$A$1:$I$89,3,0)*VLOOKUP('Données projet'!$B$12,Paramètres!$A$1:$I$89,5,0)</f>
        <v>35.956720579430062</v>
      </c>
      <c r="CA26" s="13">
        <f t="shared" si="39"/>
        <v>10.920419940209383</v>
      </c>
      <c r="CB26" s="20">
        <f t="shared" si="10"/>
        <v>81.644353071705368</v>
      </c>
      <c r="CC26" s="59">
        <f t="shared" si="11"/>
        <v>374.9776864050387</v>
      </c>
      <c r="CD26" s="59">
        <f ca="1">AVERAGE(OFFSET($CC$3,0,0,'Données projet'!$E$12+1,1))-AVERAGE(OFFSET($H$3,0,0,'Données projet'!$E$12+1,1))</f>
        <v>270.87836509222456</v>
      </c>
      <c r="CE26" s="59">
        <f t="shared" si="40"/>
        <v>205.24998237949734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8</v>
      </c>
      <c r="CT26" s="12">
        <f>IF('Données projet'!$A$140&gt;35,CT25+CS26-DB25,IF(A26&lt;'Données projet'!$A$140,$CQ$205^A26,IF(A26='Données projet'!$A$140,'Données projet'!$B$140,CT25+CS26-DB25)))</f>
        <v>82</v>
      </c>
      <c r="CU26" s="17">
        <f>CT26*VLOOKUP('Données projet'!$B$13,Paramètres!$A$1:$I$89,3,0)*VLOOKUP('Données projet'!$B$13,Paramètres!$A$1:$I$89,5,0)</f>
        <v>71.635200000000012</v>
      </c>
      <c r="CV26" s="13">
        <f t="shared" si="41"/>
        <v>20.078988020012648</v>
      </c>
      <c r="CW26" s="20">
        <f t="shared" si="13"/>
        <v>159.73554413485536</v>
      </c>
      <c r="CX26" s="59">
        <f t="shared" si="14"/>
        <v>453.0688774681887</v>
      </c>
      <c r="CY26" s="59">
        <f ca="1">AVERAGE(OFFSET($CX$3,0,0,'Données projet'!$E$13+1,1))-AVERAGE(OFFSET($H$3,0,0,'Données projet'!$E$13+1,1))</f>
        <v>207.4513063267579</v>
      </c>
      <c r="CZ26" s="59">
        <f t="shared" si="42"/>
        <v>191.63513530247218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0</v>
      </c>
      <c r="N27" s="13">
        <f>IF('Données projet'!$A$36&gt;35,N26+M27-V26,IF(A27&lt;'Données projet'!$A$36,$K$205^A27,IF(A27='Données projet'!$A$36,'Données projet'!$B$36,N26+M27-V26)))</f>
        <v>0</v>
      </c>
      <c r="O27" s="13">
        <f>N27*VLOOKUP('Données projet'!$B$9,Paramètres!$A$1:$I$89,3,0)*VLOOKUP('Données projet'!$B$9,Paramètres!$A$1:$I$89,5,0)</f>
        <v>0</v>
      </c>
      <c r="P27" s="13" t="e">
        <f t="shared" si="33"/>
        <v>#NUM!</v>
      </c>
      <c r="Q27" s="20" t="e">
        <f t="shared" si="2"/>
        <v>#NUM!</v>
      </c>
      <c r="R27" s="59" t="e">
        <f t="shared" si="0"/>
        <v>#NUM!</v>
      </c>
      <c r="S27" s="59">
        <f ca="1">AVERAGE(OFFSET($R$3,0,0,'Données projet'!$E$9+1,1))-AVERAGE(OFFSET($H$3,0,0,'Données projet'!$E$9+1,1))</f>
        <v>66.814714696519275</v>
      </c>
      <c r="T27" s="59">
        <f t="shared" si="34"/>
        <v>199.56746335788068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43.708642011686784</v>
      </c>
      <c r="AA27" s="21">
        <f>EXP(-LN(2)/25)*AA26+(1-EXP(-LN(2)/25))/(LN(2)/25)*Calculateur!V27*Calculateur!X27*VLOOKUP('Données projet'!$B$9,Paramètres!$A$1:$I$89,3,0)*0.475*44/12</f>
        <v>9.0382802468968855</v>
      </c>
      <c r="AB27" s="21">
        <f>EXP(-LN(2)/2)*AB26+(1-EXP(-LN(2)/2))/(LN(2)/2)*V27*Y27*VLOOKUP('Données projet'!$B$9,Paramètres!$A$1:$I$89,3,0)*0.475*44/12</f>
        <v>3.6054535245029831</v>
      </c>
      <c r="AC27" s="22">
        <f t="shared" si="3"/>
        <v>56.35237578308665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16.8</v>
      </c>
      <c r="AI27" s="13">
        <f>IF('Données projet'!$A$62&gt;35,AI26+AH27-AQ26,IF(A27&lt;'Données projet'!$A$62,$AF$205^A27,IF(A27='Données projet'!$A$62,'Données projet'!$B$62,AI26+AH27-AQ26)))</f>
        <v>148.20000000000002</v>
      </c>
      <c r="AJ27" s="13">
        <f>AI27*VLOOKUP('Données projet'!$B$10,Paramètres!$A$1:$I$89,3,0)*VLOOKUP('Données projet'!$B$10,Paramètres!$A$1:$I$89,5,0)</f>
        <v>117.90792000000002</v>
      </c>
      <c r="AK27" s="13">
        <f t="shared" si="35"/>
        <v>31.186557651984323</v>
      </c>
      <c r="AL27" s="20">
        <f t="shared" si="4"/>
        <v>259.67288191053939</v>
      </c>
      <c r="AM27" s="59">
        <f t="shared" si="5"/>
        <v>553.0062152438727</v>
      </c>
      <c r="AN27" s="59">
        <f ca="1">AVERAGE(OFFSET($AM$3,0,0,'Données projet'!$E$10+1,1))-AVERAGE(OFFSET($H$3,0,0,'Données projet'!$E$10+1,1))</f>
        <v>325.72928944930294</v>
      </c>
      <c r="AO27" s="59">
        <f t="shared" si="36"/>
        <v>318.38876834819752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2.0944506576303512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2.0944506576303512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11</v>
      </c>
      <c r="BD27" s="12">
        <f>IF('Données projet'!$A$88&gt;35,BD26+BC27-BL26,IF(A27&lt;'Données projet'!$A$88,$BA$205^A27,IF(A27='Données projet'!$A$88,'Données projet'!$B$88,BD26+BC27-BL26)))</f>
        <v>149</v>
      </c>
      <c r="BE27" s="13">
        <f>BD27*VLOOKUP('Données projet'!$B$11,Paramètres!$A$1:$I$89,3,0)*VLOOKUP('Données projet'!$B$11,Paramètres!$A$1:$I$89,5,0)</f>
        <v>97.624800000000008</v>
      </c>
      <c r="BF27" s="13">
        <f t="shared" si="37"/>
        <v>26.395349675372152</v>
      </c>
      <c r="BG27" s="20">
        <f t="shared" si="7"/>
        <v>216.00176068460652</v>
      </c>
      <c r="BH27" s="59">
        <f t="shared" si="8"/>
        <v>509.33509401793981</v>
      </c>
      <c r="BI27" s="59">
        <f ca="1">AVERAGE(OFFSET($BH$3,0,0,'Données projet'!$E$11+1,1))-AVERAGE(OFFSET($H$3,0,0,'Données projet'!$E$11+1,1))</f>
        <v>209.40885738157152</v>
      </c>
      <c r="BJ27" s="59">
        <f t="shared" si="38"/>
        <v>230.15385333954697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0.47509101579197555</v>
      </c>
      <c r="BR27" s="21">
        <f>EXP(-LN(2)/2)*BR26+(1-EXP(-LN(2)/2))/(LN(2)/2)*BL27*BO27*VLOOKUP('Données projet'!$B$11,Paramètres!$A$1:$I$89,3,0)*0.475*44/12</f>
        <v>0.59880903464407387</v>
      </c>
      <c r="BS27" s="22">
        <f t="shared" si="9"/>
        <v>1.0739000504360494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4.0628205128205126</v>
      </c>
      <c r="BY27" s="12">
        <f>IF('Données projet'!$A$114&gt;35,BY26+BX27-CG26,IF(A27&lt;'Données projet'!$A$114,$BV$205^A27,IF(A27='Données projet'!$A$114,'Données projet'!$B$114,BY26+BX27-CG26)))</f>
        <v>46.640061345320483</v>
      </c>
      <c r="BZ27" s="13">
        <f>BY27*VLOOKUP('Données projet'!$B$12,Paramètres!$A$1:$I$89,3,0)*VLOOKUP('Données projet'!$B$12,Paramètres!$A$1:$I$89,5,0)</f>
        <v>42.199927505245967</v>
      </c>
      <c r="CA27" s="13">
        <f t="shared" si="39"/>
        <v>12.579908645827834</v>
      </c>
      <c r="CB27" s="20">
        <f t="shared" si="10"/>
        <v>95.408214629786869</v>
      </c>
      <c r="CC27" s="59">
        <f t="shared" si="11"/>
        <v>388.74154796312018</v>
      </c>
      <c r="CD27" s="59">
        <f ca="1">AVERAGE(OFFSET($CC$3,0,0,'Données projet'!$E$12+1,1))-AVERAGE(OFFSET($H$3,0,0,'Données projet'!$E$12+1,1))</f>
        <v>270.87836509222456</v>
      </c>
      <c r="CE27" s="59">
        <f t="shared" si="40"/>
        <v>205.24998237949734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8</v>
      </c>
      <c r="CT27" s="12">
        <f>IF('Données projet'!$A$140&gt;35,CT26+CS27-DB26,IF(A27&lt;'Données projet'!$A$140,$CQ$205^A27,IF(A27='Données projet'!$A$140,'Données projet'!$B$140,CT26+CS27-DB26)))</f>
        <v>90</v>
      </c>
      <c r="CU27" s="17">
        <f>CT27*VLOOKUP('Données projet'!$B$13,Paramètres!$A$1:$I$89,3,0)*VLOOKUP('Données projet'!$B$13,Paramètres!$A$1:$I$89,5,0)</f>
        <v>78.624000000000009</v>
      </c>
      <c r="CV27" s="13">
        <f t="shared" si="41"/>
        <v>21.800406010684462</v>
      </c>
      <c r="CW27" s="20">
        <f t="shared" si="13"/>
        <v>174.90584046860877</v>
      </c>
      <c r="CX27" s="59">
        <f t="shared" si="14"/>
        <v>468.23917380194212</v>
      </c>
      <c r="CY27" s="59">
        <f ca="1">AVERAGE(OFFSET($CX$3,0,0,'Données projet'!$E$13+1,1))-AVERAGE(OFFSET($H$3,0,0,'Données projet'!$E$13+1,1))</f>
        <v>207.4513063267579</v>
      </c>
      <c r="CZ27" s="59">
        <f t="shared" si="42"/>
        <v>191.63513530247218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0</v>
      </c>
      <c r="N28" s="13">
        <f>IF('Données projet'!$A$36&gt;35,N27+M28-V27,IF(A28&lt;'Données projet'!$A$36,$K$205^A28,IF(A28='Données projet'!$A$36,'Données projet'!$B$36,N27+M28-V27)))</f>
        <v>0</v>
      </c>
      <c r="O28" s="13">
        <f>N28*VLOOKUP('Données projet'!$B$9,Paramètres!$A$1:$I$89,3,0)*VLOOKUP('Données projet'!$B$9,Paramètres!$A$1:$I$89,5,0)</f>
        <v>0</v>
      </c>
      <c r="P28" s="13" t="e">
        <f t="shared" si="33"/>
        <v>#NUM!</v>
      </c>
      <c r="Q28" s="20" t="e">
        <f t="shared" si="2"/>
        <v>#NUM!</v>
      </c>
      <c r="R28" s="59" t="e">
        <f t="shared" si="0"/>
        <v>#NUM!</v>
      </c>
      <c r="S28" s="59">
        <f ca="1">AVERAGE(OFFSET($R$3,0,0,'Données projet'!$E$9+1,1))-AVERAGE(OFFSET($H$3,0,0,'Données projet'!$E$9+1,1))</f>
        <v>66.814714696519275</v>
      </c>
      <c r="T28" s="59">
        <f t="shared" si="34"/>
        <v>199.56746335788068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42.851542201476811</v>
      </c>
      <c r="AA28" s="21">
        <f>EXP(-LN(2)/25)*AA27+(1-EXP(-LN(2)/25))/(LN(2)/25)*Calculateur!V28*Calculateur!X28*VLOOKUP('Données projet'!$B$9,Paramètres!$A$1:$I$89,3,0)*0.475*44/12</f>
        <v>8.79112799824299</v>
      </c>
      <c r="AB28" s="21">
        <f>EXP(-LN(2)/2)*AB27+(1-EXP(-LN(2)/2))/(LN(2)/2)*V28*Y28*VLOOKUP('Données projet'!$B$9,Paramètres!$A$1:$I$89,3,0)*0.475*44/12</f>
        <v>2.5494406364289977</v>
      </c>
      <c r="AC28" s="22">
        <f t="shared" si="3"/>
        <v>54.1921108361488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165</v>
      </c>
      <c r="AG28" s="12">
        <f>VLOOKUP(A28,'Données projet'!$A$61:$I$81,9,0)</f>
        <v>16.8</v>
      </c>
      <c r="AH28" s="12">
        <f t="array" ref="AH28">INDEX(AG:AG,MIN(IF(ISNUMBER(AG28:AG224),ROW(AG28:AG224),"")))</f>
        <v>16.8</v>
      </c>
      <c r="AI28" s="13">
        <f>IF('Données projet'!$A$62&gt;35,AI27+AH28-AQ27,IF(A28&lt;'Données projet'!$A$62,$AF$205^A28,IF(A28='Données projet'!$A$62,'Données projet'!$B$62,AI27+AH28-AQ27)))</f>
        <v>165.00000000000003</v>
      </c>
      <c r="AJ28" s="13">
        <f>AI28*VLOOKUP('Données projet'!$B$10,Paramètres!$A$1:$I$89,3,0)*VLOOKUP('Données projet'!$B$10,Paramètres!$A$1:$I$89,5,0)</f>
        <v>131.27400000000003</v>
      </c>
      <c r="AK28" s="13">
        <f t="shared" si="35"/>
        <v>34.290576031111669</v>
      </c>
      <c r="AL28" s="20">
        <f t="shared" si="4"/>
        <v>288.35830325418618</v>
      </c>
      <c r="AM28" s="59">
        <f t="shared" si="5"/>
        <v>581.6916365875195</v>
      </c>
      <c r="AN28" s="59">
        <f ca="1">AVERAGE(OFFSET($AM$3,0,0,'Données projet'!$E$10+1,1))-AVERAGE(OFFSET($H$3,0,0,'Données projet'!$E$10+1,1))</f>
        <v>325.72928944930294</v>
      </c>
      <c r="AO28" s="59">
        <f t="shared" si="36"/>
        <v>318.38876834819752</v>
      </c>
      <c r="AP28" s="15">
        <f>IF(ISNA(VLOOKUP(A28,'Données projet'!$A$61:$I$81,3,0)),0,VLOOKUP(A28,'Données projet'!$A$61:$I$81,3,0))</f>
        <v>4</v>
      </c>
      <c r="AQ28" s="15">
        <f>IF(ISNA(VLOOKUP(A28,'Données projet'!$A$61:$I$81,4,0)),0,VLOOKUP(A28,'Données projet'!$A$61:$I$81,4,0))</f>
        <v>42</v>
      </c>
      <c r="AR28" s="16">
        <f>IF(ISNA(VLOOKUP(A28,'Données projet'!$A$61:$I$81,5,0)),0%,VLOOKUP(A28,'Données projet'!$A$61:$I$81,5,0)*VLOOKUP('Données projet'!$B$10,Paramètres!$A$1:$I$89,7,0))</f>
        <v>7.4200000000000016E-2</v>
      </c>
      <c r="AS28" s="16">
        <f>IF(ISNA(VLOOKUP(A28,'Données projet'!$A$61:$I$81,6,0)),0%,VLOOKUP(A28,'Données projet'!$A$61:$I$81,6,0)*VLOOKUP('Données projet'!$B$10,Paramètres!$A$1:$I$89,7,0))</f>
        <v>0.22790000000000002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2.7409119259017731</v>
      </c>
      <c r="AV28" s="21">
        <f>EXP(-LN(2)/25)*AV27+(1-EXP(-LN(2)/25))/(LN(2)/25)*Calculateur!AQ28*Calculateur!AS28*VLOOKUP('Données projet'!$B$10,Paramètres!$A$1:$I$89,3,0)*0.475*44/12</f>
        <v>10.422546093187046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13.16345801908882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>
        <f>VLOOKUP(A28,'Données projet'!$A$87:$I$107,2,0)</f>
        <v>160</v>
      </c>
      <c r="BB28" s="12">
        <f>VLOOKUP(A28,'Données projet'!$A$87:$I$107,9,0)</f>
        <v>11</v>
      </c>
      <c r="BC28" s="12">
        <f t="array" ref="BC28">INDEX(BB:BB,MIN(IF(ISNUMBER(BB28:BB224),ROW(BB28:BB224),"")))</f>
        <v>11</v>
      </c>
      <c r="BD28" s="12">
        <f>IF('Données projet'!$A$88&gt;35,BD27+BC28-BL27,IF(A28&lt;'Données projet'!$A$88,$BA$205^A28,IF(A28='Données projet'!$A$88,'Données projet'!$B$88,BD27+BC28-BL27)))</f>
        <v>160</v>
      </c>
      <c r="BE28" s="13">
        <f>BD28*VLOOKUP('Données projet'!$B$11,Paramètres!$A$1:$I$89,3,0)*VLOOKUP('Données projet'!$B$11,Paramètres!$A$1:$I$89,5,0)</f>
        <v>104.83200000000001</v>
      </c>
      <c r="BF28" s="13">
        <f t="shared" si="37"/>
        <v>28.109974371137717</v>
      </c>
      <c r="BG28" s="20">
        <f t="shared" si="7"/>
        <v>231.54060536306486</v>
      </c>
      <c r="BH28" s="59">
        <f t="shared" si="8"/>
        <v>524.87393869639823</v>
      </c>
      <c r="BI28" s="59">
        <f ca="1">AVERAGE(OFFSET($BH$3,0,0,'Données projet'!$E$11+1,1))-AVERAGE(OFFSET($H$3,0,0,'Données projet'!$E$11+1,1))</f>
        <v>209.40885738157152</v>
      </c>
      <c r="BJ28" s="59">
        <f t="shared" si="38"/>
        <v>230.15385333954697</v>
      </c>
      <c r="BK28" s="15">
        <f>IF(ISNA(VLOOKUP(A28,'Données projet'!$A$87:$I$107,3,0)),0,VLOOKUP(A28,'Données projet'!$A$87:$I$107,3,0))</f>
        <v>4</v>
      </c>
      <c r="BL28" s="15" t="str">
        <f>IF(ISNA(VLOOKUP(A28,'Données projet'!$A$87:$I$107,4,0)),0,VLOOKUP(A28,'Données projet'!$A$87:$I$107,4,0))</f>
        <v>24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4.3000000000000003E-2</v>
      </c>
      <c r="BO28" s="16">
        <f>IF(ISNA(VLOOKUP(A28,'Données projet'!$A$87:$I$107,7,0)),0%,VLOOKUP(A28,'Données projet'!$A$87:$I$107,7,0))</f>
        <v>0.3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1.206638432657728</v>
      </c>
      <c r="BR28" s="21">
        <f>EXP(-LN(2)/2)*BR27+(1-EXP(-LN(2)/2))/(LN(2)/2)*BL28*BO28*VLOOKUP('Données projet'!$B$11,Paramètres!$A$1:$I$89,3,0)*0.475*44/12</f>
        <v>4.8744535370686375</v>
      </c>
      <c r="BS28" s="22">
        <f t="shared" si="9"/>
        <v>6.0810919697263657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4.0628205128205126</v>
      </c>
      <c r="BY28" s="12">
        <f>IF('Données projet'!$A$114&gt;35,BY27+BX28-CG27,IF(A28&lt;'Données projet'!$A$114,$BV$205^A28,IF(A28='Données projet'!$A$114,'Données projet'!$B$114,BY27+BX28-CG27)))</f>
        <v>54.738229068051083</v>
      </c>
      <c r="BZ28" s="13">
        <f>BY28*VLOOKUP('Données projet'!$B$12,Paramètres!$A$1:$I$89,3,0)*VLOOKUP('Données projet'!$B$12,Paramètres!$A$1:$I$89,5,0)</f>
        <v>49.527149660772622</v>
      </c>
      <c r="CA28" s="13">
        <f t="shared" si="39"/>
        <v>14.49157655143614</v>
      </c>
      <c r="CB28" s="20">
        <f t="shared" si="10"/>
        <v>111.49928148626357</v>
      </c>
      <c r="CC28" s="59">
        <f t="shared" si="11"/>
        <v>404.83261481959687</v>
      </c>
      <c r="CD28" s="59">
        <f ca="1">AVERAGE(OFFSET($CC$3,0,0,'Données projet'!$E$12+1,1))-AVERAGE(OFFSET($H$3,0,0,'Données projet'!$E$12+1,1))</f>
        <v>270.87836509222456</v>
      </c>
      <c r="CE28" s="59">
        <f t="shared" si="40"/>
        <v>205.24998237949734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>
        <f>VLOOKUP(A28,'Données projet'!$A$139:$I$159,2,0)</f>
        <v>98</v>
      </c>
      <c r="CR28" s="12">
        <f>VLOOKUP(A28,'Données projet'!$A$139:$I$159,9,0)</f>
        <v>8</v>
      </c>
      <c r="CS28" s="12">
        <f t="array" ref="CS28">INDEX(CR:CR,MIN(IF(ISNUMBER(CR28:CR224),ROW(CR28:CR224),"")))</f>
        <v>8</v>
      </c>
      <c r="CT28" s="12">
        <f>IF('Données projet'!$A$140&gt;35,CT27+CS28-DB27,IF(A28&lt;'Données projet'!$A$140,$CQ$205^A28,IF(A28='Données projet'!$A$140,'Données projet'!$B$140,CT27+CS28-DB27)))</f>
        <v>98</v>
      </c>
      <c r="CU28" s="17">
        <f>CT28*VLOOKUP('Données projet'!$B$13,Paramètres!$A$1:$I$89,3,0)*VLOOKUP('Données projet'!$B$13,Paramètres!$A$1:$I$89,5,0)</f>
        <v>85.612800000000007</v>
      </c>
      <c r="CV28" s="13">
        <f t="shared" si="41"/>
        <v>23.504080242391282</v>
      </c>
      <c r="CW28" s="20">
        <f t="shared" si="13"/>
        <v>190.04523308883151</v>
      </c>
      <c r="CX28" s="59">
        <f t="shared" si="14"/>
        <v>483.37856642216479</v>
      </c>
      <c r="CY28" s="59">
        <f ca="1">AVERAGE(OFFSET($CX$3,0,0,'Données projet'!$E$13+1,1))-AVERAGE(OFFSET($H$3,0,0,'Données projet'!$E$13+1,1))</f>
        <v>207.4513063267579</v>
      </c>
      <c r="CZ28" s="59">
        <f t="shared" si="42"/>
        <v>191.63513530247218</v>
      </c>
      <c r="DA28" s="15">
        <f>IF(ISNA(VLOOKUP(A28,'Données projet'!$A$139:$I$159,3,0)),0,VLOOKUP(A28,'Données projet'!$A$139:$I$159,3,0))</f>
        <v>2</v>
      </c>
      <c r="DB28" s="15" t="str">
        <f>IF(ISNA(VLOOKUP(A28,'Données projet'!$A$139:$I$159,4,0)),0,VLOOKUP(A28,'Données projet'!$A$139:$I$159,4,0))</f>
        <v>19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0</v>
      </c>
      <c r="N29" s="13">
        <f>IF('Données projet'!$A$36&gt;35,N28+M29-V28,IF(A29&lt;'Données projet'!$A$36,$K$205^A29,IF(A29='Données projet'!$A$36,'Données projet'!$B$36,N28+M29-V28)))</f>
        <v>0</v>
      </c>
      <c r="O29" s="13">
        <f>N29*VLOOKUP('Données projet'!$B$9,Paramètres!$A$1:$I$89,3,0)*VLOOKUP('Données projet'!$B$9,Paramètres!$A$1:$I$89,5,0)</f>
        <v>0</v>
      </c>
      <c r="P29" s="13" t="e">
        <f t="shared" si="33"/>
        <v>#NUM!</v>
      </c>
      <c r="Q29" s="20" t="e">
        <f t="shared" si="2"/>
        <v>#NUM!</v>
      </c>
      <c r="R29" s="59" t="e">
        <f t="shared" si="0"/>
        <v>#NUM!</v>
      </c>
      <c r="S29" s="59">
        <f ca="1">AVERAGE(OFFSET($R$3,0,0,'Données projet'!$E$9+1,1))-AVERAGE(OFFSET($H$3,0,0,'Données projet'!$E$9+1,1))</f>
        <v>66.814714696519275</v>
      </c>
      <c r="T29" s="59">
        <f t="shared" si="34"/>
        <v>199.56746335788068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42.01124959576579</v>
      </c>
      <c r="AA29" s="21">
        <f>EXP(-LN(2)/25)*AA28+(1-EXP(-LN(2)/25))/(LN(2)/25)*Calculateur!V29*Calculateur!X29*VLOOKUP('Données projet'!$B$9,Paramètres!$A$1:$I$89,3,0)*0.475*44/12</f>
        <v>8.5507341408257069</v>
      </c>
      <c r="AB29" s="21">
        <f>EXP(-LN(2)/2)*AB28+(1-EXP(-LN(2)/2))/(LN(2)/2)*V29*Y29*VLOOKUP('Données projet'!$B$9,Paramètres!$A$1:$I$89,3,0)*0.475*44/12</f>
        <v>1.8027267622514918</v>
      </c>
      <c r="AC29" s="22">
        <f t="shared" si="3"/>
        <v>52.364710498842989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16.399999999999999</v>
      </c>
      <c r="AI29" s="13">
        <f>IF('Données projet'!$A$62&gt;35,AI28+AH29-AQ28,IF(A29&lt;'Données projet'!$A$62,$AF$205^A29,IF(A29='Données projet'!$A$62,'Données projet'!$B$62,AI28+AH29-AQ28)))</f>
        <v>139.40000000000003</v>
      </c>
      <c r="AJ29" s="13">
        <f>AI29*VLOOKUP('Données projet'!$B$10,Paramètres!$A$1:$I$89,3,0)*VLOOKUP('Données projet'!$B$10,Paramètres!$A$1:$I$89,5,0)</f>
        <v>110.90664000000004</v>
      </c>
      <c r="AK29" s="13">
        <f t="shared" si="35"/>
        <v>29.544493872672952</v>
      </c>
      <c r="AL29" s="20">
        <f t="shared" si="4"/>
        <v>244.6190581615721</v>
      </c>
      <c r="AM29" s="59">
        <f t="shared" si="5"/>
        <v>537.95239149490544</v>
      </c>
      <c r="AN29" s="59">
        <f ca="1">AVERAGE(OFFSET($AM$3,0,0,'Données projet'!$E$10+1,1))-AVERAGE(OFFSET($H$3,0,0,'Données projet'!$E$10+1,1))</f>
        <v>325.72928944930294</v>
      </c>
      <c r="AO29" s="59">
        <f t="shared" si="36"/>
        <v>318.38876834819752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2.6871643148260387</v>
      </c>
      <c r="AV29" s="21">
        <f>EXP(-LN(2)/25)*AV28+(1-EXP(-LN(2)/25))/(LN(2)/25)*Calculateur!AQ29*Calculateur!AS29*VLOOKUP('Données projet'!$B$10,Paramètres!$A$1:$I$89,3,0)*0.475*44/12</f>
        <v>10.137541022170968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12.824705336997006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10</v>
      </c>
      <c r="BD29" s="12">
        <f>IF('Données projet'!$A$88&gt;35,BD28+BC29-BL28,IF(A29&lt;'Données projet'!$A$88,$BA$205^A29,IF(A29='Données projet'!$A$88,'Données projet'!$B$88,BD28+BC29-BL28)))</f>
        <v>146</v>
      </c>
      <c r="BE29" s="13">
        <f>BD29*VLOOKUP('Données projet'!$B$11,Paramètres!$A$1:$I$89,3,0)*VLOOKUP('Données projet'!$B$11,Paramètres!$A$1:$I$89,5,0)</f>
        <v>95.659199999999998</v>
      </c>
      <c r="BF29" s="13">
        <f t="shared" si="37"/>
        <v>25.92520602338745</v>
      </c>
      <c r="BG29" s="20">
        <f t="shared" si="7"/>
        <v>211.75950715739978</v>
      </c>
      <c r="BH29" s="59">
        <f t="shared" si="8"/>
        <v>505.09284049073312</v>
      </c>
      <c r="BI29" s="59">
        <f ca="1">AVERAGE(OFFSET($BH$3,0,0,'Données projet'!$E$11+1,1))-AVERAGE(OFFSET($H$3,0,0,'Données projet'!$E$11+1,1))</f>
        <v>209.40885738157152</v>
      </c>
      <c r="BJ29" s="59">
        <f t="shared" si="38"/>
        <v>230.15385333954697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1.173642841262345</v>
      </c>
      <c r="BR29" s="21">
        <f>EXP(-LN(2)/2)*BR28+(1-EXP(-LN(2)/2))/(LN(2)/2)*BL29*BO29*VLOOKUP('Données projet'!$B$11,Paramètres!$A$1:$I$89,3,0)*0.475*44/12</f>
        <v>3.4467591506399859</v>
      </c>
      <c r="BS29" s="22">
        <f t="shared" si="9"/>
        <v>4.6204019919023311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4.0628205128205126</v>
      </c>
      <c r="BY29" s="12">
        <f>IF('Données projet'!$A$114&gt;35,BY28+BX29-CG28,IF(A29&lt;'Données projet'!$A$114,$BV$205^A29,IF(A29='Données projet'!$A$114,'Données projet'!$B$114,BY28+BX29-CG28)))</f>
        <v>64.242491006222849</v>
      </c>
      <c r="BZ29" s="13">
        <f>BY29*VLOOKUP('Données projet'!$B$12,Paramètres!$A$1:$I$89,3,0)*VLOOKUP('Données projet'!$B$12,Paramètres!$A$1:$I$89,5,0)</f>
        <v>58.126605862430431</v>
      </c>
      <c r="CA29" s="13">
        <f t="shared" si="39"/>
        <v>16.69374530917462</v>
      </c>
      <c r="CB29" s="20">
        <f t="shared" si="10"/>
        <v>130.31211162387879</v>
      </c>
      <c r="CC29" s="59">
        <f t="shared" si="11"/>
        <v>423.64544495721213</v>
      </c>
      <c r="CD29" s="59">
        <f ca="1">AVERAGE(OFFSET($CC$3,0,0,'Données projet'!$E$12+1,1))-AVERAGE(OFFSET($H$3,0,0,'Données projet'!$E$12+1,1))</f>
        <v>270.87836509222456</v>
      </c>
      <c r="CE29" s="59">
        <f t="shared" si="40"/>
        <v>205.24998237949734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8</v>
      </c>
      <c r="CT29" s="12">
        <f>IF('Données projet'!$A$140&gt;35,CT28+CS29-DB28,IF(A29&lt;'Données projet'!$A$140,$CQ$205^A29,IF(A29='Données projet'!$A$140,'Données projet'!$B$140,CT28+CS29-DB28)))</f>
        <v>87</v>
      </c>
      <c r="CU29" s="17">
        <f>CT29*VLOOKUP('Données projet'!$B$13,Paramètres!$A$1:$I$89,3,0)*VLOOKUP('Données projet'!$B$13,Paramètres!$A$1:$I$89,5,0)</f>
        <v>76.003200000000007</v>
      </c>
      <c r="CV29" s="13">
        <f t="shared" si="41"/>
        <v>21.157049992000456</v>
      </c>
      <c r="CW29" s="20">
        <f t="shared" si="13"/>
        <v>169.22076873606747</v>
      </c>
      <c r="CX29" s="59">
        <f t="shared" si="14"/>
        <v>462.55410206940076</v>
      </c>
      <c r="CY29" s="59">
        <f ca="1">AVERAGE(OFFSET($CX$3,0,0,'Données projet'!$E$13+1,1))-AVERAGE(OFFSET($H$3,0,0,'Données projet'!$E$13+1,1))</f>
        <v>207.4513063267579</v>
      </c>
      <c r="CZ29" s="59">
        <f t="shared" si="42"/>
        <v>191.63513530247218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0</v>
      </c>
      <c r="N30" s="13">
        <f>IF('Données projet'!$A$36&gt;35,N29+M30-V29,IF(A30&lt;'Données projet'!$A$36,$K$205^A30,IF(A30='Données projet'!$A$36,'Données projet'!$B$36,N29+M30-V29)))</f>
        <v>0</v>
      </c>
      <c r="O30" s="13">
        <f>N30*VLOOKUP('Données projet'!$B$9,Paramètres!$A$1:$I$89,3,0)*VLOOKUP('Données projet'!$B$9,Paramètres!$A$1:$I$89,5,0)</f>
        <v>0</v>
      </c>
      <c r="P30" s="13" t="e">
        <f t="shared" si="33"/>
        <v>#NUM!</v>
      </c>
      <c r="Q30" s="20" t="e">
        <f t="shared" si="2"/>
        <v>#NUM!</v>
      </c>
      <c r="R30" s="59" t="e">
        <f t="shared" si="0"/>
        <v>#NUM!</v>
      </c>
      <c r="S30" s="59">
        <f ca="1">AVERAGE(OFFSET($R$3,0,0,'Données projet'!$E$9+1,1))-AVERAGE(OFFSET($H$3,0,0,'Données projet'!$E$9+1,1))</f>
        <v>66.814714696519275</v>
      </c>
      <c r="T30" s="59">
        <f t="shared" si="34"/>
        <v>199.56746335788068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41.187434615524886</v>
      </c>
      <c r="AA30" s="21">
        <f>EXP(-LN(2)/25)*AA29+(1-EXP(-LN(2)/25))/(LN(2)/25)*Calculateur!V30*Calculateur!X30*VLOOKUP('Données projet'!$B$9,Paramètres!$A$1:$I$89,3,0)*0.475*44/12</f>
        <v>8.3169138660812632</v>
      </c>
      <c r="AB30" s="21">
        <f>EXP(-LN(2)/2)*AB29+(1-EXP(-LN(2)/2))/(LN(2)/2)*V30*Y30*VLOOKUP('Données projet'!$B$9,Paramètres!$A$1:$I$89,3,0)*0.475*44/12</f>
        <v>1.274720318214499</v>
      </c>
      <c r="AC30" s="22">
        <f t="shared" si="3"/>
        <v>50.779068799820649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16.399999999999999</v>
      </c>
      <c r="AI30" s="13">
        <f>IF('Données projet'!$A$62&gt;35,AI29+AH30-AQ29,IF(A30&lt;'Données projet'!$A$62,$AF$205^A30,IF(A30='Données projet'!$A$62,'Données projet'!$B$62,AI29+AH30-AQ29)))</f>
        <v>155.80000000000004</v>
      </c>
      <c r="AJ30" s="13">
        <f>AI30*VLOOKUP('Données projet'!$B$10,Paramètres!$A$1:$I$89,3,0)*VLOOKUP('Données projet'!$B$10,Paramètres!$A$1:$I$89,5,0)</f>
        <v>123.95448000000005</v>
      </c>
      <c r="AK30" s="13">
        <f t="shared" si="35"/>
        <v>32.595569202682604</v>
      </c>
      <c r="AL30" s="20">
        <f t="shared" si="4"/>
        <v>272.65800236133896</v>
      </c>
      <c r="AM30" s="59">
        <f t="shared" si="5"/>
        <v>565.99133569467222</v>
      </c>
      <c r="AN30" s="59">
        <f ca="1">AVERAGE(OFFSET($AM$3,0,0,'Données projet'!$E$10+1,1))-AVERAGE(OFFSET($H$3,0,0,'Données projet'!$E$10+1,1))</f>
        <v>325.72928944930294</v>
      </c>
      <c r="AO30" s="59">
        <f t="shared" si="36"/>
        <v>318.38876834819752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2.6344706616206937</v>
      </c>
      <c r="AV30" s="21">
        <f>EXP(-LN(2)/25)*AV29+(1-EXP(-LN(2)/25))/(LN(2)/25)*Calculateur!AQ30*Calculateur!AS30*VLOOKUP('Données projet'!$B$10,Paramètres!$A$1:$I$89,3,0)*0.475*44/12</f>
        <v>9.8603294298095907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12.494800091430285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10</v>
      </c>
      <c r="BD30" s="12">
        <f>IF('Données projet'!$A$88&gt;35,BD29+BC30-BL29,IF(A30&lt;'Données projet'!$A$88,$BA$205^A30,IF(A30='Données projet'!$A$88,'Données projet'!$B$88,BD29+BC30-BL29)))</f>
        <v>156</v>
      </c>
      <c r="BE30" s="13">
        <f>BD30*VLOOKUP('Données projet'!$B$11,Paramètres!$A$1:$I$89,3,0)*VLOOKUP('Données projet'!$B$11,Paramètres!$A$1:$I$89,5,0)</f>
        <v>102.21119999999999</v>
      </c>
      <c r="BF30" s="13">
        <f t="shared" si="37"/>
        <v>27.488113037666018</v>
      </c>
      <c r="BG30" s="20">
        <f t="shared" si="7"/>
        <v>225.89297020726829</v>
      </c>
      <c r="BH30" s="59">
        <f t="shared" si="8"/>
        <v>519.22630354060163</v>
      </c>
      <c r="BI30" s="59">
        <f ca="1">AVERAGE(OFFSET($BH$3,0,0,'Données projet'!$E$11+1,1))-AVERAGE(OFFSET($H$3,0,0,'Données projet'!$E$11+1,1))</f>
        <v>209.40885738157152</v>
      </c>
      <c r="BJ30" s="59">
        <f t="shared" si="38"/>
        <v>230.15385333954697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1.1415495160488316</v>
      </c>
      <c r="BR30" s="21">
        <f>EXP(-LN(2)/2)*BR29+(1-EXP(-LN(2)/2))/(LN(2)/2)*BL30*BO30*VLOOKUP('Données projet'!$B$11,Paramètres!$A$1:$I$89,3,0)*0.475*44/12</f>
        <v>2.4372267685343192</v>
      </c>
      <c r="BS30" s="22">
        <f t="shared" si="9"/>
        <v>3.5787762845831508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4.0628205128205126</v>
      </c>
      <c r="BY30" s="12">
        <f>IF('Données projet'!$A$114&gt;35,BY29+BX30-CG29,IF(A30&lt;'Données projet'!$A$114,$BV$205^A30,IF(A30='Données projet'!$A$114,'Données projet'!$B$114,BY29+BX30-CG29)))</f>
        <v>75.396988922564091</v>
      </c>
      <c r="BZ30" s="13">
        <f>BY30*VLOOKUP('Données projet'!$B$12,Paramètres!$A$1:$I$89,3,0)*VLOOKUP('Données projet'!$B$12,Paramètres!$A$1:$I$89,5,0)</f>
        <v>68.219195577135991</v>
      </c>
      <c r="CA30" s="13">
        <f t="shared" si="39"/>
        <v>19.230560005562129</v>
      </c>
      <c r="CB30" s="20">
        <f t="shared" si="10"/>
        <v>152.30832430653254</v>
      </c>
      <c r="CC30" s="59">
        <f t="shared" si="11"/>
        <v>445.64165763986585</v>
      </c>
      <c r="CD30" s="59">
        <f ca="1">AVERAGE(OFFSET($CC$3,0,0,'Données projet'!$E$12+1,1))-AVERAGE(OFFSET($H$3,0,0,'Données projet'!$E$12+1,1))</f>
        <v>270.87836509222456</v>
      </c>
      <c r="CE30" s="59">
        <f t="shared" si="40"/>
        <v>205.24998237949734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8</v>
      </c>
      <c r="CT30" s="12">
        <f>IF('Données projet'!$A$140&gt;35,CT29+CS30-DB29,IF(A30&lt;'Données projet'!$A$140,$CQ$205^A30,IF(A30='Données projet'!$A$140,'Données projet'!$B$140,CT29+CS30-DB29)))</f>
        <v>95</v>
      </c>
      <c r="CU30" s="17">
        <f>CT30*VLOOKUP('Données projet'!$B$13,Paramètres!$A$1:$I$89,3,0)*VLOOKUP('Données projet'!$B$13,Paramètres!$A$1:$I$89,5,0)</f>
        <v>82.992000000000004</v>
      </c>
      <c r="CV30" s="13">
        <f t="shared" si="41"/>
        <v>22.867173045817324</v>
      </c>
      <c r="CW30" s="20">
        <f t="shared" si="13"/>
        <v>184.37139305479852</v>
      </c>
      <c r="CX30" s="59">
        <f t="shared" si="14"/>
        <v>477.7047263881318</v>
      </c>
      <c r="CY30" s="59">
        <f ca="1">AVERAGE(OFFSET($CX$3,0,0,'Données projet'!$E$13+1,1))-AVERAGE(OFFSET($H$3,0,0,'Données projet'!$E$13+1,1))</f>
        <v>207.4513063267579</v>
      </c>
      <c r="CZ30" s="59">
        <f t="shared" si="42"/>
        <v>191.63513530247218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0</v>
      </c>
      <c r="N31" s="13">
        <f>IF('Données projet'!$A$36&gt;35,N30+M31-V30,IF(A31&lt;'Données projet'!$A$36,$K$205^A31,IF(A31='Données projet'!$A$36,'Données projet'!$B$36,N30+M31-V30)))</f>
        <v>0</v>
      </c>
      <c r="O31" s="13">
        <f>N31*VLOOKUP('Données projet'!$B$9,Paramètres!$A$1:$I$89,3,0)*VLOOKUP('Données projet'!$B$9,Paramètres!$A$1:$I$89,5,0)</f>
        <v>0</v>
      </c>
      <c r="P31" s="13" t="e">
        <f t="shared" si="33"/>
        <v>#NUM!</v>
      </c>
      <c r="Q31" s="20" t="e">
        <f t="shared" si="2"/>
        <v>#NUM!</v>
      </c>
      <c r="R31" s="59" t="e">
        <f t="shared" si="0"/>
        <v>#NUM!</v>
      </c>
      <c r="S31" s="59">
        <f ca="1">AVERAGE(OFFSET($R$3,0,0,'Données projet'!$E$9+1,1))-AVERAGE(OFFSET($H$3,0,0,'Données projet'!$E$9+1,1))</f>
        <v>66.814714696519275</v>
      </c>
      <c r="T31" s="59">
        <f t="shared" si="34"/>
        <v>199.56746335788068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40.379774144568984</v>
      </c>
      <c r="AA31" s="21">
        <f>EXP(-LN(2)/25)*AA30+(1-EXP(-LN(2)/25))/(LN(2)/25)*Calculateur!V31*Calculateur!X31*VLOOKUP('Données projet'!$B$9,Paramètres!$A$1:$I$89,3,0)*0.475*44/12</f>
        <v>8.0894874190457795</v>
      </c>
      <c r="AB31" s="21">
        <f>EXP(-LN(2)/2)*AB30+(1-EXP(-LN(2)/2))/(LN(2)/2)*V31*Y31*VLOOKUP('Données projet'!$B$9,Paramètres!$A$1:$I$89,3,0)*0.475*44/12</f>
        <v>0.9013633811257461</v>
      </c>
      <c r="AC31" s="22">
        <f t="shared" si="3"/>
        <v>49.370624944740513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16.399999999999999</v>
      </c>
      <c r="AI31" s="13">
        <f>IF('Données projet'!$A$62&gt;35,AI30+AH31-AQ30,IF(A31&lt;'Données projet'!$A$62,$AF$205^A31,IF(A31='Données projet'!$A$62,'Données projet'!$B$62,AI30+AH31-AQ30)))</f>
        <v>172.20000000000005</v>
      </c>
      <c r="AJ31" s="13">
        <f>AI31*VLOOKUP('Données projet'!$B$10,Paramètres!$A$1:$I$89,3,0)*VLOOKUP('Données projet'!$B$10,Paramètres!$A$1:$I$89,5,0)</f>
        <v>137.00232000000005</v>
      </c>
      <c r="AK31" s="13">
        <f t="shared" si="35"/>
        <v>35.609416420931346</v>
      </c>
      <c r="AL31" s="20">
        <f t="shared" si="4"/>
        <v>300.63210759978887</v>
      </c>
      <c r="AM31" s="59">
        <f t="shared" si="5"/>
        <v>593.96544093312218</v>
      </c>
      <c r="AN31" s="59">
        <f ca="1">AVERAGE(OFFSET($AM$3,0,0,'Données projet'!$E$10+1,1))-AVERAGE(OFFSET($H$3,0,0,'Données projet'!$E$10+1,1))</f>
        <v>325.72928944930294</v>
      </c>
      <c r="AO31" s="59">
        <f t="shared" si="36"/>
        <v>318.38876834819752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2.5828102988147505</v>
      </c>
      <c r="AV31" s="21">
        <f>EXP(-LN(2)/25)*AV30+(1-EXP(-LN(2)/25))/(LN(2)/25)*Calculateur!AQ31*Calculateur!AS31*VLOOKUP('Données projet'!$B$10,Paramètres!$A$1:$I$89,3,0)*0.475*44/12</f>
        <v>9.590698203019258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12.173508501834009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10</v>
      </c>
      <c r="BD31" s="12">
        <f>IF('Données projet'!$A$88&gt;35,BD30+BC31-BL30,IF(A31&lt;'Données projet'!$A$88,$BA$205^A31,IF(A31='Données projet'!$A$88,'Données projet'!$B$88,BD30+BC31-BL30)))</f>
        <v>166</v>
      </c>
      <c r="BE31" s="13">
        <f>BD31*VLOOKUP('Données projet'!$B$11,Paramètres!$A$1:$I$89,3,0)*VLOOKUP('Données projet'!$B$11,Paramètres!$A$1:$I$89,5,0)</f>
        <v>108.7632</v>
      </c>
      <c r="BF31" s="13">
        <f t="shared" si="37"/>
        <v>29.039393357192587</v>
      </c>
      <c r="BG31" s="20">
        <f t="shared" si="7"/>
        <v>240.00618343044377</v>
      </c>
      <c r="BH31" s="59">
        <f t="shared" si="8"/>
        <v>533.33951676377706</v>
      </c>
      <c r="BI31" s="59">
        <f ca="1">AVERAGE(OFFSET($BH$3,0,0,'Données projet'!$E$11+1,1))-AVERAGE(OFFSET($H$3,0,0,'Données projet'!$E$11+1,1))</f>
        <v>209.40885738157152</v>
      </c>
      <c r="BJ31" s="59">
        <f t="shared" si="38"/>
        <v>230.15385333954697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1.1103337845009962</v>
      </c>
      <c r="BR31" s="21">
        <f>EXP(-LN(2)/2)*BR30+(1-EXP(-LN(2)/2))/(LN(2)/2)*BL31*BO31*VLOOKUP('Données projet'!$B$11,Paramètres!$A$1:$I$89,3,0)*0.475*44/12</f>
        <v>1.7233795753199932</v>
      </c>
      <c r="BS31" s="22">
        <f t="shared" si="9"/>
        <v>2.8337133598209894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4.0628205128205126</v>
      </c>
      <c r="BY31" s="12">
        <f>IF('Données projet'!$A$114&gt;35,BY30+BX31-CG30,IF(A31&lt;'Données projet'!$A$114,$BV$205^A31,IF(A31='Données projet'!$A$114,'Données projet'!$B$114,BY30+BX31-CG30)))</f>
        <v>88.488255196060223</v>
      </c>
      <c r="BZ31" s="13">
        <f>BY31*VLOOKUP('Données projet'!$B$12,Paramètres!$A$1:$I$89,3,0)*VLOOKUP('Données projet'!$B$12,Paramètres!$A$1:$I$89,5,0)</f>
        <v>80.064173301395286</v>
      </c>
      <c r="CA31" s="13">
        <f t="shared" si="39"/>
        <v>22.15287410215139</v>
      </c>
      <c r="CB31" s="20">
        <f t="shared" si="10"/>
        <v>178.02802422784376</v>
      </c>
      <c r="CC31" s="59">
        <f t="shared" si="11"/>
        <v>471.3613575611771</v>
      </c>
      <c r="CD31" s="59">
        <f ca="1">AVERAGE(OFFSET($CC$3,0,0,'Données projet'!$E$12+1,1))-AVERAGE(OFFSET($H$3,0,0,'Données projet'!$E$12+1,1))</f>
        <v>270.87836509222456</v>
      </c>
      <c r="CE31" s="59">
        <f t="shared" si="40"/>
        <v>205.24998237949734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8</v>
      </c>
      <c r="CT31" s="12">
        <f>IF('Données projet'!$A$140&gt;35,CT30+CS31-DB30,IF(A31&lt;'Données projet'!$A$140,$CQ$205^A31,IF(A31='Données projet'!$A$140,'Données projet'!$B$140,CT30+CS31-DB30)))</f>
        <v>103</v>
      </c>
      <c r="CU31" s="17">
        <f>CT31*VLOOKUP('Données projet'!$B$13,Paramètres!$A$1:$I$89,3,0)*VLOOKUP('Données projet'!$B$13,Paramètres!$A$1:$I$89,5,0)</f>
        <v>89.980800000000016</v>
      </c>
      <c r="CV31" s="13">
        <f t="shared" si="41"/>
        <v>24.560594358746648</v>
      </c>
      <c r="CW31" s="20">
        <f t="shared" si="13"/>
        <v>199.49292850815041</v>
      </c>
      <c r="CX31" s="59">
        <f t="shared" si="14"/>
        <v>492.82626184148376</v>
      </c>
      <c r="CY31" s="59">
        <f ca="1">AVERAGE(OFFSET($CX$3,0,0,'Données projet'!$E$13+1,1))-AVERAGE(OFFSET($H$3,0,0,'Données projet'!$E$13+1,1))</f>
        <v>207.4513063267579</v>
      </c>
      <c r="CZ31" s="59">
        <f t="shared" si="42"/>
        <v>191.63513530247218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0</v>
      </c>
      <c r="N32" s="13">
        <f>IF('Données projet'!$A$36&gt;35,N31+M32-V31,IF(A32&lt;'Données projet'!$A$36,$K$205^A32,IF(A32='Données projet'!$A$36,'Données projet'!$B$36,N31+M32-V31)))</f>
        <v>0</v>
      </c>
      <c r="O32" s="13">
        <f>N32*VLOOKUP('Données projet'!$B$9,Paramètres!$A$1:$I$89,3,0)*VLOOKUP('Données projet'!$B$9,Paramètres!$A$1:$I$89,5,0)</f>
        <v>0</v>
      </c>
      <c r="P32" s="13" t="e">
        <f t="shared" si="33"/>
        <v>#NUM!</v>
      </c>
      <c r="Q32" s="20" t="e">
        <f t="shared" si="2"/>
        <v>#NUM!</v>
      </c>
      <c r="R32" s="59" t="e">
        <f t="shared" si="0"/>
        <v>#NUM!</v>
      </c>
      <c r="S32" s="59">
        <f ca="1">AVERAGE(OFFSET($R$3,0,0,'Données projet'!$E$9+1,1))-AVERAGE(OFFSET($H$3,0,0,'Données projet'!$E$9+1,1))</f>
        <v>66.814714696519275</v>
      </c>
      <c r="T32" s="59">
        <f t="shared" si="34"/>
        <v>199.56746335788068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39.587951402824281</v>
      </c>
      <c r="AA32" s="21">
        <f>EXP(-LN(2)/25)*AA31+(1-EXP(-LN(2)/25))/(LN(2)/25)*Calculateur!V32*Calculateur!X32*VLOOKUP('Données projet'!$B$9,Paramètres!$A$1:$I$89,3,0)*0.475*44/12</f>
        <v>7.8682799601643181</v>
      </c>
      <c r="AB32" s="21">
        <f>EXP(-LN(2)/2)*AB31+(1-EXP(-LN(2)/2))/(LN(2)/2)*V32*Y32*VLOOKUP('Données projet'!$B$9,Paramètres!$A$1:$I$89,3,0)*0.475*44/12</f>
        <v>0.63736015910724964</v>
      </c>
      <c r="AC32" s="22">
        <f t="shared" si="3"/>
        <v>48.093591522095849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16.399999999999999</v>
      </c>
      <c r="AI32" s="13">
        <f>IF('Données projet'!$A$62&gt;35,AI31+AH32-AQ31,IF(A32&lt;'Données projet'!$A$62,$AF$205^A32,IF(A32='Données projet'!$A$62,'Données projet'!$B$62,AI31+AH32-AQ31)))</f>
        <v>188.60000000000005</v>
      </c>
      <c r="AJ32" s="13">
        <f>AI32*VLOOKUP('Données projet'!$B$10,Paramètres!$A$1:$I$89,3,0)*VLOOKUP('Données projet'!$B$10,Paramètres!$A$1:$I$89,5,0)</f>
        <v>150.05016000000003</v>
      </c>
      <c r="AK32" s="13">
        <f t="shared" si="35"/>
        <v>38.589984439024605</v>
      </c>
      <c r="AL32" s="20">
        <f t="shared" si="4"/>
        <v>328.5482515646346</v>
      </c>
      <c r="AM32" s="59">
        <f t="shared" si="5"/>
        <v>621.88158489796797</v>
      </c>
      <c r="AN32" s="59">
        <f ca="1">AVERAGE(OFFSET($AM$3,0,0,'Données projet'!$E$10+1,1))-AVERAGE(OFFSET($H$3,0,0,'Données projet'!$E$10+1,1))</f>
        <v>325.72928944930294</v>
      </c>
      <c r="AO32" s="59">
        <f t="shared" si="36"/>
        <v>318.38876834819752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2.5321629642137218</v>
      </c>
      <c r="AV32" s="21">
        <f>EXP(-LN(2)/25)*AV31+(1-EXP(-LN(2)/25))/(LN(2)/25)*Calculateur!AQ32*Calculateur!AS32*VLOOKUP('Données projet'!$B$10,Paramètres!$A$1:$I$89,3,0)*0.475*44/12</f>
        <v>9.3284400563047978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11.86060302051852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10</v>
      </c>
      <c r="BD32" s="12">
        <f>IF('Données projet'!$A$88&gt;35,BD31+BC32-BL31,IF(A32&lt;'Données projet'!$A$88,$BA$205^A32,IF(A32='Données projet'!$A$88,'Données projet'!$B$88,BD31+BC32-BL31)))</f>
        <v>176</v>
      </c>
      <c r="BE32" s="13">
        <f>BD32*VLOOKUP('Données projet'!$B$11,Paramètres!$A$1:$I$89,3,0)*VLOOKUP('Données projet'!$B$11,Paramètres!$A$1:$I$89,5,0)</f>
        <v>115.3152</v>
      </c>
      <c r="BF32" s="13">
        <f t="shared" si="37"/>
        <v>30.579827148797317</v>
      </c>
      <c r="BG32" s="20">
        <f t="shared" si="7"/>
        <v>254.10050561748861</v>
      </c>
      <c r="BH32" s="59">
        <f t="shared" si="8"/>
        <v>547.43383895082195</v>
      </c>
      <c r="BI32" s="59">
        <f ca="1">AVERAGE(OFFSET($BH$3,0,0,'Données projet'!$E$11+1,1))-AVERAGE(OFFSET($H$3,0,0,'Données projet'!$E$11+1,1))</f>
        <v>209.40885738157152</v>
      </c>
      <c r="BJ32" s="59">
        <f t="shared" si="38"/>
        <v>230.15385333954697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1.0799716487739004</v>
      </c>
      <c r="BR32" s="21">
        <f>EXP(-LN(2)/2)*BR31+(1-EXP(-LN(2)/2))/(LN(2)/2)*BL32*BO32*VLOOKUP('Données projet'!$B$11,Paramètres!$A$1:$I$89,3,0)*0.475*44/12</f>
        <v>1.2186133842671598</v>
      </c>
      <c r="BS32" s="22">
        <f t="shared" si="9"/>
        <v>2.2985850330410602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4.0628205128205126</v>
      </c>
      <c r="BY32" s="12">
        <f>IF('Données projet'!$A$114&gt;35,BY31+BX32-CG31,IF(A32&lt;'Données projet'!$A$114,$BV$205^A32,IF(A32='Données projet'!$A$114,'Données projet'!$B$114,BY31+BX32-CG31)))</f>
        <v>103.85257315361756</v>
      </c>
      <c r="BZ32" s="13">
        <f>BY32*VLOOKUP('Données projet'!$B$12,Paramètres!$A$1:$I$89,3,0)*VLOOKUP('Données projet'!$B$12,Paramètres!$A$1:$I$89,5,0)</f>
        <v>93.965808189393158</v>
      </c>
      <c r="CA32" s="13">
        <f t="shared" si="39"/>
        <v>25.519268853524185</v>
      </c>
      <c r="CB32" s="20">
        <f t="shared" si="10"/>
        <v>208.10317584974769</v>
      </c>
      <c r="CC32" s="59">
        <f t="shared" si="11"/>
        <v>501.436509183081</v>
      </c>
      <c r="CD32" s="59">
        <f ca="1">AVERAGE(OFFSET($CC$3,0,0,'Données projet'!$E$12+1,1))-AVERAGE(OFFSET($H$3,0,0,'Données projet'!$E$12+1,1))</f>
        <v>270.87836509222456</v>
      </c>
      <c r="CE32" s="59">
        <f t="shared" si="40"/>
        <v>205.24998237949734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8</v>
      </c>
      <c r="CT32" s="12">
        <f>IF('Données projet'!$A$140&gt;35,CT31+CS32-DB31,IF(A32&lt;'Données projet'!$A$140,$CQ$205^A32,IF(A32='Données projet'!$A$140,'Données projet'!$B$140,CT31+CS32-DB31)))</f>
        <v>111</v>
      </c>
      <c r="CU32" s="17">
        <f>CT32*VLOOKUP('Données projet'!$B$13,Paramètres!$A$1:$I$89,3,0)*VLOOKUP('Données projet'!$B$13,Paramètres!$A$1:$I$89,5,0)</f>
        <v>96.969600000000014</v>
      </c>
      <c r="CV32" s="13">
        <f t="shared" si="41"/>
        <v>26.238758642904337</v>
      </c>
      <c r="CW32" s="20">
        <f t="shared" si="13"/>
        <v>214.58789130305843</v>
      </c>
      <c r="CX32" s="59">
        <f t="shared" si="14"/>
        <v>507.92122463639174</v>
      </c>
      <c r="CY32" s="59">
        <f ca="1">AVERAGE(OFFSET($CX$3,0,0,'Données projet'!$E$13+1,1))-AVERAGE(OFFSET($H$3,0,0,'Données projet'!$E$13+1,1))</f>
        <v>207.4513063267579</v>
      </c>
      <c r="CZ32" s="59">
        <f t="shared" si="42"/>
        <v>191.63513530247218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0</v>
      </c>
      <c r="N33" s="13">
        <f>IF('Données projet'!$A$36&gt;35,N32+M33-V32,IF(A33&lt;'Données projet'!$A$36,$K$205^A33,IF(A33='Données projet'!$A$36,'Données projet'!$B$36,N32+M33-V32)))</f>
        <v>0</v>
      </c>
      <c r="O33" s="13">
        <f>N33*VLOOKUP('Données projet'!$B$9,Paramètres!$A$1:$I$89,3,0)*VLOOKUP('Données projet'!$B$9,Paramètres!$A$1:$I$89,5,0)</f>
        <v>0</v>
      </c>
      <c r="P33" s="13" t="e">
        <f t="shared" si="33"/>
        <v>#NUM!</v>
      </c>
      <c r="Q33" s="20" t="e">
        <f t="shared" si="2"/>
        <v>#NUM!</v>
      </c>
      <c r="R33" s="59" t="e">
        <f t="shared" si="0"/>
        <v>#NUM!</v>
      </c>
      <c r="S33" s="59">
        <f ca="1">AVERAGE(OFFSET($R$3,0,0,'Données projet'!$E$9+1,1))-AVERAGE(OFFSET($H$3,0,0,'Données projet'!$E$9+1,1))</f>
        <v>66.814714696519275</v>
      </c>
      <c r="T33" s="59">
        <f t="shared" si="34"/>
        <v>199.56746335788068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38.811655822081008</v>
      </c>
      <c r="AA33" s="21">
        <f>EXP(-LN(2)/25)*AA32+(1-EXP(-LN(2)/25))/(LN(2)/25)*Calculateur!V33*Calculateur!X33*VLOOKUP('Données projet'!$B$9,Paramètres!$A$1:$I$89,3,0)*0.475*44/12</f>
        <v>7.6531214308787652</v>
      </c>
      <c r="AB33" s="21">
        <f>EXP(-LN(2)/2)*AB32+(1-EXP(-LN(2)/2))/(LN(2)/2)*V33*Y33*VLOOKUP('Données projet'!$B$9,Paramètres!$A$1:$I$89,3,0)*0.475*44/12</f>
        <v>0.45068169056287311</v>
      </c>
      <c r="AC33" s="22">
        <f t="shared" si="3"/>
        <v>46.915458943522644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205</v>
      </c>
      <c r="AG33" s="12">
        <f>VLOOKUP(A33,'Données projet'!$A$61:$I$81,9,0)</f>
        <v>16.399999999999999</v>
      </c>
      <c r="AH33" s="12">
        <f t="array" ref="AH33">INDEX(AG:AG,MIN(IF(ISNUMBER(AG33:AG229),ROW(AG33:AG229),"")))</f>
        <v>16.399999999999999</v>
      </c>
      <c r="AI33" s="13">
        <f>IF('Données projet'!$A$62&gt;35,AI32+AH33-AQ32,IF(A33&lt;'Données projet'!$A$62,$AF$205^A33,IF(A33='Données projet'!$A$62,'Données projet'!$B$62,AI32+AH33-AQ32)))</f>
        <v>205.00000000000006</v>
      </c>
      <c r="AJ33" s="13">
        <f>AI33*VLOOKUP('Données projet'!$B$10,Paramètres!$A$1:$I$89,3,0)*VLOOKUP('Données projet'!$B$10,Paramètres!$A$1:$I$89,5,0)</f>
        <v>163.09800000000004</v>
      </c>
      <c r="AK33" s="13">
        <f t="shared" si="35"/>
        <v>41.540496136845142</v>
      </c>
      <c r="AL33" s="20">
        <f t="shared" si="4"/>
        <v>356.41204743833867</v>
      </c>
      <c r="AM33" s="59">
        <f t="shared" si="5"/>
        <v>649.74538077167199</v>
      </c>
      <c r="AN33" s="59">
        <f ca="1">AVERAGE(OFFSET($AM$3,0,0,'Données projet'!$E$10+1,1))-AVERAGE(OFFSET($H$3,0,0,'Données projet'!$E$10+1,1))</f>
        <v>325.72928944930294</v>
      </c>
      <c r="AO33" s="59">
        <f t="shared" si="36"/>
        <v>318.38876834819752</v>
      </c>
      <c r="AP33" s="15">
        <f>IF(ISNA(VLOOKUP(A33,'Données projet'!$A$61:$I$81,3,0)),0,VLOOKUP(A33,'Données projet'!$A$61:$I$81,3,0))</f>
        <v>5</v>
      </c>
      <c r="AQ33" s="15">
        <f>IF(ISNA(VLOOKUP(A33,'Données projet'!$A$61:$I$81,4,0)),0,VLOOKUP(A33,'Données projet'!$A$61:$I$81,4,0))</f>
        <v>42</v>
      </c>
      <c r="AR33" s="16">
        <f>IF(ISNA(VLOOKUP(A33,'Données projet'!$A$61:$I$81,5,0)),0%,VLOOKUP(A33,'Données projet'!$A$61:$I$81,5,0)*VLOOKUP('Données projet'!$B$10,Paramètres!$A$1:$I$89,7,0))</f>
        <v>0.27560000000000001</v>
      </c>
      <c r="AS33" s="16">
        <f>IF(ISNA(VLOOKUP(A33,'Données projet'!$A$61:$I$81,6,0)),0%,VLOOKUP(A33,'Données projet'!$A$61:$I$81,6,0)*VLOOKUP('Données projet'!$B$10,Paramètres!$A$1:$I$89,7,0))</f>
        <v>0.1643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12.663038803444692</v>
      </c>
      <c r="AV33" s="21">
        <f>EXP(-LN(2)/25)*AV32+(1-EXP(-LN(2)/25))/(LN(2)/25)*Calculateur!AQ33*Calculateur!AS33*VLOOKUP('Données projet'!$B$10,Paramètres!$A$1:$I$89,3,0)*0.475*44/12</f>
        <v>15.118618890238476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27.781657693683169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186</v>
      </c>
      <c r="BB33" s="12">
        <f>VLOOKUP(A33,'Données projet'!$A$87:$I$107,9,0)</f>
        <v>10</v>
      </c>
      <c r="BC33" s="12">
        <f t="array" ref="BC33">INDEX(BB:BB,MIN(IF(ISNUMBER(BB33:BB229),ROW(BB33:BB229),"")))</f>
        <v>10</v>
      </c>
      <c r="BD33" s="12">
        <f>IF('Données projet'!$A$88&gt;35,BD32+BC33-BL32,IF(A33&lt;'Données projet'!$A$88,$BA$205^A33,IF(A33='Données projet'!$A$88,'Données projet'!$B$88,BD32+BC33-BL32)))</f>
        <v>186</v>
      </c>
      <c r="BE33" s="13">
        <f>BD33*VLOOKUP('Données projet'!$B$11,Paramètres!$A$1:$I$89,3,0)*VLOOKUP('Données projet'!$B$11,Paramètres!$A$1:$I$89,5,0)</f>
        <v>121.86719999999998</v>
      </c>
      <c r="BF33" s="13">
        <f t="shared" si="37"/>
        <v>32.110100916567376</v>
      </c>
      <c r="BG33" s="20">
        <f t="shared" si="7"/>
        <v>268.17713242968813</v>
      </c>
      <c r="BH33" s="59">
        <f t="shared" si="8"/>
        <v>561.51046576302144</v>
      </c>
      <c r="BI33" s="59">
        <f ca="1">AVERAGE(OFFSET($BH$3,0,0,'Données projet'!$E$11+1,1))-AVERAGE(OFFSET($H$3,0,0,'Données projet'!$E$11+1,1))</f>
        <v>209.40885738157152</v>
      </c>
      <c r="BJ33" s="59">
        <f t="shared" si="38"/>
        <v>230.15385333954697</v>
      </c>
      <c r="BK33" s="15">
        <f>IF(ISNA(VLOOKUP(A33,'Données projet'!$A$87:$I$107,3,0)),0,VLOOKUP(A33,'Données projet'!$A$87:$I$107,3,0))</f>
        <v>5</v>
      </c>
      <c r="BL33" s="15" t="str">
        <f>IF(ISNA(VLOOKUP(A33,'Données projet'!$A$87:$I$107,4,0)),0,VLOOKUP(A33,'Données projet'!$A$87:$I$107,4,0))</f>
        <v>26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4.3000000000000003E-2</v>
      </c>
      <c r="BO33" s="16">
        <f>IF(ISNA(VLOOKUP(A33,'Données projet'!$A$87:$I$107,7,0)),0%,VLOOKUP(A33,'Données projet'!$A$87:$I$107,7,0))</f>
        <v>0.3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1.8570234733945163</v>
      </c>
      <c r="BR33" s="21">
        <f>EXP(-LN(2)/2)*BR32+(1-EXP(-LN(2)/2))/(LN(2)/2)*BL33*BO33*VLOOKUP('Données projet'!$B$11,Paramètres!$A$1:$I$89,3,0)*0.475*44/12</f>
        <v>5.6836406963657096</v>
      </c>
      <c r="BS33" s="22">
        <f t="shared" si="9"/>
        <v>7.5406641697602259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121.88461538461537</v>
      </c>
      <c r="BW33" s="12">
        <f>VLOOKUP(A33,'Données projet'!$A$113:$I$133,9,0)</f>
        <v>4.0628205128205126</v>
      </c>
      <c r="BX33" s="12">
        <f t="array" ref="BX33">INDEX(BW:BW,MIN(IF(ISNUMBER(BW33:BW229),ROW(BW33:BW229),"")))</f>
        <v>4.0628205128205126</v>
      </c>
      <c r="BY33" s="12">
        <f>IF('Données projet'!$A$114&gt;35,BY32+BX33-CG32,IF(A33&lt;'Données projet'!$A$114,$BV$205^A33,IF(A33='Données projet'!$A$114,'Données projet'!$B$114,BY32+BX33-CG32)))</f>
        <v>121.88461538461537</v>
      </c>
      <c r="BZ33" s="13">
        <f>BY33*VLOOKUP('Données projet'!$B$12,Paramètres!$A$1:$I$89,3,0)*VLOOKUP('Données projet'!$B$12,Paramètres!$A$1:$I$89,5,0)</f>
        <v>110.2812</v>
      </c>
      <c r="CA33" s="13">
        <f t="shared" si="39"/>
        <v>29.397227638069996</v>
      </c>
      <c r="CB33" s="20">
        <f t="shared" si="10"/>
        <v>243.27326146963856</v>
      </c>
      <c r="CC33" s="59">
        <f t="shared" si="11"/>
        <v>536.60659480297181</v>
      </c>
      <c r="CD33" s="59">
        <f ca="1">AVERAGE(OFFSET($CC$3,0,0,'Données projet'!$E$12+1,1))-AVERAGE(OFFSET($H$3,0,0,'Données projet'!$E$12+1,1))</f>
        <v>270.87836509222456</v>
      </c>
      <c r="CE33" s="59">
        <f t="shared" si="40"/>
        <v>205.24998237949734</v>
      </c>
      <c r="CF33" s="15" t="str">
        <f>IF(ISNA(VLOOKUP(A33,'Données projet'!$A$113:$I$133,3,0)),0,VLOOKUP(A33,'Données projet'!$A$113:$I$133,3,0))</f>
        <v>na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119</v>
      </c>
      <c r="CR33" s="12">
        <f>VLOOKUP(A33,'Données projet'!$A$139:$I$159,9,0)</f>
        <v>8</v>
      </c>
      <c r="CS33" s="12">
        <f t="array" ref="CS33">INDEX(CR:CR,MIN(IF(ISNUMBER(CR33:CR229),ROW(CR33:CR229),"")))</f>
        <v>8</v>
      </c>
      <c r="CT33" s="12">
        <f>IF('Données projet'!$A$140&gt;35,CT32+CS33-DB32,IF(A33&lt;'Données projet'!$A$140,$CQ$205^A33,IF(A33='Données projet'!$A$140,'Données projet'!$B$140,CT32+CS33-DB32)))</f>
        <v>119</v>
      </c>
      <c r="CU33" s="17">
        <f>CT33*VLOOKUP('Données projet'!$B$13,Paramètres!$A$1:$I$89,3,0)*VLOOKUP('Données projet'!$B$13,Paramètres!$A$1:$I$89,5,0)</f>
        <v>103.9584</v>
      </c>
      <c r="CV33" s="13">
        <f t="shared" si="41"/>
        <v>27.902890560352166</v>
      </c>
      <c r="CW33" s="20">
        <f t="shared" si="13"/>
        <v>229.65841439261331</v>
      </c>
      <c r="CX33" s="59">
        <f t="shared" si="14"/>
        <v>522.99174772594665</v>
      </c>
      <c r="CY33" s="59">
        <f ca="1">AVERAGE(OFFSET($CX$3,0,0,'Données projet'!$E$13+1,1))-AVERAGE(OFFSET($H$3,0,0,'Données projet'!$E$13+1,1))</f>
        <v>207.4513063267579</v>
      </c>
      <c r="CZ33" s="59">
        <f t="shared" si="42"/>
        <v>191.63513530247218</v>
      </c>
      <c r="DA33" s="15">
        <f>IF(ISNA(VLOOKUP(A33,'Données projet'!$A$139:$I$159,3,0)),0,VLOOKUP(A33,'Données projet'!$A$139:$I$159,3,0))</f>
        <v>3</v>
      </c>
      <c r="DB33" s="15" t="str">
        <f>IF(ISNA(VLOOKUP(A33,'Données projet'!$A$139:$I$159,4,0)),0,VLOOKUP(A33,'Données projet'!$A$139:$I$159,4,0))</f>
        <v>20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66.814714696519275</v>
      </c>
      <c r="T34" s="59">
        <f t="shared" si="34"/>
        <v>199.56746335788068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38.050582924182557</v>
      </c>
      <c r="AA34" s="21">
        <f>EXP(-LN(2)/25)*AA33+(1-EXP(-LN(2)/25))/(LN(2)/25)*Calculateur!V34*Calculateur!X34*VLOOKUP('Données projet'!$B$9,Paramètres!$A$1:$I$89,3,0)*0.475*44/12</f>
        <v>7.4438464228912204</v>
      </c>
      <c r="AB34" s="21">
        <f>EXP(-LN(2)/2)*AB33+(1-EXP(-LN(2)/2))/(LN(2)/2)*V34*Y34*VLOOKUP('Données projet'!$B$9,Paramètres!$A$1:$I$89,3,0)*0.475*44/12</f>
        <v>0.31868007955362487</v>
      </c>
      <c r="AC34" s="22">
        <f t="shared" si="3"/>
        <v>45.813109426627399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15.2</v>
      </c>
      <c r="AI34" s="13">
        <f>IF('Données projet'!$A$62&gt;35,AI33+AH34-AQ33,IF(A34&lt;'Données projet'!$A$62,$AF$205^A34,IF(A34='Données projet'!$A$62,'Données projet'!$B$62,AI33+AH34-AQ33)))</f>
        <v>178.20000000000005</v>
      </c>
      <c r="AJ34" s="13">
        <f>AI34*VLOOKUP('Données projet'!$B$10,Paramètres!$A$1:$I$89,3,0)*VLOOKUP('Données projet'!$B$10,Paramètres!$A$1:$I$89,5,0)</f>
        <v>141.77592000000004</v>
      </c>
      <c r="AK34" s="13">
        <f t="shared" si="35"/>
        <v>36.703544878441981</v>
      </c>
      <c r="AL34" s="20">
        <f t="shared" si="4"/>
        <v>310.85173466328649</v>
      </c>
      <c r="AM34" s="59">
        <f t="shared" si="5"/>
        <v>604.18506799661986</v>
      </c>
      <c r="AN34" s="59">
        <f ca="1">AVERAGE(OFFSET($AM$3,0,0,'Données projet'!$E$10+1,1))-AVERAGE(OFFSET($H$3,0,0,'Données projet'!$E$10+1,1))</f>
        <v>325.72928944930294</v>
      </c>
      <c r="AO34" s="59">
        <f t="shared" si="36"/>
        <v>318.38876834819752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12.414724336200161</v>
      </c>
      <c r="AV34" s="21">
        <f>EXP(-LN(2)/25)*AV33+(1-EXP(-LN(2)/25))/(LN(2)/25)*Calculateur!AQ34*Calculateur!AS34*VLOOKUP('Données projet'!$B$10,Paramètres!$A$1:$I$89,3,0)*0.475*44/12</f>
        <v>14.705199461631292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27.119923797831454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9.6</v>
      </c>
      <c r="BD34" s="12">
        <f>IF('Données projet'!$A$88&gt;35,BD33+BC34-BL33,IF(A34&lt;'Données projet'!$A$88,$BA$205^A34,IF(A34='Données projet'!$A$88,'Données projet'!$B$88,BD33+BC34-BL33)))</f>
        <v>169.6</v>
      </c>
      <c r="BE34" s="13">
        <f>BD34*VLOOKUP('Données projet'!$B$11,Paramètres!$A$1:$I$89,3,0)*VLOOKUP('Données projet'!$B$11,Paramètres!$A$1:$I$89,5,0)</f>
        <v>111.12192</v>
      </c>
      <c r="BF34" s="13">
        <f t="shared" si="37"/>
        <v>29.595161360044589</v>
      </c>
      <c r="BG34" s="20">
        <f t="shared" si="7"/>
        <v>245.08225003541099</v>
      </c>
      <c r="BH34" s="59">
        <f t="shared" si="8"/>
        <v>538.41558336874436</v>
      </c>
      <c r="BI34" s="59">
        <f ca="1">AVERAGE(OFFSET($BH$3,0,0,'Données projet'!$E$11+1,1))-AVERAGE(OFFSET($H$3,0,0,'Données projet'!$E$11+1,1))</f>
        <v>209.40885738157152</v>
      </c>
      <c r="BJ34" s="59">
        <f t="shared" si="38"/>
        <v>230.15385333954697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1.8062430688579232</v>
      </c>
      <c r="BR34" s="21">
        <f>EXP(-LN(2)/2)*BR33+(1-EXP(-LN(2)/2))/(LN(2)/2)*BL34*BO34*VLOOKUP('Données projet'!$B$11,Paramètres!$A$1:$I$89,3,0)*0.475*44/12</f>
        <v>4.0189408782280243</v>
      </c>
      <c r="BS34" s="22">
        <f t="shared" si="9"/>
        <v>5.8251839470859474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8.0564102564102633</v>
      </c>
      <c r="BY34" s="12">
        <f>IF('Données projet'!$A$114&gt;35,BY33+BX34-CG33,IF(A34&lt;'Données projet'!$A$114,$BV$205^A34,IF(A34='Données projet'!$A$114,'Données projet'!$B$114,BY33+BX34-CG33)))</f>
        <v>129.94102564102565</v>
      </c>
      <c r="BZ34" s="13">
        <f>BY34*VLOOKUP('Données projet'!$B$12,Paramètres!$A$1:$I$89,3,0)*VLOOKUP('Données projet'!$B$12,Paramètres!$A$1:$I$89,5,0)</f>
        <v>117.57064000000001</v>
      </c>
      <c r="CA34" s="13">
        <f t="shared" si="39"/>
        <v>31.107718284302781</v>
      </c>
      <c r="CB34" s="20">
        <f t="shared" si="10"/>
        <v>258.94814067849398</v>
      </c>
      <c r="CC34" s="59">
        <f t="shared" si="11"/>
        <v>552.2814740118273</v>
      </c>
      <c r="CD34" s="59">
        <f ca="1">AVERAGE(OFFSET($CC$3,0,0,'Données projet'!$E$12+1,1))-AVERAGE(OFFSET($H$3,0,0,'Données projet'!$E$12+1,1))</f>
        <v>270.87836509222456</v>
      </c>
      <c r="CE34" s="59">
        <f t="shared" si="40"/>
        <v>205.24998237949734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7.2</v>
      </c>
      <c r="CT34" s="12">
        <f>IF('Données projet'!$A$140&gt;35,CT33+CS34-DB33,IF(A34&lt;'Données projet'!$A$140,$CQ$205^A34,IF(A34='Données projet'!$A$140,'Données projet'!$B$140,CT33+CS34-DB33)))</f>
        <v>106.2</v>
      </c>
      <c r="CU34" s="17">
        <f>CT34*VLOOKUP('Données projet'!$B$13,Paramètres!$A$1:$I$89,3,0)*VLOOKUP('Données projet'!$B$13,Paramètres!$A$1:$I$89,5,0)</f>
        <v>92.776320000000013</v>
      </c>
      <c r="CV34" s="13">
        <f t="shared" si="41"/>
        <v>25.233617967655977</v>
      </c>
      <c r="CW34" s="20">
        <f t="shared" si="13"/>
        <v>205.53397529366751</v>
      </c>
      <c r="CX34" s="59">
        <f t="shared" si="14"/>
        <v>498.86730862700085</v>
      </c>
      <c r="CY34" s="59">
        <f ca="1">AVERAGE(OFFSET($CX$3,0,0,'Données projet'!$E$13+1,1))-AVERAGE(OFFSET($H$3,0,0,'Données projet'!$E$13+1,1))</f>
        <v>207.4513063267579</v>
      </c>
      <c r="CZ34" s="59">
        <f t="shared" si="42"/>
        <v>191.63513530247218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66.814714696519275</v>
      </c>
      <c r="T35" s="59">
        <f t="shared" si="34"/>
        <v>199.56746335788068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37.304434201603264</v>
      </c>
      <c r="AA35" s="21">
        <f>EXP(-LN(2)/25)*AA34+(1-EXP(-LN(2)/25))/(LN(2)/25)*Calculateur!V35*Calculateur!X35*VLOOKUP('Données projet'!$B$9,Paramètres!$A$1:$I$89,3,0)*0.475*44/12</f>
        <v>7.2402940510023894</v>
      </c>
      <c r="AB35" s="21">
        <f>EXP(-LN(2)/2)*AB34+(1-EXP(-LN(2)/2))/(LN(2)/2)*V35*Y35*VLOOKUP('Données projet'!$B$9,Paramètres!$A$1:$I$89,3,0)*0.475*44/12</f>
        <v>0.22534084528143661</v>
      </c>
      <c r="AC35" s="22">
        <f t="shared" si="3"/>
        <v>44.770069097887088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15.2</v>
      </c>
      <c r="AI35" s="13">
        <f>IF('Données projet'!$A$62&gt;35,AI34+AH35-AQ34,IF(A35&lt;'Données projet'!$A$62,$AF$205^A35,IF(A35='Données projet'!$A$62,'Données projet'!$B$62,AI34+AH35-AQ34)))</f>
        <v>193.40000000000003</v>
      </c>
      <c r="AJ35" s="13">
        <f>AI35*VLOOKUP('Données projet'!$B$10,Paramètres!$A$1:$I$89,3,0)*VLOOKUP('Données projet'!$B$10,Paramètres!$A$1:$I$89,5,0)</f>
        <v>153.86904000000004</v>
      </c>
      <c r="AK35" s="13">
        <f t="shared" si="35"/>
        <v>39.456531419736123</v>
      </c>
      <c r="AL35" s="20">
        <f t="shared" si="4"/>
        <v>336.70870355604046</v>
      </c>
      <c r="AM35" s="59">
        <f t="shared" si="5"/>
        <v>630.04203688937378</v>
      </c>
      <c r="AN35" s="59">
        <f ca="1">AVERAGE(OFFSET($AM$3,0,0,'Données projet'!$E$10+1,1))-AVERAGE(OFFSET($H$3,0,0,'Données projet'!$E$10+1,1))</f>
        <v>325.72928944930294</v>
      </c>
      <c r="AO35" s="59">
        <f t="shared" si="36"/>
        <v>318.38876834819752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12.171279164201424</v>
      </c>
      <c r="AV35" s="21">
        <f>EXP(-LN(2)/25)*AV34+(1-EXP(-LN(2)/25))/(LN(2)/25)*Calculateur!AQ35*Calculateur!AS35*VLOOKUP('Données projet'!$B$10,Paramètres!$A$1:$I$89,3,0)*0.475*44/12</f>
        <v>14.303085009040153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26.474364173241575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9.6</v>
      </c>
      <c r="BD35" s="12">
        <f>IF('Données projet'!$A$88&gt;35,BD34+BC35-BL34,IF(A35&lt;'Données projet'!$A$88,$BA$205^A35,IF(A35='Données projet'!$A$88,'Données projet'!$B$88,BD34+BC35-BL34)))</f>
        <v>179.2</v>
      </c>
      <c r="BE35" s="13">
        <f>BD35*VLOOKUP('Données projet'!$B$11,Paramètres!$A$1:$I$89,3,0)*VLOOKUP('Données projet'!$B$11,Paramètres!$A$1:$I$89,5,0)</f>
        <v>117.41184</v>
      </c>
      <c r="BF35" s="13">
        <f t="shared" si="37"/>
        <v>31.070589593507073</v>
      </c>
      <c r="BG35" s="20">
        <f t="shared" si="7"/>
        <v>258.60689820869146</v>
      </c>
      <c r="BH35" s="59">
        <f t="shared" si="8"/>
        <v>551.94023154202478</v>
      </c>
      <c r="BI35" s="59">
        <f ca="1">AVERAGE(OFFSET($BH$3,0,0,'Données projet'!$E$11+1,1))-AVERAGE(OFFSET($H$3,0,0,'Données projet'!$E$11+1,1))</f>
        <v>209.40885738157152</v>
      </c>
      <c r="BJ35" s="59">
        <f t="shared" si="38"/>
        <v>230.15385333954697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1.7568512571538084</v>
      </c>
      <c r="BR35" s="21">
        <f>EXP(-LN(2)/2)*BR34+(1-EXP(-LN(2)/2))/(LN(2)/2)*BL35*BO35*VLOOKUP('Données projet'!$B$11,Paramètres!$A$1:$I$89,3,0)*0.475*44/12</f>
        <v>2.8418203481828548</v>
      </c>
      <c r="BS35" s="22">
        <f t="shared" si="9"/>
        <v>4.598671605336663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8.0564102564102633</v>
      </c>
      <c r="BY35" s="12">
        <f>IF('Données projet'!$A$114&gt;35,BY34+BX35-CG34,IF(A35&lt;'Données projet'!$A$114,$BV$205^A35,IF(A35='Données projet'!$A$114,'Données projet'!$B$114,BY34+BX35-CG34)))</f>
        <v>137.99743589743591</v>
      </c>
      <c r="BZ35" s="13">
        <f>BY35*VLOOKUP('Données projet'!$B$12,Paramètres!$A$1:$I$89,3,0)*VLOOKUP('Données projet'!$B$12,Paramètres!$A$1:$I$89,5,0)</f>
        <v>124.86008000000001</v>
      </c>
      <c r="CA35" s="13">
        <f t="shared" si="39"/>
        <v>32.805900674075268</v>
      </c>
      <c r="CB35" s="20">
        <f t="shared" si="10"/>
        <v>274.60158300734776</v>
      </c>
      <c r="CC35" s="59">
        <f t="shared" si="11"/>
        <v>567.93491634068107</v>
      </c>
      <c r="CD35" s="59">
        <f ca="1">AVERAGE(OFFSET($CC$3,0,0,'Données projet'!$E$12+1,1))-AVERAGE(OFFSET($H$3,0,0,'Données projet'!$E$12+1,1))</f>
        <v>270.87836509222456</v>
      </c>
      <c r="CE35" s="59">
        <f t="shared" si="40"/>
        <v>205.24998237949734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7.2</v>
      </c>
      <c r="CT35" s="12">
        <f>IF('Données projet'!$A$140&gt;35,CT34+CS35-DB34,IF(A35&lt;'Données projet'!$A$140,$CQ$205^A35,IF(A35='Données projet'!$A$140,'Données projet'!$B$140,CT34+CS35-DB34)))</f>
        <v>113.4</v>
      </c>
      <c r="CU35" s="17">
        <f>CT35*VLOOKUP('Données projet'!$B$13,Paramètres!$A$1:$I$89,3,0)*VLOOKUP('Données projet'!$B$13,Paramètres!$A$1:$I$89,5,0)</f>
        <v>99.066240000000022</v>
      </c>
      <c r="CV35" s="13">
        <f t="shared" si="41"/>
        <v>26.739420789378705</v>
      </c>
      <c r="CW35" s="20">
        <f t="shared" si="13"/>
        <v>219.11152587483457</v>
      </c>
      <c r="CX35" s="59">
        <f t="shared" si="14"/>
        <v>512.44485920816783</v>
      </c>
      <c r="CY35" s="59">
        <f ca="1">AVERAGE(OFFSET($CX$3,0,0,'Données projet'!$E$13+1,1))-AVERAGE(OFFSET($H$3,0,0,'Données projet'!$E$13+1,1))</f>
        <v>207.4513063267579</v>
      </c>
      <c r="CZ35" s="59">
        <f t="shared" si="42"/>
        <v>191.63513530247218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66.814714696519275</v>
      </c>
      <c r="T36" s="59">
        <f t="shared" si="34"/>
        <v>199.56746335788068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36.572917000367973</v>
      </c>
      <c r="AA36" s="21">
        <f>EXP(-LN(2)/25)*AA35+(1-EXP(-LN(2)/25))/(LN(2)/25)*Calculateur!V36*Calculateur!X36*VLOOKUP('Données projet'!$B$9,Paramètres!$A$1:$I$89,3,0)*0.475*44/12</f>
        <v>7.0423078294272132</v>
      </c>
      <c r="AB36" s="21">
        <f>EXP(-LN(2)/2)*AB35+(1-EXP(-LN(2)/2))/(LN(2)/2)*V36*Y36*VLOOKUP('Données projet'!$B$9,Paramètres!$A$1:$I$89,3,0)*0.475*44/12</f>
        <v>0.15934003977681246</v>
      </c>
      <c r="AC36" s="22">
        <f t="shared" si="3"/>
        <v>43.774564869572004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15.2</v>
      </c>
      <c r="AI36" s="13">
        <f>IF('Données projet'!$A$62&gt;35,AI35+AH36-AQ35,IF(A36&lt;'Données projet'!$A$62,$AF$205^A36,IF(A36='Données projet'!$A$62,'Données projet'!$B$62,AI35+AH36-AQ35)))</f>
        <v>208.60000000000002</v>
      </c>
      <c r="AJ36" s="13">
        <f>AI36*VLOOKUP('Données projet'!$B$10,Paramètres!$A$1:$I$89,3,0)*VLOOKUP('Données projet'!$B$10,Paramètres!$A$1:$I$89,5,0)</f>
        <v>165.96216000000001</v>
      </c>
      <c r="AK36" s="13">
        <f t="shared" si="35"/>
        <v>42.184420424142857</v>
      </c>
      <c r="AL36" s="20">
        <f t="shared" si="4"/>
        <v>362.52196090538217</v>
      </c>
      <c r="AM36" s="59">
        <f t="shared" si="5"/>
        <v>655.85529423871549</v>
      </c>
      <c r="AN36" s="59">
        <f ca="1">AVERAGE(OFFSET($AM$3,0,0,'Données projet'!$E$10+1,1))-AVERAGE(OFFSET($H$3,0,0,'Données projet'!$E$10+1,1))</f>
        <v>325.72928944930294</v>
      </c>
      <c r="AO36" s="59">
        <f t="shared" si="36"/>
        <v>318.38876834819752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11.932607803538691</v>
      </c>
      <c r="AV36" s="21">
        <f>EXP(-LN(2)/25)*AV35+(1-EXP(-LN(2)/25))/(LN(2)/25)*Calculateur!AQ36*Calculateur!AS36*VLOOKUP('Données projet'!$B$10,Paramètres!$A$1:$I$89,3,0)*0.475*44/12</f>
        <v>13.9119663973014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25.844574200840093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9.6</v>
      </c>
      <c r="BD36" s="12">
        <f>IF('Données projet'!$A$88&gt;35,BD35+BC36-BL35,IF(A36&lt;'Données projet'!$A$88,$BA$205^A36,IF(A36='Données projet'!$A$88,'Données projet'!$B$88,BD35+BC36-BL35)))</f>
        <v>188.79999999999998</v>
      </c>
      <c r="BE36" s="13">
        <f>BD36*VLOOKUP('Données projet'!$B$11,Paramètres!$A$1:$I$89,3,0)*VLOOKUP('Données projet'!$B$11,Paramètres!$A$1:$I$89,5,0)</f>
        <v>123.70175999999999</v>
      </c>
      <c r="BF36" s="13">
        <f t="shared" si="37"/>
        <v>32.536841470486884</v>
      </c>
      <c r="BG36" s="20">
        <f t="shared" si="7"/>
        <v>272.11556422776465</v>
      </c>
      <c r="BH36" s="59">
        <f t="shared" si="8"/>
        <v>565.44889756109797</v>
      </c>
      <c r="BI36" s="59">
        <f ca="1">AVERAGE(OFFSET($BH$3,0,0,'Données projet'!$E$11+1,1))-AVERAGE(OFFSET($H$3,0,0,'Données projet'!$E$11+1,1))</f>
        <v>209.40885738157152</v>
      </c>
      <c r="BJ36" s="59">
        <f t="shared" si="38"/>
        <v>230.15385333954697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1.7088100671381452</v>
      </c>
      <c r="BR36" s="21">
        <f>EXP(-LN(2)/2)*BR35+(1-EXP(-LN(2)/2))/(LN(2)/2)*BL36*BO36*VLOOKUP('Données projet'!$B$11,Paramètres!$A$1:$I$89,3,0)*0.475*44/12</f>
        <v>2.0094704391140121</v>
      </c>
      <c r="BS36" s="22">
        <f t="shared" si="9"/>
        <v>3.7182805062521576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8.0564102564102633</v>
      </c>
      <c r="BY36" s="12">
        <f>IF('Données projet'!$A$114&gt;35,BY35+BX36-CG35,IF(A36&lt;'Données projet'!$A$114,$BV$205^A36,IF(A36='Données projet'!$A$114,'Données projet'!$B$114,BY35+BX36-CG35)))</f>
        <v>146.05384615384617</v>
      </c>
      <c r="BZ36" s="13">
        <f>BY36*VLOOKUP('Données projet'!$B$12,Paramètres!$A$1:$I$89,3,0)*VLOOKUP('Données projet'!$B$12,Paramètres!$A$1:$I$89,5,0)</f>
        <v>132.14952</v>
      </c>
      <c r="CA36" s="13">
        <f t="shared" si="39"/>
        <v>34.49257523106499</v>
      </c>
      <c r="CB36" s="20">
        <f t="shared" si="10"/>
        <v>290.23498252743815</v>
      </c>
      <c r="CC36" s="59">
        <f t="shared" si="11"/>
        <v>583.56831586077146</v>
      </c>
      <c r="CD36" s="59">
        <f ca="1">AVERAGE(OFFSET($CC$3,0,0,'Données projet'!$E$12+1,1))-AVERAGE(OFFSET($H$3,0,0,'Données projet'!$E$12+1,1))</f>
        <v>270.87836509222456</v>
      </c>
      <c r="CE36" s="59">
        <f t="shared" si="40"/>
        <v>205.24998237949734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7.2</v>
      </c>
      <c r="CT36" s="12">
        <f>IF('Données projet'!$A$140&gt;35,CT35+CS36-DB35,IF(A36&lt;'Données projet'!$A$140,$CQ$205^A36,IF(A36='Données projet'!$A$140,'Données projet'!$B$140,CT35+CS36-DB35)))</f>
        <v>120.60000000000001</v>
      </c>
      <c r="CU36" s="17">
        <f>CT36*VLOOKUP('Données projet'!$B$13,Paramètres!$A$1:$I$89,3,0)*VLOOKUP('Données projet'!$B$13,Paramètres!$A$1:$I$89,5,0)</f>
        <v>105.35616000000003</v>
      </c>
      <c r="CV36" s="13">
        <f t="shared" si="41"/>
        <v>28.234128165723941</v>
      </c>
      <c r="CW36" s="20">
        <f t="shared" si="13"/>
        <v>232.66975188863589</v>
      </c>
      <c r="CX36" s="59">
        <f t="shared" si="14"/>
        <v>526.00308522196917</v>
      </c>
      <c r="CY36" s="59">
        <f ca="1">AVERAGE(OFFSET($CX$3,0,0,'Données projet'!$E$13+1,1))-AVERAGE(OFFSET($H$3,0,0,'Données projet'!$E$13+1,1))</f>
        <v>207.4513063267579</v>
      </c>
      <c r="CZ36" s="59">
        <f t="shared" si="42"/>
        <v>191.63513530247218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66.814714696519275</v>
      </c>
      <c r="T37" s="59">
        <f t="shared" si="34"/>
        <v>199.56746335788068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35.855744405267465</v>
      </c>
      <c r="AA37" s="21">
        <f>EXP(-LN(2)/25)*AA36+(1-EXP(-LN(2)/25))/(LN(2)/25)*Calculateur!V37*Calculateur!X37*VLOOKUP('Données projet'!$B$9,Paramètres!$A$1:$I$89,3,0)*0.475*44/12</f>
        <v>6.8497355514926523</v>
      </c>
      <c r="AB37" s="21">
        <f>EXP(-LN(2)/2)*AB36+(1-EXP(-LN(2)/2))/(LN(2)/2)*V37*Y37*VLOOKUP('Données projet'!$B$9,Paramètres!$A$1:$I$89,3,0)*0.475*44/12</f>
        <v>0.11267042264071832</v>
      </c>
      <c r="AC37" s="22">
        <f t="shared" si="3"/>
        <v>42.818150379400834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15.2</v>
      </c>
      <c r="AI37" s="13">
        <f>IF('Données projet'!$A$62&gt;35,AI36+AH37-AQ36,IF(A37&lt;'Données projet'!$A$62,$AF$205^A37,IF(A37='Données projet'!$A$62,'Données projet'!$B$62,AI36+AH37-AQ36)))</f>
        <v>223.8</v>
      </c>
      <c r="AJ37" s="13">
        <f>AI37*VLOOKUP('Données projet'!$B$10,Paramètres!$A$1:$I$89,3,0)*VLOOKUP('Données projet'!$B$10,Paramètres!$A$1:$I$89,5,0)</f>
        <v>178.05528000000001</v>
      </c>
      <c r="AK37" s="13">
        <f t="shared" si="35"/>
        <v>44.889248639558041</v>
      </c>
      <c r="AL37" s="20">
        <f t="shared" si="4"/>
        <v>388.29505404723028</v>
      </c>
      <c r="AM37" s="59">
        <f t="shared" si="5"/>
        <v>681.62838738056359</v>
      </c>
      <c r="AN37" s="59">
        <f ca="1">AVERAGE(OFFSET($AM$3,0,0,'Données projet'!$E$10+1,1))-AVERAGE(OFFSET($H$3,0,0,'Données projet'!$E$10+1,1))</f>
        <v>325.72928944930294</v>
      </c>
      <c r="AO37" s="59">
        <f t="shared" si="36"/>
        <v>318.38876834819752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11.698616642683398</v>
      </c>
      <c r="AV37" s="21">
        <f>EXP(-LN(2)/25)*AV36+(1-EXP(-LN(2)/25))/(LN(2)/25)*Calculateur!AQ37*Calculateur!AS37*VLOOKUP('Données projet'!$B$10,Paramètres!$A$1:$I$89,3,0)*0.475*44/12</f>
        <v>13.531542944568677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25.230159587252075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9.6</v>
      </c>
      <c r="BD37" s="12">
        <f>IF('Données projet'!$A$88&gt;35,BD36+BC37-BL36,IF(A37&lt;'Données projet'!$A$88,$BA$205^A37,IF(A37='Données projet'!$A$88,'Données projet'!$B$88,BD36+BC37-BL36)))</f>
        <v>198.39999999999998</v>
      </c>
      <c r="BE37" s="13">
        <f>BD37*VLOOKUP('Données projet'!$B$11,Paramètres!$A$1:$I$89,3,0)*VLOOKUP('Données projet'!$B$11,Paramètres!$A$1:$I$89,5,0)</f>
        <v>129.99167999999997</v>
      </c>
      <c r="BF37" s="13">
        <f t="shared" si="37"/>
        <v>33.994436817469854</v>
      </c>
      <c r="BG37" s="20">
        <f t="shared" si="7"/>
        <v>285.60915345709321</v>
      </c>
      <c r="BH37" s="59">
        <f t="shared" si="8"/>
        <v>578.94248679042653</v>
      </c>
      <c r="BI37" s="59">
        <f ca="1">AVERAGE(OFFSET($BH$3,0,0,'Données projet'!$E$11+1,1))-AVERAGE(OFFSET($H$3,0,0,'Données projet'!$E$11+1,1))</f>
        <v>209.40885738157152</v>
      </c>
      <c r="BJ37" s="59">
        <f t="shared" si="38"/>
        <v>230.15385333954697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1.6620825659898368</v>
      </c>
      <c r="BR37" s="21">
        <f>EXP(-LN(2)/2)*BR36+(1-EXP(-LN(2)/2))/(LN(2)/2)*BL37*BO37*VLOOKUP('Données projet'!$B$11,Paramètres!$A$1:$I$89,3,0)*0.475*44/12</f>
        <v>1.4209101740914274</v>
      </c>
      <c r="BS37" s="22">
        <f t="shared" si="9"/>
        <v>3.0829927400812642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8.0564102564102633</v>
      </c>
      <c r="BY37" s="12">
        <f>IF('Données projet'!$A$114&gt;35,BY36+BX37-CG36,IF(A37&lt;'Données projet'!$A$114,$BV$205^A37,IF(A37='Données projet'!$A$114,'Données projet'!$B$114,BY36+BX37-CG36)))</f>
        <v>154.11025641025643</v>
      </c>
      <c r="BZ37" s="13">
        <f>BY37*VLOOKUP('Données projet'!$B$12,Paramètres!$A$1:$I$89,3,0)*VLOOKUP('Données projet'!$B$12,Paramètres!$A$1:$I$89,5,0)</f>
        <v>139.43896000000001</v>
      </c>
      <c r="CA37" s="13">
        <f t="shared" si="39"/>
        <v>36.168449088081644</v>
      </c>
      <c r="CB37" s="20">
        <f t="shared" si="10"/>
        <v>305.8495708284089</v>
      </c>
      <c r="CC37" s="59">
        <f t="shared" si="11"/>
        <v>599.18290416174227</v>
      </c>
      <c r="CD37" s="59">
        <f ca="1">AVERAGE(OFFSET($CC$3,0,0,'Données projet'!$E$12+1,1))-AVERAGE(OFFSET($H$3,0,0,'Données projet'!$E$12+1,1))</f>
        <v>270.87836509222456</v>
      </c>
      <c r="CE37" s="59">
        <f t="shared" si="40"/>
        <v>205.24998237949734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7.2</v>
      </c>
      <c r="CT37" s="12">
        <f>IF('Données projet'!$A$140&gt;35,CT36+CS37-DB36,IF(A37&lt;'Données projet'!$A$140,$CQ$205^A37,IF(A37='Données projet'!$A$140,'Données projet'!$B$140,CT36+CS37-DB36)))</f>
        <v>127.80000000000001</v>
      </c>
      <c r="CU37" s="17">
        <f>CT37*VLOOKUP('Données projet'!$B$13,Paramètres!$A$1:$I$89,3,0)*VLOOKUP('Données projet'!$B$13,Paramètres!$A$1:$I$89,5,0)</f>
        <v>111.64608000000003</v>
      </c>
      <c r="CV37" s="13">
        <f t="shared" si="41"/>
        <v>29.718477955114288</v>
      </c>
      <c r="CW37" s="20">
        <f t="shared" si="13"/>
        <v>246.20993843849078</v>
      </c>
      <c r="CX37" s="59">
        <f t="shared" si="14"/>
        <v>539.54327177182404</v>
      </c>
      <c r="CY37" s="59">
        <f ca="1">AVERAGE(OFFSET($CX$3,0,0,'Données projet'!$E$13+1,1))-AVERAGE(OFFSET($H$3,0,0,'Données projet'!$E$13+1,1))</f>
        <v>207.4513063267579</v>
      </c>
      <c r="CZ37" s="59">
        <f t="shared" si="42"/>
        <v>191.63513530247218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66.814714696519275</v>
      </c>
      <c r="T38" s="59">
        <f t="shared" si="34"/>
        <v>199.56746335788068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35.152635127324793</v>
      </c>
      <c r="AA38" s="21">
        <f>EXP(-LN(2)/25)*AA37+(1-EXP(-LN(2)/25))/(LN(2)/25)*Calculateur!V38*Calculateur!X38*VLOOKUP('Données projet'!$B$9,Paramètres!$A$1:$I$89,3,0)*0.475*44/12</f>
        <v>6.6624291726251483</v>
      </c>
      <c r="AB38" s="21">
        <f>EXP(-LN(2)/2)*AB37+(1-EXP(-LN(2)/2))/(LN(2)/2)*V38*Y38*VLOOKUP('Données projet'!$B$9,Paramètres!$A$1:$I$89,3,0)*0.475*44/12</f>
        <v>7.9670019888406246E-2</v>
      </c>
      <c r="AC38" s="22">
        <f t="shared" si="3"/>
        <v>41.894734319838342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239</v>
      </c>
      <c r="AG38" s="12">
        <f>VLOOKUP(A38,'Données projet'!$A$61:$I$81,9,0)</f>
        <v>15.2</v>
      </c>
      <c r="AH38" s="12">
        <f t="array" ref="AH38">INDEX(AG:AG,MIN(IF(ISNUMBER(AG38:AG234),ROW(AG38:AG234),"")))</f>
        <v>15.2</v>
      </c>
      <c r="AI38" s="13">
        <f>IF('Données projet'!$A$62&gt;35,AI37+AH38-AQ37,IF(A38&lt;'Données projet'!$A$62,$AF$205^A38,IF(A38='Données projet'!$A$62,'Données projet'!$B$62,AI37+AH38-AQ37)))</f>
        <v>239</v>
      </c>
      <c r="AJ38" s="13">
        <f>AI38*VLOOKUP('Données projet'!$B$10,Paramètres!$A$1:$I$89,3,0)*VLOOKUP('Données projet'!$B$10,Paramètres!$A$1:$I$89,5,0)</f>
        <v>190.14840000000001</v>
      </c>
      <c r="AK38" s="13">
        <f t="shared" si="35"/>
        <v>47.572760493232991</v>
      </c>
      <c r="AL38" s="20">
        <f t="shared" si="4"/>
        <v>414.03102119238082</v>
      </c>
      <c r="AM38" s="59">
        <f t="shared" si="5"/>
        <v>707.36435452571413</v>
      </c>
      <c r="AN38" s="59">
        <f ca="1">AVERAGE(OFFSET($AM$3,0,0,'Données projet'!$E$10+1,1))-AVERAGE(OFFSET($H$3,0,0,'Données projet'!$E$10+1,1))</f>
        <v>325.72928944930294</v>
      </c>
      <c r="AO38" s="59">
        <f t="shared" si="36"/>
        <v>318.38876834819752</v>
      </c>
      <c r="AP38" s="15">
        <f>IF(ISNA(VLOOKUP(A38,'Données projet'!$A$61:$I$81,3,0)),0,VLOOKUP(A38,'Données projet'!$A$61:$I$81,3,0))</f>
        <v>6</v>
      </c>
      <c r="AQ38" s="15">
        <f>IF(ISNA(VLOOKUP(A38,'Données projet'!$A$61:$I$81,4,0)),0,VLOOKUP(A38,'Données projet'!$A$61:$I$81,4,0))</f>
        <v>42</v>
      </c>
      <c r="AR38" s="16">
        <f>IF(ISNA(VLOOKUP(A38,'Données projet'!$A$61:$I$81,5,0)),0%,VLOOKUP(A38,'Données projet'!$A$61:$I$81,5,0)*VLOOKUP('Données projet'!$B$10,Paramètres!$A$1:$I$89,7,0))</f>
        <v>0.39219999999999999</v>
      </c>
      <c r="AS38" s="16">
        <f>IF(ISNA(VLOOKUP(A38,'Données projet'!$A$61:$I$81,6,0)),0%,VLOOKUP(A38,'Données projet'!$A$61:$I$81,6,0)*VLOOKUP('Données projet'!$B$10,Paramètres!$A$1:$I$89,7,0))</f>
        <v>0.10070000000000001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25.956891228395616</v>
      </c>
      <c r="AV38" s="21">
        <f>EXP(-LN(2)/25)*AV37+(1-EXP(-LN(2)/25))/(LN(2)/25)*Calculateur!AQ38*Calculateur!AS38*VLOOKUP('Données projet'!$B$10,Paramètres!$A$1:$I$89,3,0)*0.475*44/12</f>
        <v>16.866684927893914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42.823576156289533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208</v>
      </c>
      <c r="BB38" s="12">
        <f>VLOOKUP(A38,'Données projet'!$A$87:$I$107,9,0)</f>
        <v>9.6</v>
      </c>
      <c r="BC38" s="12">
        <f t="array" ref="BC38">INDEX(BB:BB,MIN(IF(ISNUMBER(BB38:BB234),ROW(BB38:BB234),"")))</f>
        <v>9.6</v>
      </c>
      <c r="BD38" s="12">
        <f>IF('Données projet'!$A$88&gt;35,BD37+BC38-BL37,IF(A38&lt;'Données projet'!$A$88,$BA$205^A38,IF(A38='Données projet'!$A$88,'Données projet'!$B$88,BD37+BC38-BL37)))</f>
        <v>207.99999999999997</v>
      </c>
      <c r="BE38" s="13">
        <f>BD38*VLOOKUP('Données projet'!$B$11,Paramètres!$A$1:$I$89,3,0)*VLOOKUP('Données projet'!$B$11,Paramètres!$A$1:$I$89,5,0)</f>
        <v>136.28159999999997</v>
      </c>
      <c r="BF38" s="13">
        <f t="shared" si="37"/>
        <v>35.443842312892279</v>
      </c>
      <c r="BG38" s="20">
        <f t="shared" si="7"/>
        <v>299.08847869495401</v>
      </c>
      <c r="BH38" s="59">
        <f t="shared" si="8"/>
        <v>592.42181202828738</v>
      </c>
      <c r="BI38" s="59">
        <f ca="1">AVERAGE(OFFSET($BH$3,0,0,'Données projet'!$E$11+1,1))-AVERAGE(OFFSET($H$3,0,0,'Données projet'!$E$11+1,1))</f>
        <v>209.40885738157152</v>
      </c>
      <c r="BJ38" s="59">
        <f t="shared" si="38"/>
        <v>230.15385333954697</v>
      </c>
      <c r="BK38" s="15">
        <f>IF(ISNA(VLOOKUP(A38,'Données projet'!$A$87:$I$107,3,0)),0,VLOOKUP(A38,'Données projet'!$A$87:$I$107,3,0))</f>
        <v>6</v>
      </c>
      <c r="BL38" s="15" t="str">
        <f>IF(ISNA(VLOOKUP(A38,'Données projet'!$A$87:$I$107,4,0)),0,VLOOKUP(A38,'Données projet'!$A$87:$I$107,4,0))</f>
        <v>28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4.3000000000000003E-2</v>
      </c>
      <c r="BO38" s="16">
        <f>IF(ISNA(VLOOKUP(A38,'Données projet'!$A$87:$I$107,7,0)),0%,VLOOKUP(A38,'Données projet'!$A$87:$I$107,7,0))</f>
        <v>0.3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2.4852614374403448</v>
      </c>
      <c r="BR38" s="21">
        <f>EXP(-LN(2)/2)*BR37+(1-EXP(-LN(2)/2))/(LN(2)/2)*BL38*BO38*VLOOKUP('Données projet'!$B$11,Paramètres!$A$1:$I$89,3,0)*0.475*44/12</f>
        <v>6.1976054289323894</v>
      </c>
      <c r="BS38" s="22">
        <f t="shared" si="9"/>
        <v>8.6828668663727342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162.16666666666669</v>
      </c>
      <c r="BW38" s="12">
        <f>VLOOKUP(A38,'Données projet'!$A$113:$I$133,9,0)</f>
        <v>8.0564102564102633</v>
      </c>
      <c r="BX38" s="12">
        <f t="array" ref="BX38">INDEX(BW:BW,MIN(IF(ISNUMBER(BW38:BW234),ROW(BW38:BW234),"")))</f>
        <v>8.0564102564102633</v>
      </c>
      <c r="BY38" s="12">
        <f>IF('Données projet'!$A$114&gt;35,BY37+BX38-CG37,IF(A38&lt;'Données projet'!$A$114,$BV$205^A38,IF(A38='Données projet'!$A$114,'Données projet'!$B$114,BY37+BX38-CG37)))</f>
        <v>162.16666666666669</v>
      </c>
      <c r="BZ38" s="13">
        <f>BY38*VLOOKUP('Données projet'!$B$12,Paramètres!$A$1:$I$89,3,0)*VLOOKUP('Données projet'!$B$12,Paramètres!$A$1:$I$89,5,0)</f>
        <v>146.72840000000002</v>
      </c>
      <c r="CA38" s="13">
        <f t="shared" si="39"/>
        <v>37.834151268675086</v>
      </c>
      <c r="CB38" s="20">
        <f t="shared" si="10"/>
        <v>321.44644345960916</v>
      </c>
      <c r="CC38" s="59">
        <f t="shared" si="11"/>
        <v>614.77977679294247</v>
      </c>
      <c r="CD38" s="59">
        <f ca="1">AVERAGE(OFFSET($CC$3,0,0,'Données projet'!$E$12+1,1))-AVERAGE(OFFSET($H$3,0,0,'Données projet'!$E$12+1,1))</f>
        <v>270.87836509222456</v>
      </c>
      <c r="CE38" s="59">
        <f t="shared" si="40"/>
        <v>205.24998237949734</v>
      </c>
      <c r="CF38" s="15">
        <f>IF(ISNA(VLOOKUP(A38,'Données projet'!$A$113:$I$133,3,0)),0,VLOOKUP(A38,'Données projet'!$A$113:$I$133,3,0))</f>
        <v>1</v>
      </c>
      <c r="CG38" s="15">
        <f>IF(ISNA(VLOOKUP(A38,'Données projet'!$A$113:$I$133,4,0)),0,VLOOKUP(A38,'Données projet'!$A$113:$I$133,4,0))</f>
        <v>60.602564102564102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135</v>
      </c>
      <c r="CR38" s="12">
        <f>VLOOKUP(A38,'Données projet'!$A$139:$I$159,9,0)</f>
        <v>7.2</v>
      </c>
      <c r="CS38" s="12">
        <f t="array" ref="CS38">INDEX(CR:CR,MIN(IF(ISNUMBER(CR38:CR234),ROW(CR38:CR234),"")))</f>
        <v>7.2</v>
      </c>
      <c r="CT38" s="12">
        <f>IF('Données projet'!$A$140&gt;35,CT37+CS38-DB37,IF(A38&lt;'Données projet'!$A$140,$CQ$205^A38,IF(A38='Données projet'!$A$140,'Données projet'!$B$140,CT37+CS38-DB37)))</f>
        <v>135</v>
      </c>
      <c r="CU38" s="17">
        <f>CT38*VLOOKUP('Données projet'!$B$13,Paramètres!$A$1:$I$89,3,0)*VLOOKUP('Données projet'!$B$13,Paramètres!$A$1:$I$89,5,0)</f>
        <v>117.93600000000002</v>
      </c>
      <c r="CV38" s="13">
        <f t="shared" si="41"/>
        <v>31.1931201812605</v>
      </c>
      <c r="CW38" s="20">
        <f t="shared" si="13"/>
        <v>259.73321764902875</v>
      </c>
      <c r="CX38" s="59">
        <f t="shared" si="14"/>
        <v>553.06655098236206</v>
      </c>
      <c r="CY38" s="59">
        <f ca="1">AVERAGE(OFFSET($CX$3,0,0,'Données projet'!$E$13+1,1))-AVERAGE(OFFSET($H$3,0,0,'Données projet'!$E$13+1,1))</f>
        <v>207.4513063267579</v>
      </c>
      <c r="CZ38" s="59">
        <f t="shared" si="42"/>
        <v>191.63513530247218</v>
      </c>
      <c r="DA38" s="15">
        <f>IF(ISNA(VLOOKUP(A38,'Données projet'!$A$139:$I$159,3,0)),0,VLOOKUP(A38,'Données projet'!$A$139:$I$159,3,0))</f>
        <v>4</v>
      </c>
      <c r="DB38" s="15" t="str">
        <f>IF(ISNA(VLOOKUP(A38,'Données projet'!$A$139:$I$159,4,0)),0,VLOOKUP(A38,'Données projet'!$A$139:$I$159,4,0))</f>
        <v>20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66.814714696519275</v>
      </c>
      <c r="T39" s="59">
        <f t="shared" si="34"/>
        <v>199.56746335788068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34.463313393468262</v>
      </c>
      <c r="AA39" s="21">
        <f>EXP(-LN(2)/25)*AA38+(1-EXP(-LN(2)/25))/(LN(2)/25)*Calculateur!V39*Calculateur!X39*VLOOKUP('Données projet'!$B$9,Paramètres!$A$1:$I$89,3,0)*0.475*44/12</f>
        <v>6.4802446965377909</v>
      </c>
      <c r="AB39" s="21">
        <f>EXP(-LN(2)/2)*AB38+(1-EXP(-LN(2)/2))/(LN(2)/2)*V39*Y39*VLOOKUP('Données projet'!$B$9,Paramètres!$A$1:$I$89,3,0)*0.475*44/12</f>
        <v>5.6335211320359166E-2</v>
      </c>
      <c r="AC39" s="22">
        <f t="shared" si="3"/>
        <v>40.999893301326409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13.2</v>
      </c>
      <c r="AI39" s="13">
        <f>IF('Données projet'!$A$62&gt;35,AI38+AH39-AQ38,IF(A39&lt;'Données projet'!$A$62,$AF$205^A39,IF(A39='Données projet'!$A$62,'Données projet'!$B$62,AI38+AH39-AQ38)))</f>
        <v>210.2</v>
      </c>
      <c r="AJ39" s="13">
        <f>AI39*VLOOKUP('Données projet'!$B$10,Paramètres!$A$1:$I$89,3,0)*VLOOKUP('Données projet'!$B$10,Paramètres!$A$1:$I$89,5,0)</f>
        <v>167.23511999999999</v>
      </c>
      <c r="AK39" s="13">
        <f t="shared" si="35"/>
        <v>42.470192710511604</v>
      </c>
      <c r="AL39" s="20">
        <f t="shared" si="4"/>
        <v>365.23675297080769</v>
      </c>
      <c r="AM39" s="59">
        <f t="shared" si="5"/>
        <v>658.570086304141</v>
      </c>
      <c r="AN39" s="59">
        <f ca="1">AVERAGE(OFFSET($AM$3,0,0,'Données projet'!$E$10+1,1))-AVERAGE(OFFSET($H$3,0,0,'Données projet'!$E$10+1,1))</f>
        <v>325.72928944930294</v>
      </c>
      <c r="AO39" s="59">
        <f t="shared" si="36"/>
        <v>318.38876834819752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25.447892423547135</v>
      </c>
      <c r="AV39" s="21">
        <f>EXP(-LN(2)/25)*AV38+(1-EXP(-LN(2)/25))/(LN(2)/25)*Calculateur!AQ39*Calculateur!AS39*VLOOKUP('Données projet'!$B$10,Paramètres!$A$1:$I$89,3,0)*0.475*44/12</f>
        <v>16.405464541560242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41.85335696510738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8.8000000000000007</v>
      </c>
      <c r="BD39" s="12">
        <f>IF('Données projet'!$A$88&gt;35,BD38+BC39-BL38,IF(A39&lt;'Données projet'!$A$88,$BA$205^A39,IF(A39='Données projet'!$A$88,'Données projet'!$B$88,BD38+BC39-BL38)))</f>
        <v>188.79999999999998</v>
      </c>
      <c r="BE39" s="13">
        <f>BD39*VLOOKUP('Données projet'!$B$11,Paramètres!$A$1:$I$89,3,0)*VLOOKUP('Données projet'!$B$11,Paramètres!$A$1:$I$89,5,0)</f>
        <v>123.70175999999999</v>
      </c>
      <c r="BF39" s="13">
        <f t="shared" si="37"/>
        <v>32.536841470486884</v>
      </c>
      <c r="BG39" s="20">
        <f t="shared" si="7"/>
        <v>272.11556422776465</v>
      </c>
      <c r="BH39" s="59">
        <f t="shared" si="8"/>
        <v>565.44889756109797</v>
      </c>
      <c r="BI39" s="59">
        <f ca="1">AVERAGE(OFFSET($BH$3,0,0,'Données projet'!$E$11+1,1))-AVERAGE(OFFSET($H$3,0,0,'Données projet'!$E$11+1,1))</f>
        <v>209.40885738157152</v>
      </c>
      <c r="BJ39" s="59">
        <f t="shared" si="38"/>
        <v>230.15385333954697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2.4173018327393199</v>
      </c>
      <c r="BR39" s="21">
        <f>EXP(-LN(2)/2)*BR38+(1-EXP(-LN(2)/2))/(LN(2)/2)*BL39*BO39*VLOOKUP('Données projet'!$B$11,Paramètres!$A$1:$I$89,3,0)*0.475*44/12</f>
        <v>4.3823688259166547</v>
      </c>
      <c r="BS39" s="22">
        <f t="shared" si="9"/>
        <v>6.799670658655975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9.3141025641025621</v>
      </c>
      <c r="BY39" s="12">
        <f>IF('Données projet'!$A$114&gt;35,BY38+BX39-CG38,IF(A39&lt;'Données projet'!$A$114,$BV$205^A39,IF(A39='Données projet'!$A$114,'Données projet'!$B$114,BY38+BX39-CG38)))</f>
        <v>110.87820512820515</v>
      </c>
      <c r="BZ39" s="13">
        <f>BY39*VLOOKUP('Données projet'!$B$12,Paramètres!$A$1:$I$89,3,0)*VLOOKUP('Données projet'!$B$12,Paramètres!$A$1:$I$89,5,0)</f>
        <v>100.32260000000002</v>
      </c>
      <c r="CA39" s="13">
        <f t="shared" si="39"/>
        <v>27.038838137326771</v>
      </c>
      <c r="CB39" s="20">
        <f t="shared" si="10"/>
        <v>221.82117142251082</v>
      </c>
      <c r="CC39" s="59">
        <f t="shared" si="11"/>
        <v>515.15450475584407</v>
      </c>
      <c r="CD39" s="59">
        <f ca="1">AVERAGE(OFFSET($CC$3,0,0,'Données projet'!$E$12+1,1))-AVERAGE(OFFSET($H$3,0,0,'Données projet'!$E$12+1,1))</f>
        <v>270.87836509222456</v>
      </c>
      <c r="CE39" s="59">
        <f t="shared" si="40"/>
        <v>205.24998237949734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7</v>
      </c>
      <c r="CT39" s="12">
        <f>IF('Données projet'!$A$140&gt;35,CT38+CS39-DB38,IF(A39&lt;'Données projet'!$A$140,$CQ$205^A39,IF(A39='Données projet'!$A$140,'Données projet'!$B$140,CT38+CS39-DB38)))</f>
        <v>122</v>
      </c>
      <c r="CU39" s="17">
        <f>CT39*VLOOKUP('Données projet'!$B$13,Paramètres!$A$1:$I$89,3,0)*VLOOKUP('Données projet'!$B$13,Paramètres!$A$1:$I$89,5,0)</f>
        <v>106.57920000000001</v>
      </c>
      <c r="CV39" s="13">
        <f t="shared" si="41"/>
        <v>28.523541515222938</v>
      </c>
      <c r="CW39" s="20">
        <f t="shared" si="13"/>
        <v>235.30394147234665</v>
      </c>
      <c r="CX39" s="59">
        <f t="shared" si="14"/>
        <v>528.63727480567991</v>
      </c>
      <c r="CY39" s="59">
        <f ca="1">AVERAGE(OFFSET($CX$3,0,0,'Données projet'!$E$13+1,1))-AVERAGE(OFFSET($H$3,0,0,'Données projet'!$E$13+1,1))</f>
        <v>207.4513063267579</v>
      </c>
      <c r="CZ39" s="59">
        <f t="shared" si="42"/>
        <v>191.63513530247218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66.814714696519275</v>
      </c>
      <c r="T40" s="59">
        <f t="shared" si="34"/>
        <v>199.56746335788068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33.787508838367913</v>
      </c>
      <c r="AA40" s="21">
        <f>EXP(-LN(2)/25)*AA39+(1-EXP(-LN(2)/25))/(LN(2)/25)*Calculateur!V40*Calculateur!X40*VLOOKUP('Données projet'!$B$9,Paramètres!$A$1:$I$89,3,0)*0.475*44/12</f>
        <v>6.3030420645297074</v>
      </c>
      <c r="AB40" s="21">
        <f>EXP(-LN(2)/2)*AB39+(1-EXP(-LN(2)/2))/(LN(2)/2)*V40*Y40*VLOOKUP('Données projet'!$B$9,Paramètres!$A$1:$I$89,3,0)*0.475*44/12</f>
        <v>3.983500994420313E-2</v>
      </c>
      <c r="AC40" s="22">
        <f t="shared" si="3"/>
        <v>40.130385912841824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13.2</v>
      </c>
      <c r="AI40" s="13">
        <f>IF('Données projet'!$A$62&gt;35,AI39+AH40-AQ39,IF(A40&lt;'Données projet'!$A$62,$AF$205^A40,IF(A40='Données projet'!$A$62,'Données projet'!$B$62,AI39+AH40-AQ39)))</f>
        <v>223.39999999999998</v>
      </c>
      <c r="AJ40" s="13">
        <f>AI40*VLOOKUP('Données projet'!$B$10,Paramètres!$A$1:$I$89,3,0)*VLOOKUP('Données projet'!$B$10,Paramètres!$A$1:$I$89,5,0)</f>
        <v>177.73703999999998</v>
      </c>
      <c r="AK40" s="13">
        <f t="shared" si="35"/>
        <v>44.818349142210366</v>
      </c>
      <c r="AL40" s="20">
        <f t="shared" si="4"/>
        <v>387.61730275601627</v>
      </c>
      <c r="AM40" s="59">
        <f t="shared" si="5"/>
        <v>680.95063608934959</v>
      </c>
      <c r="AN40" s="59">
        <f ca="1">AVERAGE(OFFSET($AM$3,0,0,'Données projet'!$E$10+1,1))-AVERAGE(OFFSET($H$3,0,0,'Données projet'!$E$10+1,1))</f>
        <v>325.72928944930294</v>
      </c>
      <c r="AO40" s="59">
        <f t="shared" si="36"/>
        <v>318.38876834819752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24.948874774803116</v>
      </c>
      <c r="AV40" s="21">
        <f>EXP(-LN(2)/25)*AV39+(1-EXP(-LN(2)/25))/(LN(2)/25)*Calculateur!AQ40*Calculateur!AS40*VLOOKUP('Données projet'!$B$10,Paramètres!$A$1:$I$89,3,0)*0.475*44/12</f>
        <v>15.956856250945393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40.905731025748509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8.8000000000000007</v>
      </c>
      <c r="BD40" s="12">
        <f>IF('Données projet'!$A$88&gt;35,BD39+BC40-BL39,IF(A40&lt;'Données projet'!$A$88,$BA$205^A40,IF(A40='Données projet'!$A$88,'Données projet'!$B$88,BD39+BC40-BL39)))</f>
        <v>197.6</v>
      </c>
      <c r="BE40" s="13">
        <f>BD40*VLOOKUP('Données projet'!$B$11,Paramètres!$A$1:$I$89,3,0)*VLOOKUP('Données projet'!$B$11,Paramètres!$A$1:$I$89,5,0)</f>
        <v>129.46751999999998</v>
      </c>
      <c r="BF40" s="13">
        <f t="shared" si="37"/>
        <v>33.873289462262882</v>
      </c>
      <c r="BG40" s="20">
        <f t="shared" si="7"/>
        <v>284.48524314677445</v>
      </c>
      <c r="BH40" s="59">
        <f t="shared" si="8"/>
        <v>577.81857648010782</v>
      </c>
      <c r="BI40" s="59">
        <f ca="1">AVERAGE(OFFSET($BH$3,0,0,'Données projet'!$E$11+1,1))-AVERAGE(OFFSET($H$3,0,0,'Données projet'!$E$11+1,1))</f>
        <v>209.40885738157152</v>
      </c>
      <c r="BJ40" s="59">
        <f t="shared" si="38"/>
        <v>230.15385333954697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2.3512005870026846</v>
      </c>
      <c r="BR40" s="21">
        <f>EXP(-LN(2)/2)*BR39+(1-EXP(-LN(2)/2))/(LN(2)/2)*BL40*BO40*VLOOKUP('Données projet'!$B$11,Paramètres!$A$1:$I$89,3,0)*0.475*44/12</f>
        <v>3.0988027144661952</v>
      </c>
      <c r="BS40" s="22">
        <f t="shared" si="9"/>
        <v>5.4500033014688798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9.3141025641025621</v>
      </c>
      <c r="BY40" s="12">
        <f>IF('Données projet'!$A$114&gt;35,BY39+BX40-CG39,IF(A40&lt;'Données projet'!$A$114,$BV$205^A40,IF(A40='Données projet'!$A$114,'Données projet'!$B$114,BY39+BX40-CG39)))</f>
        <v>120.19230769230771</v>
      </c>
      <c r="BZ40" s="13">
        <f>BY40*VLOOKUP('Données projet'!$B$12,Paramètres!$A$1:$I$89,3,0)*VLOOKUP('Données projet'!$B$12,Paramètres!$A$1:$I$89,5,0)</f>
        <v>108.75000000000001</v>
      </c>
      <c r="CA40" s="13">
        <f t="shared" si="39"/>
        <v>29.036279216217448</v>
      </c>
      <c r="CB40" s="20">
        <f t="shared" si="10"/>
        <v>239.97776963491205</v>
      </c>
      <c r="CC40" s="59">
        <f t="shared" si="11"/>
        <v>533.31110296824534</v>
      </c>
      <c r="CD40" s="59">
        <f ca="1">AVERAGE(OFFSET($CC$3,0,0,'Données projet'!$E$12+1,1))-AVERAGE(OFFSET($H$3,0,0,'Données projet'!$E$12+1,1))</f>
        <v>270.87836509222456</v>
      </c>
      <c r="CE40" s="59">
        <f t="shared" si="40"/>
        <v>205.24998237949734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7</v>
      </c>
      <c r="CT40" s="12">
        <f>IF('Données projet'!$A$140&gt;35,CT39+CS40-DB39,IF(A40&lt;'Données projet'!$A$140,$CQ$205^A40,IF(A40='Données projet'!$A$140,'Données projet'!$B$140,CT39+CS40-DB39)))</f>
        <v>129</v>
      </c>
      <c r="CU40" s="17">
        <f>CT40*VLOOKUP('Données projet'!$B$13,Paramètres!$A$1:$I$89,3,0)*VLOOKUP('Données projet'!$B$13,Paramètres!$A$1:$I$89,5,0)</f>
        <v>112.69440000000002</v>
      </c>
      <c r="CV40" s="13">
        <f t="shared" si="41"/>
        <v>29.964909381330632</v>
      </c>
      <c r="CW40" s="20">
        <f t="shared" si="13"/>
        <v>248.46496383915087</v>
      </c>
      <c r="CX40" s="59">
        <f t="shared" si="14"/>
        <v>541.79829717248413</v>
      </c>
      <c r="CY40" s="59">
        <f ca="1">AVERAGE(OFFSET($CX$3,0,0,'Données projet'!$E$13+1,1))-AVERAGE(OFFSET($H$3,0,0,'Données projet'!$E$13+1,1))</f>
        <v>207.4513063267579</v>
      </c>
      <c r="CZ40" s="59">
        <f t="shared" si="42"/>
        <v>191.63513530247218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66.814714696519275</v>
      </c>
      <c r="T41" s="59">
        <f t="shared" si="34"/>
        <v>199.56746335788068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33.124956398393003</v>
      </c>
      <c r="AA41" s="21">
        <f>EXP(-LN(2)/25)*AA40+(1-EXP(-LN(2)/25))/(LN(2)/25)*Calculateur!V41*Calculateur!X41*VLOOKUP('Données projet'!$B$9,Paramètres!$A$1:$I$89,3,0)*0.475*44/12</f>
        <v>6.1306850478125661</v>
      </c>
      <c r="AB41" s="21">
        <f>EXP(-LN(2)/2)*AB40+(1-EXP(-LN(2)/2))/(LN(2)/2)*V41*Y41*VLOOKUP('Données projet'!$B$9,Paramètres!$A$1:$I$89,3,0)*0.475*44/12</f>
        <v>2.816760566017959E-2</v>
      </c>
      <c r="AC41" s="22">
        <f t="shared" si="3"/>
        <v>39.283809051865752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13.2</v>
      </c>
      <c r="AI41" s="13">
        <f>IF('Données projet'!$A$62&gt;35,AI40+AH41-AQ40,IF(A41&lt;'Données projet'!$A$62,$AF$205^A41,IF(A41='Données projet'!$A$62,'Données projet'!$B$62,AI40+AH41-AQ40)))</f>
        <v>236.59999999999997</v>
      </c>
      <c r="AJ41" s="13">
        <f>AI41*VLOOKUP('Données projet'!$B$10,Paramètres!$A$1:$I$89,3,0)*VLOOKUP('Données projet'!$B$10,Paramètres!$A$1:$I$89,5,0)</f>
        <v>188.23895999999999</v>
      </c>
      <c r="AK41" s="13">
        <f t="shared" si="35"/>
        <v>47.150401158990007</v>
      </c>
      <c r="AL41" s="20">
        <f t="shared" si="4"/>
        <v>409.96980401857422</v>
      </c>
      <c r="AM41" s="59">
        <f t="shared" si="5"/>
        <v>703.30313735190748</v>
      </c>
      <c r="AN41" s="59">
        <f ca="1">AVERAGE(OFFSET($AM$3,0,0,'Données projet'!$E$10+1,1))-AVERAGE(OFFSET($H$3,0,0,'Données projet'!$E$10+1,1))</f>
        <v>325.72928944930294</v>
      </c>
      <c r="AO41" s="59">
        <f t="shared" si="36"/>
        <v>318.38876834819752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24.459642557780256</v>
      </c>
      <c r="AV41" s="21">
        <f>EXP(-LN(2)/25)*AV40+(1-EXP(-LN(2)/25))/(LN(2)/25)*Calculateur!AQ41*Calculateur!AS41*VLOOKUP('Données projet'!$B$10,Paramètres!$A$1:$I$89,3,0)*0.475*44/12</f>
        <v>15.52051517762869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39.980157735408945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8.8000000000000007</v>
      </c>
      <c r="BD41" s="12">
        <f>IF('Données projet'!$A$88&gt;35,BD40+BC41-BL40,IF(A41&lt;'Données projet'!$A$88,$BA$205^A41,IF(A41='Données projet'!$A$88,'Données projet'!$B$88,BD40+BC41-BL40)))</f>
        <v>206.4</v>
      </c>
      <c r="BE41" s="13">
        <f>BD41*VLOOKUP('Données projet'!$B$11,Paramètres!$A$1:$I$89,3,0)*VLOOKUP('Données projet'!$B$11,Paramètres!$A$1:$I$89,5,0)</f>
        <v>135.23328000000001</v>
      </c>
      <c r="BF41" s="13">
        <f t="shared" si="37"/>
        <v>35.202825080004438</v>
      </c>
      <c r="BG41" s="20">
        <f t="shared" si="7"/>
        <v>296.842883014341</v>
      </c>
      <c r="BH41" s="59">
        <f t="shared" si="8"/>
        <v>590.17621634767431</v>
      </c>
      <c r="BI41" s="59">
        <f ca="1">AVERAGE(OFFSET($BH$3,0,0,'Données projet'!$E$11+1,1))-AVERAGE(OFFSET($H$3,0,0,'Données projet'!$E$11+1,1))</f>
        <v>209.40885738157152</v>
      </c>
      <c r="BJ41" s="59">
        <f t="shared" si="38"/>
        <v>230.15385333954697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2.2869068833068309</v>
      </c>
      <c r="BR41" s="21">
        <f>EXP(-LN(2)/2)*BR40+(1-EXP(-LN(2)/2))/(LN(2)/2)*BL41*BO41*VLOOKUP('Données projet'!$B$11,Paramètres!$A$1:$I$89,3,0)*0.475*44/12</f>
        <v>2.1911844129583273</v>
      </c>
      <c r="BS41" s="22">
        <f t="shared" si="9"/>
        <v>4.4780912962651582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9.3141025641025621</v>
      </c>
      <c r="BY41" s="12">
        <f>IF('Données projet'!$A$114&gt;35,BY40+BX41-CG40,IF(A41&lt;'Données projet'!$A$114,$BV$205^A41,IF(A41='Données projet'!$A$114,'Données projet'!$B$114,BY40+BX41-CG40)))</f>
        <v>129.50641025641028</v>
      </c>
      <c r="BZ41" s="13">
        <f>BY41*VLOOKUP('Données projet'!$B$12,Paramètres!$A$1:$I$89,3,0)*VLOOKUP('Données projet'!$B$12,Paramètres!$A$1:$I$89,5,0)</f>
        <v>117.17740000000002</v>
      </c>
      <c r="CA41" s="13">
        <f t="shared" si="39"/>
        <v>31.015764986886897</v>
      </c>
      <c r="CB41" s="20">
        <f t="shared" si="10"/>
        <v>258.10309568549474</v>
      </c>
      <c r="CC41" s="59">
        <f t="shared" si="11"/>
        <v>551.43642901882799</v>
      </c>
      <c r="CD41" s="59">
        <f ca="1">AVERAGE(OFFSET($CC$3,0,0,'Données projet'!$E$12+1,1))-AVERAGE(OFFSET($H$3,0,0,'Données projet'!$E$12+1,1))</f>
        <v>270.87836509222456</v>
      </c>
      <c r="CE41" s="59">
        <f t="shared" si="40"/>
        <v>205.24998237949734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7</v>
      </c>
      <c r="CT41" s="12">
        <f>IF('Données projet'!$A$140&gt;35,CT40+CS41-DB40,IF(A41&lt;'Données projet'!$A$140,$CQ$205^A41,IF(A41='Données projet'!$A$140,'Données projet'!$B$140,CT40+CS41-DB40)))</f>
        <v>136</v>
      </c>
      <c r="CU41" s="17">
        <f>CT41*VLOOKUP('Données projet'!$B$13,Paramètres!$A$1:$I$89,3,0)*VLOOKUP('Données projet'!$B$13,Paramètres!$A$1:$I$89,5,0)</f>
        <v>118.80960000000002</v>
      </c>
      <c r="CV41" s="13">
        <f t="shared" si="41"/>
        <v>31.39719715333722</v>
      </c>
      <c r="CW41" s="20">
        <f t="shared" si="13"/>
        <v>261.61017170872901</v>
      </c>
      <c r="CX41" s="59">
        <f t="shared" si="14"/>
        <v>554.94350504206227</v>
      </c>
      <c r="CY41" s="59">
        <f ca="1">AVERAGE(OFFSET($CX$3,0,0,'Données projet'!$E$13+1,1))-AVERAGE(OFFSET($H$3,0,0,'Données projet'!$E$13+1,1))</f>
        <v>207.4513063267579</v>
      </c>
      <c r="CZ41" s="59">
        <f t="shared" si="42"/>
        <v>191.63513530247218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66.814714696519275</v>
      </c>
      <c r="T42" s="59">
        <f t="shared" si="34"/>
        <v>199.56746335788068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32.47539620764892</v>
      </c>
      <c r="AA42" s="21">
        <f>EXP(-LN(2)/25)*AA41+(1-EXP(-LN(2)/25))/(LN(2)/25)*Calculateur!V42*Calculateur!X42*VLOOKUP('Données projet'!$B$9,Paramètres!$A$1:$I$89,3,0)*0.475*44/12</f>
        <v>5.9630411427814165</v>
      </c>
      <c r="AB42" s="21">
        <f>EXP(-LN(2)/2)*AB41+(1-EXP(-LN(2)/2))/(LN(2)/2)*V42*Y42*VLOOKUP('Données projet'!$B$9,Paramètres!$A$1:$I$89,3,0)*0.475*44/12</f>
        <v>1.9917504972101568E-2</v>
      </c>
      <c r="AC42" s="22">
        <f t="shared" si="3"/>
        <v>38.458354855402433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13.2</v>
      </c>
      <c r="AI42" s="13">
        <f>IF('Données projet'!$A$62&gt;35,AI41+AH42-AQ41,IF(A42&lt;'Données projet'!$A$62,$AF$205^A42,IF(A42='Données projet'!$A$62,'Données projet'!$B$62,AI41+AH42-AQ41)))</f>
        <v>249.79999999999995</v>
      </c>
      <c r="AJ42" s="13">
        <f>AI42*VLOOKUP('Données projet'!$B$10,Paramètres!$A$1:$I$89,3,0)*VLOOKUP('Données projet'!$B$10,Paramètres!$A$1:$I$89,5,0)</f>
        <v>198.74087999999998</v>
      </c>
      <c r="AK42" s="13">
        <f t="shared" si="35"/>
        <v>49.467349630825638</v>
      </c>
      <c r="AL42" s="20">
        <f t="shared" si="4"/>
        <v>432.29599994035453</v>
      </c>
      <c r="AM42" s="59">
        <f t="shared" si="5"/>
        <v>725.62933327368785</v>
      </c>
      <c r="AN42" s="59">
        <f ca="1">AVERAGE(OFFSET($AM$3,0,0,'Données projet'!$E$10+1,1))-AVERAGE(OFFSET($H$3,0,0,'Données projet'!$E$10+1,1))</f>
        <v>325.72928944930294</v>
      </c>
      <c r="AO42" s="59">
        <f t="shared" si="36"/>
        <v>318.38876834819752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23.980003886131026</v>
      </c>
      <c r="AV42" s="21">
        <f>EXP(-LN(2)/25)*AV41+(1-EXP(-LN(2)/25))/(LN(2)/25)*Calculateur!AQ42*Calculateur!AS42*VLOOKUP('Données projet'!$B$10,Paramètres!$A$1:$I$89,3,0)*0.475*44/12</f>
        <v>15.096105873908012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39.076109760039039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8.8000000000000007</v>
      </c>
      <c r="BD42" s="12">
        <f>IF('Données projet'!$A$88&gt;35,BD41+BC42-BL41,IF(A42&lt;'Données projet'!$A$88,$BA$205^A42,IF(A42='Données projet'!$A$88,'Données projet'!$B$88,BD41+BC42-BL41)))</f>
        <v>215.20000000000002</v>
      </c>
      <c r="BE42" s="13">
        <f>BD42*VLOOKUP('Données projet'!$B$11,Paramètres!$A$1:$I$89,3,0)*VLOOKUP('Données projet'!$B$11,Paramètres!$A$1:$I$89,5,0)</f>
        <v>140.99904000000001</v>
      </c>
      <c r="BF42" s="13">
        <f t="shared" si="37"/>
        <v>36.525776729948824</v>
      </c>
      <c r="BG42" s="20">
        <f t="shared" si="7"/>
        <v>309.18905580466088</v>
      </c>
      <c r="BH42" s="59">
        <f t="shared" si="8"/>
        <v>602.5223891379942</v>
      </c>
      <c r="BI42" s="59">
        <f ca="1">AVERAGE(OFFSET($BH$3,0,0,'Données projet'!$E$11+1,1))-AVERAGE(OFFSET($H$3,0,0,'Données projet'!$E$11+1,1))</f>
        <v>209.40885738157152</v>
      </c>
      <c r="BJ42" s="59">
        <f t="shared" si="38"/>
        <v>230.15385333954697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2.2243712943195995</v>
      </c>
      <c r="BR42" s="21">
        <f>EXP(-LN(2)/2)*BR41+(1-EXP(-LN(2)/2))/(LN(2)/2)*BL42*BO42*VLOOKUP('Données projet'!$B$11,Paramètres!$A$1:$I$89,3,0)*0.475*44/12</f>
        <v>1.5494013572330976</v>
      </c>
      <c r="BS42" s="22">
        <f t="shared" si="9"/>
        <v>3.7737726515526973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9.3141025641025621</v>
      </c>
      <c r="BY42" s="12">
        <f>IF('Données projet'!$A$114&gt;35,BY41+BX42-CG41,IF(A42&lt;'Données projet'!$A$114,$BV$205^A42,IF(A42='Données projet'!$A$114,'Données projet'!$B$114,BY41+BX42-CG41)))</f>
        <v>138.82051282051285</v>
      </c>
      <c r="BZ42" s="13">
        <f>BY42*VLOOKUP('Données projet'!$B$12,Paramètres!$A$1:$I$89,3,0)*VLOOKUP('Données projet'!$B$12,Paramètres!$A$1:$I$89,5,0)</f>
        <v>125.60480000000001</v>
      </c>
      <c r="CA42" s="13">
        <f t="shared" si="39"/>
        <v>32.978733659615138</v>
      </c>
      <c r="CB42" s="20">
        <f t="shared" si="10"/>
        <v>276.19965445716304</v>
      </c>
      <c r="CC42" s="59">
        <f t="shared" si="11"/>
        <v>569.53298779049635</v>
      </c>
      <c r="CD42" s="59">
        <f ca="1">AVERAGE(OFFSET($CC$3,0,0,'Données projet'!$E$12+1,1))-AVERAGE(OFFSET($H$3,0,0,'Données projet'!$E$12+1,1))</f>
        <v>270.87836509222456</v>
      </c>
      <c r="CE42" s="59">
        <f t="shared" si="40"/>
        <v>205.24998237949734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7</v>
      </c>
      <c r="CT42" s="12">
        <f>IF('Données projet'!$A$140&gt;35,CT41+CS42-DB41,IF(A42&lt;'Données projet'!$A$140,$CQ$205^A42,IF(A42='Données projet'!$A$140,'Données projet'!$B$140,CT41+CS42-DB41)))</f>
        <v>143</v>
      </c>
      <c r="CU42" s="17">
        <f>CT42*VLOOKUP('Données projet'!$B$13,Paramètres!$A$1:$I$89,3,0)*VLOOKUP('Données projet'!$B$13,Paramètres!$A$1:$I$89,5,0)</f>
        <v>124.92480000000002</v>
      </c>
      <c r="CV42" s="13">
        <f t="shared" si="41"/>
        <v>32.820925500842712</v>
      </c>
      <c r="CW42" s="20">
        <f t="shared" si="13"/>
        <v>274.74047191396772</v>
      </c>
      <c r="CX42" s="59">
        <f t="shared" si="14"/>
        <v>568.07380524730104</v>
      </c>
      <c r="CY42" s="59">
        <f ca="1">AVERAGE(OFFSET($CX$3,0,0,'Données projet'!$E$13+1,1))-AVERAGE(OFFSET($H$3,0,0,'Données projet'!$E$13+1,1))</f>
        <v>207.4513063267579</v>
      </c>
      <c r="CZ42" s="59">
        <f t="shared" si="42"/>
        <v>191.63513530247218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66.814714696519275</v>
      </c>
      <c r="T43" s="59">
        <f t="shared" si="34"/>
        <v>199.56746335788068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31.838573496052732</v>
      </c>
      <c r="AA43" s="21">
        <f>EXP(-LN(2)/25)*AA42+(1-EXP(-LN(2)/25))/(LN(2)/25)*Calculateur!V43*Calculateur!X43*VLOOKUP('Données projet'!$B$9,Paramètres!$A$1:$I$89,3,0)*0.475*44/12</f>
        <v>5.7999814691493539</v>
      </c>
      <c r="AB43" s="21">
        <f>EXP(-LN(2)/2)*AB42+(1-EXP(-LN(2)/2))/(LN(2)/2)*V43*Y43*VLOOKUP('Données projet'!$B$9,Paramètres!$A$1:$I$89,3,0)*0.475*44/12</f>
        <v>1.4083802830089797E-2</v>
      </c>
      <c r="AC43" s="22">
        <f t="shared" si="3"/>
        <v>37.652638768032169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263</v>
      </c>
      <c r="AG43" s="12">
        <f>VLOOKUP(A43,'Données projet'!$A$61:$I$81,9,0)</f>
        <v>13.2</v>
      </c>
      <c r="AH43" s="12">
        <f t="array" ref="AH43">INDEX(AG:AG,MIN(IF(ISNUMBER(AG43:AG239),ROW(AG43:AG239),"")))</f>
        <v>13.2</v>
      </c>
      <c r="AI43" s="13">
        <f>IF('Données projet'!$A$62&gt;35,AI42+AH43-AQ42,IF(A43&lt;'Données projet'!$A$62,$AF$205^A43,IF(A43='Données projet'!$A$62,'Données projet'!$B$62,AI42+AH43-AQ42)))</f>
        <v>262.99999999999994</v>
      </c>
      <c r="AJ43" s="13">
        <f>AI43*VLOOKUP('Données projet'!$B$10,Paramètres!$A$1:$I$89,3,0)*VLOOKUP('Données projet'!$B$10,Paramètres!$A$1:$I$89,5,0)</f>
        <v>209.24279999999996</v>
      </c>
      <c r="AK43" s="13">
        <f t="shared" si="35"/>
        <v>51.770083677016814</v>
      </c>
      <c r="AL43" s="20">
        <f t="shared" si="4"/>
        <v>454.59743907080411</v>
      </c>
      <c r="AM43" s="59">
        <f t="shared" si="5"/>
        <v>747.93077240413743</v>
      </c>
      <c r="AN43" s="59">
        <f ca="1">AVERAGE(OFFSET($AM$3,0,0,'Données projet'!$E$10+1,1))-AVERAGE(OFFSET($H$3,0,0,'Données projet'!$E$10+1,1))</f>
        <v>325.72928944930294</v>
      </c>
      <c r="AO43" s="59">
        <f t="shared" si="36"/>
        <v>318.38876834819752</v>
      </c>
      <c r="AP43" s="15">
        <f>IF(ISNA(VLOOKUP(A43,'Données projet'!$A$61:$I$81,3,0)),0,VLOOKUP(A43,'Données projet'!$A$61:$I$81,3,0))</f>
        <v>7</v>
      </c>
      <c r="AQ43" s="15">
        <f>IF(ISNA(VLOOKUP(A43,'Données projet'!$A$61:$I$81,4,0)),0,VLOOKUP(A43,'Données projet'!$A$61:$I$81,4,0))</f>
        <v>40</v>
      </c>
      <c r="AR43" s="16">
        <f>IF(ISNA(VLOOKUP(A43,'Données projet'!$A$61:$I$81,5,0)),0%,VLOOKUP(A43,'Données projet'!$A$61:$I$81,5,0)*VLOOKUP('Données projet'!$B$10,Paramètres!$A$1:$I$89,7,0))</f>
        <v>0.45050000000000001</v>
      </c>
      <c r="AS43" s="16">
        <f>IF(ISNA(VLOOKUP(A43,'Données projet'!$A$61:$I$81,6,0)),0%,VLOOKUP(A43,'Données projet'!$A$61:$I$81,6,0)*VLOOKUP('Données projet'!$B$10,Paramètres!$A$1:$I$89,7,0))</f>
        <v>5.3000000000000005E-2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39.358581092176735</v>
      </c>
      <c r="AV43" s="21">
        <f>EXP(-LN(2)/25)*AV42+(1-EXP(-LN(2)/25))/(LN(2)/25)*Calculateur!AQ43*Calculateur!AS43*VLOOKUP('Données projet'!$B$10,Paramètres!$A$1:$I$89,3,0)*0.475*44/12</f>
        <v>16.540526494358588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55.899107586535322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224</v>
      </c>
      <c r="BB43" s="12">
        <f>VLOOKUP(A43,'Données projet'!$A$87:$I$107,9,0)</f>
        <v>8.8000000000000007</v>
      </c>
      <c r="BC43" s="12">
        <f t="array" ref="BC43">INDEX(BB:BB,MIN(IF(ISNUMBER(BB43:BB239),ROW(BB43:BB239),"")))</f>
        <v>8.8000000000000007</v>
      </c>
      <c r="BD43" s="12">
        <f>IF('Données projet'!$A$88&gt;35,BD42+BC43-BL42,IF(A43&lt;'Données projet'!$A$88,$BA$205^A43,IF(A43='Données projet'!$A$88,'Données projet'!$B$88,BD42+BC43-BL42)))</f>
        <v>224.00000000000003</v>
      </c>
      <c r="BE43" s="13">
        <f>BD43*VLOOKUP('Données projet'!$B$11,Paramètres!$A$1:$I$89,3,0)*VLOOKUP('Données projet'!$B$11,Paramètres!$A$1:$I$89,5,0)</f>
        <v>146.76480000000004</v>
      </c>
      <c r="BF43" s="13">
        <f t="shared" si="37"/>
        <v>37.842444439956665</v>
      </c>
      <c r="BG43" s="20">
        <f t="shared" si="7"/>
        <v>321.52428406625791</v>
      </c>
      <c r="BH43" s="59">
        <f t="shared" si="8"/>
        <v>614.85761739959116</v>
      </c>
      <c r="BI43" s="59">
        <f ca="1">AVERAGE(OFFSET($BH$3,0,0,'Données projet'!$E$11+1,1))-AVERAGE(OFFSET($H$3,0,0,'Données projet'!$E$11+1,1))</f>
        <v>209.40885738157152</v>
      </c>
      <c r="BJ43" s="59">
        <f t="shared" si="38"/>
        <v>230.15385333954697</v>
      </c>
      <c r="BK43" s="15">
        <f>IF(ISNA(VLOOKUP(A43,'Données projet'!$A$87:$I$107,3,0)),0,VLOOKUP(A43,'Données projet'!$A$87:$I$107,3,0))</f>
        <v>7</v>
      </c>
      <c r="BL43" s="15" t="str">
        <f>IF(ISNA(VLOOKUP(A43,'Données projet'!$A$87:$I$107,4,0)),0,VLOOKUP(A43,'Données projet'!$A$87:$I$107,4,0))</f>
        <v>28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0.129</v>
      </c>
      <c r="BO43" s="16">
        <f>IF(ISNA(VLOOKUP(A43,'Données projet'!$A$87:$I$107,7,0)),0%,VLOOKUP(A43,'Données projet'!$A$87:$I$107,7,0))</f>
        <v>0.3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4.7694315641696976</v>
      </c>
      <c r="BR43" s="21">
        <f>EXP(-LN(2)/2)*BR42+(1-EXP(-LN(2)/2))/(LN(2)/2)*BL43*BO43*VLOOKUP('Données projet'!$B$11,Paramètres!$A$1:$I$89,3,0)*0.475*44/12</f>
        <v>6.2884624158545464</v>
      </c>
      <c r="BS43" s="22">
        <f t="shared" si="9"/>
        <v>11.057893980024243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9.3141025641025621</v>
      </c>
      <c r="BY43" s="12">
        <f>IF('Données projet'!$A$114&gt;35,BY42+BX43-CG42,IF(A43&lt;'Données projet'!$A$114,$BV$205^A43,IF(A43='Données projet'!$A$114,'Données projet'!$B$114,BY42+BX43-CG42)))</f>
        <v>148.13461538461542</v>
      </c>
      <c r="BZ43" s="13">
        <f>BY43*VLOOKUP('Données projet'!$B$12,Paramètres!$A$1:$I$89,3,0)*VLOOKUP('Données projet'!$B$12,Paramètres!$A$1:$I$89,5,0)</f>
        <v>134.03220000000002</v>
      </c>
      <c r="CA43" s="13">
        <f t="shared" si="39"/>
        <v>34.926419532696755</v>
      </c>
      <c r="CB43" s="20">
        <f t="shared" si="10"/>
        <v>294.26959568611358</v>
      </c>
      <c r="CC43" s="59">
        <f t="shared" si="11"/>
        <v>587.60292901944695</v>
      </c>
      <c r="CD43" s="59">
        <f ca="1">AVERAGE(OFFSET($CC$3,0,0,'Données projet'!$E$12+1,1))-AVERAGE(OFFSET($H$3,0,0,'Données projet'!$E$12+1,1))</f>
        <v>270.87836509222456</v>
      </c>
      <c r="CE43" s="59">
        <f t="shared" si="40"/>
        <v>205.24998237949734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150</v>
      </c>
      <c r="CR43" s="12">
        <f>VLOOKUP(A43,'Données projet'!$A$139:$I$159,9,0)</f>
        <v>7</v>
      </c>
      <c r="CS43" s="12">
        <f t="array" ref="CS43">INDEX(CR:CR,MIN(IF(ISNUMBER(CR43:CR239),ROW(CR43:CR239),"")))</f>
        <v>7</v>
      </c>
      <c r="CT43" s="12">
        <f>IF('Données projet'!$A$140&gt;35,CT42+CS43-DB42,IF(A43&lt;'Données projet'!$A$140,$CQ$205^A43,IF(A43='Données projet'!$A$140,'Données projet'!$B$140,CT42+CS43-DB42)))</f>
        <v>150</v>
      </c>
      <c r="CU43" s="17">
        <f>CT43*VLOOKUP('Données projet'!$B$13,Paramètres!$A$1:$I$89,3,0)*VLOOKUP('Données projet'!$B$13,Paramètres!$A$1:$I$89,5,0)</f>
        <v>131.04000000000002</v>
      </c>
      <c r="CV43" s="13">
        <f t="shared" si="41"/>
        <v>34.236561238949918</v>
      </c>
      <c r="CW43" s="20">
        <f t="shared" si="13"/>
        <v>287.85667749117118</v>
      </c>
      <c r="CX43" s="59">
        <f t="shared" si="14"/>
        <v>581.1900108245045</v>
      </c>
      <c r="CY43" s="59">
        <f ca="1">AVERAGE(OFFSET($CX$3,0,0,'Données projet'!$E$13+1,1))-AVERAGE(OFFSET($H$3,0,0,'Données projet'!$E$13+1,1))</f>
        <v>207.4513063267579</v>
      </c>
      <c r="CZ43" s="59">
        <f t="shared" si="42"/>
        <v>191.63513530247218</v>
      </c>
      <c r="DA43" s="15">
        <f>IF(ISNA(VLOOKUP(A43,'Données projet'!$A$139:$I$159,3,0)),0,VLOOKUP(A43,'Données projet'!$A$139:$I$159,3,0))</f>
        <v>5</v>
      </c>
      <c r="DB43" s="15" t="str">
        <f>IF(ISNA(VLOOKUP(A43,'Données projet'!$A$139:$I$159,4,0)),0,VLOOKUP(A43,'Données projet'!$A$139:$I$159,4,0))</f>
        <v>20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0.215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4.1363266982029687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4.1363266982029687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66.814714696519275</v>
      </c>
      <c r="T44" s="59">
        <f t="shared" si="34"/>
        <v>199.56746335788068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31.214238489407443</v>
      </c>
      <c r="AA44" s="21">
        <f>EXP(-LN(2)/25)*AA43+(1-EXP(-LN(2)/25))/(LN(2)/25)*Calculateur!V44*Calculateur!X44*VLOOKUP('Données projet'!$B$9,Paramètres!$A$1:$I$89,3,0)*0.475*44/12</f>
        <v>5.6413806708676955</v>
      </c>
      <c r="AB44" s="21">
        <f>EXP(-LN(2)/2)*AB43+(1-EXP(-LN(2)/2))/(LN(2)/2)*V44*Y44*VLOOKUP('Données projet'!$B$9,Paramètres!$A$1:$I$89,3,0)*0.475*44/12</f>
        <v>9.958752486050786E-3</v>
      </c>
      <c r="AC44" s="22">
        <f t="shared" si="3"/>
        <v>36.865577912761189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11.4</v>
      </c>
      <c r="AI44" s="13">
        <f>IF('Données projet'!$A$62&gt;35,AI43+AH44-AQ43,IF(A44&lt;'Données projet'!$A$62,$AF$205^A44,IF(A44='Données projet'!$A$62,'Données projet'!$B$62,AI43+AH44-AQ43)))</f>
        <v>234.39999999999992</v>
      </c>
      <c r="AJ44" s="13">
        <f>AI44*VLOOKUP('Données projet'!$B$10,Paramètres!$A$1:$I$89,3,0)*VLOOKUP('Données projet'!$B$10,Paramètres!$A$1:$I$89,5,0)</f>
        <v>186.48863999999995</v>
      </c>
      <c r="AK44" s="13">
        <f t="shared" si="35"/>
        <v>46.762800221578807</v>
      </c>
      <c r="AL44" s="20">
        <f t="shared" si="4"/>
        <v>406.24625838591629</v>
      </c>
      <c r="AM44" s="59">
        <f t="shared" si="5"/>
        <v>699.57959171924961</v>
      </c>
      <c r="AN44" s="59">
        <f ca="1">AVERAGE(OFFSET($AM$3,0,0,'Données projet'!$E$10+1,1))-AVERAGE(OFFSET($H$3,0,0,'Données projet'!$E$10+1,1))</f>
        <v>325.72928944930294</v>
      </c>
      <c r="AO44" s="59">
        <f t="shared" si="36"/>
        <v>318.38876834819752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38.586783323323182</v>
      </c>
      <c r="AV44" s="21">
        <f>EXP(-LN(2)/25)*AV43+(1-EXP(-LN(2)/25))/(LN(2)/25)*Calculateur!AQ44*Calculateur!AS44*VLOOKUP('Données projet'!$B$10,Paramètres!$A$1:$I$89,3,0)*0.475*44/12</f>
        <v>16.088224927541869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54.675008250865048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8.1999999999999993</v>
      </c>
      <c r="BD44" s="12">
        <f>IF('Données projet'!$A$88&gt;35,BD43+BC44-BL43,IF(A44&lt;'Données projet'!$A$88,$BA$205^A44,IF(A44='Données projet'!$A$88,'Données projet'!$B$88,BD43+BC44-BL43)))</f>
        <v>204.20000000000002</v>
      </c>
      <c r="BE44" s="13">
        <f>BD44*VLOOKUP('Données projet'!$B$11,Paramètres!$A$1:$I$89,3,0)*VLOOKUP('Données projet'!$B$11,Paramètres!$A$1:$I$89,5,0)</f>
        <v>133.79184000000001</v>
      </c>
      <c r="BF44" s="13">
        <f t="shared" si="37"/>
        <v>34.87107073670542</v>
      </c>
      <c r="BG44" s="20">
        <f t="shared" si="7"/>
        <v>293.75456953309532</v>
      </c>
      <c r="BH44" s="59">
        <f t="shared" si="8"/>
        <v>587.08790286642864</v>
      </c>
      <c r="BI44" s="59">
        <f ca="1">AVERAGE(OFFSET($BH$3,0,0,'Données projet'!$E$11+1,1))-AVERAGE(OFFSET($H$3,0,0,'Données projet'!$E$11+1,1))</f>
        <v>209.40885738157152</v>
      </c>
      <c r="BJ44" s="59">
        <f t="shared" si="38"/>
        <v>230.15385333954697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4.6390112072339722</v>
      </c>
      <c r="BR44" s="21">
        <f>EXP(-LN(2)/2)*BR43+(1-EXP(-LN(2)/2))/(LN(2)/2)*BL44*BO44*VLOOKUP('Données projet'!$B$11,Paramètres!$A$1:$I$89,3,0)*0.475*44/12</f>
        <v>4.4466144174874893</v>
      </c>
      <c r="BS44" s="22">
        <f t="shared" si="9"/>
        <v>9.0856256247214624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>
        <f>VLOOKUP(A44,'Données projet'!$A$113:$I$133,2,0)</f>
        <v>157.44871794871796</v>
      </c>
      <c r="BW44" s="12">
        <f>VLOOKUP(A44,'Données projet'!$A$113:$I$133,9,0)</f>
        <v>9.3141025641025621</v>
      </c>
      <c r="BX44" s="12">
        <f t="array" ref="BX44">INDEX(BW:BW,MIN(IF(ISNUMBER(BW44:BW240),ROW(BW44:BW240),"")))</f>
        <v>9.3141025641025621</v>
      </c>
      <c r="BY44" s="12">
        <f>IF('Données projet'!$A$114&gt;35,BY43+BX44-CG43,IF(A44&lt;'Données projet'!$A$114,$BV$205^A44,IF(A44='Données projet'!$A$114,'Données projet'!$B$114,BY43+BX44-CG43)))</f>
        <v>157.44871794871798</v>
      </c>
      <c r="BZ44" s="13">
        <f>BY44*VLOOKUP('Données projet'!$B$12,Paramètres!$A$1:$I$89,3,0)*VLOOKUP('Données projet'!$B$12,Paramètres!$A$1:$I$89,5,0)</f>
        <v>142.45960000000002</v>
      </c>
      <c r="CA44" s="13">
        <f t="shared" si="39"/>
        <v>36.859892915688405</v>
      </c>
      <c r="CB44" s="20">
        <f t="shared" si="10"/>
        <v>312.31478349482404</v>
      </c>
      <c r="CC44" s="59">
        <f t="shared" si="11"/>
        <v>605.6481168281573</v>
      </c>
      <c r="CD44" s="59">
        <f ca="1">AVERAGE(OFFSET($CC$3,0,0,'Données projet'!$E$12+1,1))-AVERAGE(OFFSET($H$3,0,0,'Données projet'!$E$12+1,1))</f>
        <v>270.87836509222456</v>
      </c>
      <c r="CE44" s="59">
        <f t="shared" si="40"/>
        <v>205.24998237949734</v>
      </c>
      <c r="CF44" s="15">
        <f>IF(ISNA(VLOOKUP(A44,'Données projet'!$A$113:$I$133,3,0)),0,VLOOKUP(A44,'Données projet'!$A$113:$I$133,3,0))</f>
        <v>2</v>
      </c>
      <c r="CG44" s="15">
        <f>IF(ISNA(VLOOKUP(A44,'Données projet'!$A$113:$I$133,4,0)),0,VLOOKUP(A44,'Données projet'!$A$113:$I$133,4,0))</f>
        <v>38.512820512820511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6.4</v>
      </c>
      <c r="CT44" s="12">
        <f>IF('Données projet'!$A$140&gt;35,CT43+CS44-DB43,IF(A44&lt;'Données projet'!$A$140,$CQ$205^A44,IF(A44='Données projet'!$A$140,'Données projet'!$B$140,CT43+CS44-DB43)))</f>
        <v>136.4</v>
      </c>
      <c r="CU44" s="17">
        <f>CT44*VLOOKUP('Données projet'!$B$13,Paramètres!$A$1:$I$89,3,0)*VLOOKUP('Données projet'!$B$13,Paramètres!$A$1:$I$89,5,0)</f>
        <v>119.15904000000003</v>
      </c>
      <c r="CV44" s="13">
        <f t="shared" si="41"/>
        <v>31.478778976043767</v>
      </c>
      <c r="CW44" s="20">
        <f t="shared" si="13"/>
        <v>262.36086804994295</v>
      </c>
      <c r="CX44" s="59">
        <f t="shared" si="14"/>
        <v>555.69420138327632</v>
      </c>
      <c r="CY44" s="59">
        <f ca="1">AVERAGE(OFFSET($CX$3,0,0,'Données projet'!$E$13+1,1))-AVERAGE(OFFSET($H$3,0,0,'Données projet'!$E$13+1,1))</f>
        <v>207.4513063267579</v>
      </c>
      <c r="CZ44" s="59">
        <f t="shared" si="42"/>
        <v>191.63513530247218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4.0232186271206416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4.0232186271206416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66.814714696519275</v>
      </c>
      <c r="T45" s="59">
        <f t="shared" si="34"/>
        <v>199.56746335788068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30.602146311435714</v>
      </c>
      <c r="AA45" s="21">
        <f>EXP(-LN(2)/25)*AA44+(1-EXP(-LN(2)/25))/(LN(2)/25)*Calculateur!V45*Calculateur!X45*VLOOKUP('Données projet'!$B$9,Paramètres!$A$1:$I$89,3,0)*0.475*44/12</f>
        <v>5.487116819755502</v>
      </c>
      <c r="AB45" s="21">
        <f>EXP(-LN(2)/2)*AB44+(1-EXP(-LN(2)/2))/(LN(2)/2)*V45*Y45*VLOOKUP('Données projet'!$B$9,Paramètres!$A$1:$I$89,3,0)*0.475*44/12</f>
        <v>7.0419014150449001E-3</v>
      </c>
      <c r="AC45" s="22">
        <f t="shared" si="3"/>
        <v>36.09630503260626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11.4</v>
      </c>
      <c r="AI45" s="13">
        <f>IF('Données projet'!$A$62&gt;35,AI44+AH45-AQ44,IF(A45&lt;'Données projet'!$A$62,$AF$205^A45,IF(A45='Données projet'!$A$62,'Données projet'!$B$62,AI44+AH45-AQ44)))</f>
        <v>245.79999999999993</v>
      </c>
      <c r="AJ45" s="13">
        <f>AI45*VLOOKUP('Données projet'!$B$10,Paramètres!$A$1:$I$89,3,0)*VLOOKUP('Données projet'!$B$10,Paramètres!$A$1:$I$89,5,0)</f>
        <v>195.55847999999995</v>
      </c>
      <c r="AK45" s="13">
        <f t="shared" si="35"/>
        <v>48.766783903364477</v>
      </c>
      <c r="AL45" s="20">
        <f t="shared" si="4"/>
        <v>425.53316796502639</v>
      </c>
      <c r="AM45" s="59">
        <f t="shared" si="5"/>
        <v>718.86650129835971</v>
      </c>
      <c r="AN45" s="59">
        <f ca="1">AVERAGE(OFFSET($AM$3,0,0,'Données projet'!$E$10+1,1))-AVERAGE(OFFSET($H$3,0,0,'Données projet'!$E$10+1,1))</f>
        <v>325.72928944930294</v>
      </c>
      <c r="AO45" s="59">
        <f t="shared" si="36"/>
        <v>318.38876834819752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37.830120037966694</v>
      </c>
      <c r="AV45" s="21">
        <f>EXP(-LN(2)/25)*AV44+(1-EXP(-LN(2)/25))/(LN(2)/25)*Calculateur!AQ45*Calculateur!AS45*VLOOKUP('Données projet'!$B$10,Paramètres!$A$1:$I$89,3,0)*0.475*44/12</f>
        <v>15.648291570855259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53.478411608821951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8.1999999999999993</v>
      </c>
      <c r="BD45" s="12">
        <f>IF('Données projet'!$A$88&gt;35,BD44+BC45-BL44,IF(A45&lt;'Données projet'!$A$88,$BA$205^A45,IF(A45='Données projet'!$A$88,'Données projet'!$B$88,BD44+BC45-BL44)))</f>
        <v>212.4</v>
      </c>
      <c r="BE45" s="13">
        <f>BD45*VLOOKUP('Données projet'!$B$11,Paramètres!$A$1:$I$89,3,0)*VLOOKUP('Données projet'!$B$11,Paramètres!$A$1:$I$89,5,0)</f>
        <v>139.16448</v>
      </c>
      <c r="BF45" s="13">
        <f t="shared" si="37"/>
        <v>36.105532965181432</v>
      </c>
      <c r="BG45" s="20">
        <f t="shared" si="7"/>
        <v>305.26193924769092</v>
      </c>
      <c r="BH45" s="59">
        <f t="shared" si="8"/>
        <v>598.59527258102423</v>
      </c>
      <c r="BI45" s="59">
        <f ca="1">AVERAGE(OFFSET($BH$3,0,0,'Données projet'!$E$11+1,1))-AVERAGE(OFFSET($H$3,0,0,'Données projet'!$E$11+1,1))</f>
        <v>209.40885738157152</v>
      </c>
      <c r="BJ45" s="59">
        <f t="shared" si="38"/>
        <v>230.15385333954697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4.5121572018171623</v>
      </c>
      <c r="BR45" s="21">
        <f>EXP(-LN(2)/2)*BR44+(1-EXP(-LN(2)/2))/(LN(2)/2)*BL45*BO45*VLOOKUP('Données projet'!$B$11,Paramètres!$A$1:$I$89,3,0)*0.475*44/12</f>
        <v>3.1442312079272736</v>
      </c>
      <c r="BS45" s="22">
        <f t="shared" si="9"/>
        <v>7.6563884097444355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9.3452380952380913</v>
      </c>
      <c r="BY45" s="12">
        <f>IF('Données projet'!$A$114&gt;35,BY44+BX45-CG44,IF(A45&lt;'Données projet'!$A$114,$BV$205^A45,IF(A45='Données projet'!$A$114,'Données projet'!$B$114,BY44+BX45-CG44)))</f>
        <v>128.28113553113559</v>
      </c>
      <c r="BZ45" s="13">
        <f>BY45*VLOOKUP('Données projet'!$B$12,Paramètres!$A$1:$I$89,3,0)*VLOOKUP('Données projet'!$B$12,Paramètres!$A$1:$I$89,5,0)</f>
        <v>116.06877142857148</v>
      </c>
      <c r="CA45" s="13">
        <f t="shared" si="39"/>
        <v>30.75633490516044</v>
      </c>
      <c r="CB45" s="20">
        <f t="shared" si="10"/>
        <v>255.72039353124975</v>
      </c>
      <c r="CC45" s="59">
        <f t="shared" si="11"/>
        <v>549.05372686458304</v>
      </c>
      <c r="CD45" s="59">
        <f ca="1">AVERAGE(OFFSET($CC$3,0,0,'Données projet'!$E$12+1,1))-AVERAGE(OFFSET($H$3,0,0,'Données projet'!$E$12+1,1))</f>
        <v>270.87836509222456</v>
      </c>
      <c r="CE45" s="59">
        <f t="shared" si="40"/>
        <v>205.24998237949734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0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6.4</v>
      </c>
      <c r="CT45" s="12">
        <f>IF('Données projet'!$A$140&gt;35,CT44+CS45-DB44,IF(A45&lt;'Données projet'!$A$140,$CQ$205^A45,IF(A45='Données projet'!$A$140,'Données projet'!$B$140,CT44+CS45-DB44)))</f>
        <v>142.80000000000001</v>
      </c>
      <c r="CU45" s="17">
        <f>CT45*VLOOKUP('Données projet'!$B$13,Paramètres!$A$1:$I$89,3,0)*VLOOKUP('Données projet'!$B$13,Paramètres!$A$1:$I$89,5,0)</f>
        <v>124.75008000000003</v>
      </c>
      <c r="CV45" s="13">
        <f t="shared" si="41"/>
        <v>32.780361960132396</v>
      </c>
      <c r="CW45" s="20">
        <f t="shared" si="13"/>
        <v>274.36551974723062</v>
      </c>
      <c r="CX45" s="59">
        <f t="shared" si="14"/>
        <v>567.69885308056394</v>
      </c>
      <c r="CY45" s="59">
        <f ca="1">AVERAGE(OFFSET($CX$3,0,0,'Données projet'!$E$13+1,1))-AVERAGE(OFFSET($H$3,0,0,'Données projet'!$E$13+1,1))</f>
        <v>207.4513063267579</v>
      </c>
      <c r="CZ45" s="59">
        <f t="shared" si="42"/>
        <v>191.63513530247218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3.9132035021901554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3.9132035021901554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66.814714696519275</v>
      </c>
      <c r="T46" s="59">
        <f t="shared" si="34"/>
        <v>199.56746335788068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30.002056887734646</v>
      </c>
      <c r="AA46" s="21">
        <f>EXP(-LN(2)/25)*AA45+(1-EXP(-LN(2)/25))/(LN(2)/25)*Calculateur!V46*Calculateur!X46*VLOOKUP('Données projet'!$B$9,Paramètres!$A$1:$I$89,3,0)*0.475*44/12</f>
        <v>5.3370713217643555</v>
      </c>
      <c r="AB46" s="21">
        <f>EXP(-LN(2)/2)*AB45+(1-EXP(-LN(2)/2))/(LN(2)/2)*V46*Y46*VLOOKUP('Données projet'!$B$9,Paramètres!$A$1:$I$89,3,0)*0.475*44/12</f>
        <v>4.9793762430253938E-3</v>
      </c>
      <c r="AC46" s="22">
        <f t="shared" si="3"/>
        <v>35.34410758574203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11.4</v>
      </c>
      <c r="AI46" s="13">
        <f>IF('Données projet'!$A$62&gt;35,AI45+AH46-AQ45,IF(A46&lt;'Données projet'!$A$62,$AF$205^A46,IF(A46='Données projet'!$A$62,'Données projet'!$B$62,AI45+AH46-AQ45)))</f>
        <v>257.19999999999993</v>
      </c>
      <c r="AJ46" s="13">
        <f>AI46*VLOOKUP('Données projet'!$B$10,Paramètres!$A$1:$I$89,3,0)*VLOOKUP('Données projet'!$B$10,Paramètres!$A$1:$I$89,5,0)</f>
        <v>204.62831999999995</v>
      </c>
      <c r="AK46" s="13">
        <f t="shared" si="35"/>
        <v>50.759974072251445</v>
      </c>
      <c r="AL46" s="20">
        <f t="shared" si="4"/>
        <v>444.80127884250447</v>
      </c>
      <c r="AM46" s="59">
        <f t="shared" si="5"/>
        <v>738.13461217583779</v>
      </c>
      <c r="AN46" s="59">
        <f ca="1">AVERAGE(OFFSET($AM$3,0,0,'Données projet'!$E$10+1,1))-AVERAGE(OFFSET($H$3,0,0,'Données projet'!$E$10+1,1))</f>
        <v>325.72928944930294</v>
      </c>
      <c r="AO46" s="59">
        <f t="shared" si="36"/>
        <v>318.38876834819752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37.088294458117012</v>
      </c>
      <c r="AV46" s="21">
        <f>EXP(-LN(2)/25)*AV45+(1-EXP(-LN(2)/25))/(LN(2)/25)*Calculateur!AQ46*Calculateur!AS46*VLOOKUP('Données projet'!$B$10,Paramètres!$A$1:$I$89,3,0)*0.475*44/12</f>
        <v>15.220388214942332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52.308682673059344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8.1999999999999993</v>
      </c>
      <c r="BD46" s="12">
        <f>IF('Données projet'!$A$88&gt;35,BD45+BC46-BL45,IF(A46&lt;'Données projet'!$A$88,$BA$205^A46,IF(A46='Données projet'!$A$88,'Données projet'!$B$88,BD45+BC46-BL45)))</f>
        <v>220.6</v>
      </c>
      <c r="BE46" s="13">
        <f>BD46*VLOOKUP('Données projet'!$B$11,Paramètres!$A$1:$I$89,3,0)*VLOOKUP('Données projet'!$B$11,Paramètres!$A$1:$I$89,5,0)</f>
        <v>144.53712000000002</v>
      </c>
      <c r="BF46" s="13">
        <f t="shared" si="37"/>
        <v>37.334458778614163</v>
      </c>
      <c r="BG46" s="20">
        <f t="shared" si="7"/>
        <v>316.75966637275303</v>
      </c>
      <c r="BH46" s="59">
        <f t="shared" si="8"/>
        <v>610.0929997060864</v>
      </c>
      <c r="BI46" s="59">
        <f ca="1">AVERAGE(OFFSET($BH$3,0,0,'Données projet'!$E$11+1,1))-AVERAGE(OFFSET($H$3,0,0,'Données projet'!$E$11+1,1))</f>
        <v>209.40885738157152</v>
      </c>
      <c r="BJ46" s="59">
        <f t="shared" si="38"/>
        <v>230.15385333954697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4.3887720258494376</v>
      </c>
      <c r="BR46" s="21">
        <f>EXP(-LN(2)/2)*BR45+(1-EXP(-LN(2)/2))/(LN(2)/2)*BL46*BO46*VLOOKUP('Données projet'!$B$11,Paramètres!$A$1:$I$89,3,0)*0.475*44/12</f>
        <v>2.2233072087437447</v>
      </c>
      <c r="BS46" s="22">
        <f t="shared" si="9"/>
        <v>6.6120792345931818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9.3452380952380913</v>
      </c>
      <c r="BY46" s="12">
        <f>IF('Données projet'!$A$114&gt;35,BY45+BX46-CG45,IF(A46&lt;'Données projet'!$A$114,$BV$205^A46,IF(A46='Données projet'!$A$114,'Données projet'!$B$114,BY45+BX46-CG45)))</f>
        <v>137.62637362637369</v>
      </c>
      <c r="BZ46" s="13">
        <f>BY46*VLOOKUP('Données projet'!$B$12,Paramètres!$A$1:$I$89,3,0)*VLOOKUP('Données projet'!$B$12,Paramètres!$A$1:$I$89,5,0)</f>
        <v>124.52434285714291</v>
      </c>
      <c r="CA46" s="13">
        <f t="shared" si="39"/>
        <v>32.727944326790649</v>
      </c>
      <c r="CB46" s="20">
        <f t="shared" si="10"/>
        <v>273.88106684535092</v>
      </c>
      <c r="CC46" s="59">
        <f t="shared" si="11"/>
        <v>567.21440017868417</v>
      </c>
      <c r="CD46" s="59">
        <f ca="1">AVERAGE(OFFSET($CC$3,0,0,'Données projet'!$E$12+1,1))-AVERAGE(OFFSET($H$3,0,0,'Données projet'!$E$12+1,1))</f>
        <v>270.87836509222456</v>
      </c>
      <c r="CE46" s="59">
        <f t="shared" si="40"/>
        <v>205.24998237949734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0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6.4</v>
      </c>
      <c r="CT46" s="12">
        <f>IF('Données projet'!$A$140&gt;35,CT45+CS46-DB45,IF(A46&lt;'Données projet'!$A$140,$CQ$205^A46,IF(A46='Données projet'!$A$140,'Données projet'!$B$140,CT45+CS46-DB45)))</f>
        <v>149.20000000000002</v>
      </c>
      <c r="CU46" s="17">
        <f>CT46*VLOOKUP('Données projet'!$B$13,Paramètres!$A$1:$I$89,3,0)*VLOOKUP('Données projet'!$B$13,Paramètres!$A$1:$I$89,5,0)</f>
        <v>130.34112000000005</v>
      </c>
      <c r="CV46" s="13">
        <f t="shared" si="41"/>
        <v>34.075170122989917</v>
      </c>
      <c r="CW46" s="20">
        <f t="shared" si="13"/>
        <v>286.35837196420749</v>
      </c>
      <c r="CX46" s="59">
        <f t="shared" si="14"/>
        <v>579.69170529754081</v>
      </c>
      <c r="CY46" s="59">
        <f ca="1">AVERAGE(OFFSET($CX$3,0,0,'Données projet'!$E$13+1,1))-AVERAGE(OFFSET($H$3,0,0,'Données projet'!$E$13+1,1))</f>
        <v>207.4513063267579</v>
      </c>
      <c r="CZ46" s="59">
        <f t="shared" si="42"/>
        <v>191.63513530247218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3.8061967466363371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3.8061967466363371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66.814714696519275</v>
      </c>
      <c r="T47" s="59">
        <f t="shared" si="34"/>
        <v>199.56746335788068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29.413734851613953</v>
      </c>
      <c r="AA47" s="21">
        <f>EXP(-LN(2)/25)*AA46+(1-EXP(-LN(2)/25))/(LN(2)/25)*Calculateur!V47*Calculateur!X47*VLOOKUP('Données projet'!$B$9,Paramètres!$A$1:$I$89,3,0)*0.475*44/12</f>
        <v>5.1911288258063264</v>
      </c>
      <c r="AB47" s="21">
        <f>EXP(-LN(2)/2)*AB46+(1-EXP(-LN(2)/2))/(LN(2)/2)*V47*Y47*VLOOKUP('Données projet'!$B$9,Paramètres!$A$1:$I$89,3,0)*0.475*44/12</f>
        <v>3.5209507075224505E-3</v>
      </c>
      <c r="AC47" s="22">
        <f t="shared" si="3"/>
        <v>34.608384628127801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11.4</v>
      </c>
      <c r="AI47" s="13">
        <f>IF('Données projet'!$A$62&gt;35,AI46+AH47-AQ46,IF(A47&lt;'Données projet'!$A$62,$AF$205^A47,IF(A47='Données projet'!$A$62,'Données projet'!$B$62,AI46+AH47-AQ46)))</f>
        <v>268.59999999999991</v>
      </c>
      <c r="AJ47" s="13">
        <f>AI47*VLOOKUP('Données projet'!$B$10,Paramètres!$A$1:$I$89,3,0)*VLOOKUP('Données projet'!$B$10,Paramètres!$A$1:$I$89,5,0)</f>
        <v>213.69815999999994</v>
      </c>
      <c r="AK47" s="13">
        <f t="shared" si="35"/>
        <v>52.742903801874164</v>
      </c>
      <c r="AL47" s="20">
        <f t="shared" si="4"/>
        <v>464.05151945493071</v>
      </c>
      <c r="AM47" s="59">
        <f t="shared" si="5"/>
        <v>757.38485278826397</v>
      </c>
      <c r="AN47" s="59">
        <f ca="1">AVERAGE(OFFSET($AM$3,0,0,'Données projet'!$E$10+1,1))-AVERAGE(OFFSET($H$3,0,0,'Données projet'!$E$10+1,1))</f>
        <v>325.72928944930294</v>
      </c>
      <c r="AO47" s="59">
        <f t="shared" si="36"/>
        <v>318.38876834819752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36.361015625419256</v>
      </c>
      <c r="AV47" s="21">
        <f>EXP(-LN(2)/25)*AV46+(1-EXP(-LN(2)/25))/(LN(2)/25)*Calculateur!AQ47*Calculateur!AS47*VLOOKUP('Données projet'!$B$10,Paramètres!$A$1:$I$89,3,0)*0.475*44/12</f>
        <v>14.804185898799304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51.16520152421856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8.1999999999999993</v>
      </c>
      <c r="BD47" s="12">
        <f>IF('Données projet'!$A$88&gt;35,BD46+BC47-BL46,IF(A47&lt;'Données projet'!$A$88,$BA$205^A47,IF(A47='Données projet'!$A$88,'Données projet'!$B$88,BD46+BC47-BL46)))</f>
        <v>228.79999999999998</v>
      </c>
      <c r="BE47" s="13">
        <f>BD47*VLOOKUP('Données projet'!$B$11,Paramètres!$A$1:$I$89,3,0)*VLOOKUP('Données projet'!$B$11,Paramètres!$A$1:$I$89,5,0)</f>
        <v>149.90975999999998</v>
      </c>
      <c r="BF47" s="13">
        <f t="shared" si="37"/>
        <v>38.558077538852132</v>
      </c>
      <c r="BG47" s="20">
        <f t="shared" si="7"/>
        <v>328.24815038016737</v>
      </c>
      <c r="BH47" s="59">
        <f t="shared" si="8"/>
        <v>621.58148371350069</v>
      </c>
      <c r="BI47" s="59">
        <f ca="1">AVERAGE(OFFSET($BH$3,0,0,'Données projet'!$E$11+1,1))-AVERAGE(OFFSET($H$3,0,0,'Données projet'!$E$11+1,1))</f>
        <v>209.40885738157152</v>
      </c>
      <c r="BJ47" s="59">
        <f t="shared" si="38"/>
        <v>230.15385333954697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4.2687608240070949</v>
      </c>
      <c r="BR47" s="21">
        <f>EXP(-LN(2)/2)*BR46+(1-EXP(-LN(2)/2))/(LN(2)/2)*BL47*BO47*VLOOKUP('Données projet'!$B$11,Paramètres!$A$1:$I$89,3,0)*0.475*44/12</f>
        <v>1.5721156039636368</v>
      </c>
      <c r="BS47" s="22">
        <f t="shared" si="9"/>
        <v>5.8408764279707315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9.3452380952380913</v>
      </c>
      <c r="BY47" s="12">
        <f>IF('Données projet'!$A$114&gt;35,BY46+BX47-CG46,IF(A47&lt;'Données projet'!$A$114,$BV$205^A47,IF(A47='Données projet'!$A$114,'Données projet'!$B$114,BY46+BX47-CG46)))</f>
        <v>146.97161172161179</v>
      </c>
      <c r="BZ47" s="13">
        <f>BY47*VLOOKUP('Données projet'!$B$12,Paramètres!$A$1:$I$89,3,0)*VLOOKUP('Données projet'!$B$12,Paramètres!$A$1:$I$89,5,0)</f>
        <v>132.97991428571436</v>
      </c>
      <c r="CA47" s="13">
        <f t="shared" si="39"/>
        <v>34.684019161942608</v>
      </c>
      <c r="CB47" s="20">
        <f t="shared" si="10"/>
        <v>292.01468408800253</v>
      </c>
      <c r="CC47" s="59">
        <f t="shared" si="11"/>
        <v>585.34801742133584</v>
      </c>
      <c r="CD47" s="59">
        <f ca="1">AVERAGE(OFFSET($CC$3,0,0,'Données projet'!$E$12+1,1))-AVERAGE(OFFSET($H$3,0,0,'Données projet'!$E$12+1,1))</f>
        <v>270.87836509222456</v>
      </c>
      <c r="CE47" s="59">
        <f t="shared" si="40"/>
        <v>205.24998237949734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0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6.4</v>
      </c>
      <c r="CT47" s="12">
        <f>IF('Données projet'!$A$140&gt;35,CT46+CS47-DB46,IF(A47&lt;'Données projet'!$A$140,$CQ$205^A47,IF(A47='Données projet'!$A$140,'Données projet'!$B$140,CT46+CS47-DB46)))</f>
        <v>155.60000000000002</v>
      </c>
      <c r="CU47" s="17">
        <f>CT47*VLOOKUP('Données projet'!$B$13,Paramètres!$A$1:$I$89,3,0)*VLOOKUP('Données projet'!$B$13,Paramètres!$A$1:$I$89,5,0)</f>
        <v>135.93216000000004</v>
      </c>
      <c r="CV47" s="13">
        <f t="shared" si="41"/>
        <v>35.36352729450968</v>
      </c>
      <c r="CW47" s="20">
        <f t="shared" si="13"/>
        <v>298.33998870460442</v>
      </c>
      <c r="CX47" s="59">
        <f t="shared" si="14"/>
        <v>591.67332203793774</v>
      </c>
      <c r="CY47" s="59">
        <f ca="1">AVERAGE(OFFSET($CX$3,0,0,'Données projet'!$E$13+1,1))-AVERAGE(OFFSET($H$3,0,0,'Données projet'!$E$13+1,1))</f>
        <v>207.4513063267579</v>
      </c>
      <c r="CZ47" s="59">
        <f t="shared" si="42"/>
        <v>191.63513530247218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3.7021160964403785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3.7021160964403785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66.814714696519275</v>
      </c>
      <c r="T48" s="59">
        <f t="shared" si="34"/>
        <v>199.56746335788068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28.836949451780576</v>
      </c>
      <c r="AA48" s="21">
        <f>EXP(-LN(2)/25)*AA47+(1-EXP(-LN(2)/25))/(LN(2)/25)*Calculateur!V48*Calculateur!X48*VLOOKUP('Données projet'!$B$9,Paramètres!$A$1:$I$89,3,0)*0.475*44/12</f>
        <v>5.0491771350750518</v>
      </c>
      <c r="AB48" s="21">
        <f>EXP(-LN(2)/2)*AB47+(1-EXP(-LN(2)/2))/(LN(2)/2)*V48*Y48*VLOOKUP('Données projet'!$B$9,Paramètres!$A$1:$I$89,3,0)*0.475*44/12</f>
        <v>2.4896881215126974E-3</v>
      </c>
      <c r="AC48" s="22">
        <f t="shared" si="3"/>
        <v>33.888616274977139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280</v>
      </c>
      <c r="AG48" s="12">
        <f>VLOOKUP(A48,'Données projet'!$A$61:$I$81,9,0)</f>
        <v>11.4</v>
      </c>
      <c r="AH48" s="12">
        <f t="array" ref="AH48">INDEX(AG:AG,MIN(IF(ISNUMBER(AG48:AG244),ROW(AG48:AG244),"")))</f>
        <v>11.4</v>
      </c>
      <c r="AI48" s="13">
        <f>IF('Données projet'!$A$62&gt;35,AI47+AH48-AQ47,IF(A48&lt;'Données projet'!$A$62,$AF$205^A48,IF(A48='Données projet'!$A$62,'Données projet'!$B$62,AI47+AH48-AQ47)))</f>
        <v>279.99999999999989</v>
      </c>
      <c r="AJ48" s="13">
        <f>AI48*VLOOKUP('Données projet'!$B$10,Paramètres!$A$1:$I$89,3,0)*VLOOKUP('Données projet'!$B$10,Paramètres!$A$1:$I$89,5,0)</f>
        <v>222.76799999999994</v>
      </c>
      <c r="AK48" s="13">
        <f t="shared" si="35"/>
        <v>54.716058356609508</v>
      </c>
      <c r="AL48" s="20">
        <f t="shared" si="4"/>
        <v>483.28473497109485</v>
      </c>
      <c r="AM48" s="59">
        <f t="shared" si="5"/>
        <v>776.61806830442811</v>
      </c>
      <c r="AN48" s="59">
        <f ca="1">AVERAGE(OFFSET($AM$3,0,0,'Données projet'!$E$10+1,1))-AVERAGE(OFFSET($H$3,0,0,'Données projet'!$E$10+1,1))</f>
        <v>325.72928944930294</v>
      </c>
      <c r="AO48" s="59">
        <f t="shared" si="36"/>
        <v>318.38876834819752</v>
      </c>
      <c r="AP48" s="15">
        <f>IF(ISNA(VLOOKUP(A48,'Données projet'!$A$61:$I$81,3,0)),0,VLOOKUP(A48,'Données projet'!$A$61:$I$81,3,0))</f>
        <v>8</v>
      </c>
      <c r="AQ48" s="15">
        <f>IF(ISNA(VLOOKUP(A48,'Données projet'!$A$61:$I$81,4,0)),0,VLOOKUP(A48,'Données projet'!$A$61:$I$81,4,0))</f>
        <v>26</v>
      </c>
      <c r="AR48" s="16">
        <f>IF(ISNA(VLOOKUP(A48,'Données projet'!$A$61:$I$81,5,0)),0%,VLOOKUP(A48,'Données projet'!$A$61:$I$81,5,0)*VLOOKUP('Données projet'!$B$10,Paramètres!$A$1:$I$89,7,0))</f>
        <v>0.48760000000000003</v>
      </c>
      <c r="AS48" s="16">
        <f>IF(ISNA(VLOOKUP(A48,'Données projet'!$A$61:$I$81,6,0)),0%,VLOOKUP(A48,'Données projet'!$A$61:$I$81,6,0)*VLOOKUP('Données projet'!$B$10,Paramètres!$A$1:$I$89,7,0))</f>
        <v>2.12E-2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46.798102584240269</v>
      </c>
      <c r="AV48" s="21">
        <f>EXP(-LN(2)/25)*AV47+(1-EXP(-LN(2)/25))/(LN(2)/25)*Calculateur!AQ48*Calculateur!AS48*VLOOKUP('Données projet'!$B$10,Paramètres!$A$1:$I$89,3,0)*0.475*44/12</f>
        <v>14.882243008533333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61.680345592773605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237</v>
      </c>
      <c r="BB48" s="12">
        <f>VLOOKUP(A48,'Données projet'!$A$87:$I$107,9,0)</f>
        <v>8.1999999999999993</v>
      </c>
      <c r="BC48" s="12">
        <f t="array" ref="BC48">INDEX(BB:BB,MIN(IF(ISNUMBER(BB48:BB244),ROW(BB48:BB244),"")))</f>
        <v>8.1999999999999993</v>
      </c>
      <c r="BD48" s="12">
        <f>IF('Données projet'!$A$88&gt;35,BD47+BC48-BL47,IF(A48&lt;'Données projet'!$A$88,$BA$205^A48,IF(A48='Données projet'!$A$88,'Données projet'!$B$88,BD47+BC48-BL47)))</f>
        <v>236.99999999999997</v>
      </c>
      <c r="BE48" s="13">
        <f>BD48*VLOOKUP('Données projet'!$B$11,Paramètres!$A$1:$I$89,3,0)*VLOOKUP('Données projet'!$B$11,Paramètres!$A$1:$I$89,5,0)</f>
        <v>155.28239999999997</v>
      </c>
      <c r="BF48" s="13">
        <f t="shared" si="37"/>
        <v>39.776601235546408</v>
      </c>
      <c r="BG48" s="20">
        <f t="shared" si="7"/>
        <v>339.72776048524321</v>
      </c>
      <c r="BH48" s="59">
        <f t="shared" si="8"/>
        <v>633.06109381857652</v>
      </c>
      <c r="BI48" s="59">
        <f ca="1">AVERAGE(OFFSET($BH$3,0,0,'Données projet'!$E$11+1,1))-AVERAGE(OFFSET($H$3,0,0,'Données projet'!$E$11+1,1))</f>
        <v>209.40885738157152</v>
      </c>
      <c r="BJ48" s="59">
        <f t="shared" si="38"/>
        <v>230.15385333954697</v>
      </c>
      <c r="BK48" s="15">
        <f>IF(ISNA(VLOOKUP(A48,'Données projet'!$A$87:$I$107,3,0)),0,VLOOKUP(A48,'Données projet'!$A$87:$I$107,3,0))</f>
        <v>8</v>
      </c>
      <c r="BL48" s="15" t="str">
        <f>IF(ISNA(VLOOKUP(A48,'Données projet'!$A$87:$I$107,4,0)),0,VLOOKUP(A48,'Données projet'!$A$87:$I$107,4,0))</f>
        <v>28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0.129</v>
      </c>
      <c r="BO48" s="16">
        <f>IF(ISNA(VLOOKUP(A48,'Données projet'!$A$87:$I$107,7,0)),0%,VLOOKUP(A48,'Données projet'!$A$87:$I$107,7,0))</f>
        <v>0.3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6.7579171546581156</v>
      </c>
      <c r="BR48" s="21">
        <f>EXP(-LN(2)/2)*BR47+(1-EXP(-LN(2)/2))/(LN(2)/2)*BL48*BO48*VLOOKUP('Données projet'!$B$11,Paramètres!$A$1:$I$89,3,0)*0.475*44/12</f>
        <v>6.304523813747255</v>
      </c>
      <c r="BS48" s="22">
        <f t="shared" si="9"/>
        <v>13.062440968405371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9.3452380952380913</v>
      </c>
      <c r="BY48" s="12">
        <f>IF('Données projet'!$A$114&gt;35,BY47+BX48-CG47,IF(A48&lt;'Données projet'!$A$114,$BV$205^A48,IF(A48='Données projet'!$A$114,'Données projet'!$B$114,BY47+BX48-CG47)))</f>
        <v>156.3168498168499</v>
      </c>
      <c r="BZ48" s="13">
        <f>BY48*VLOOKUP('Données projet'!$B$12,Paramètres!$A$1:$I$89,3,0)*VLOOKUP('Données projet'!$B$12,Paramètres!$A$1:$I$89,5,0)</f>
        <v>141.43548571428576</v>
      </c>
      <c r="CA48" s="13">
        <f t="shared" si="39"/>
        <v>36.625659617511197</v>
      </c>
      <c r="CB48" s="20">
        <f t="shared" si="10"/>
        <v>310.12316145287969</v>
      </c>
      <c r="CC48" s="59">
        <f t="shared" si="11"/>
        <v>603.45649478621294</v>
      </c>
      <c r="CD48" s="59">
        <f ca="1">AVERAGE(OFFSET($CC$3,0,0,'Données projet'!$E$12+1,1))-AVERAGE(OFFSET($H$3,0,0,'Données projet'!$E$12+1,1))</f>
        <v>270.87836509222456</v>
      </c>
      <c r="CE48" s="59">
        <f t="shared" si="40"/>
        <v>205.24998237949734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0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162</v>
      </c>
      <c r="CR48" s="12">
        <f>VLOOKUP(A48,'Données projet'!$A$139:$I$159,9,0)</f>
        <v>6.4</v>
      </c>
      <c r="CS48" s="12">
        <f t="array" ref="CS48">INDEX(CR:CR,MIN(IF(ISNUMBER(CR48:CR244),ROW(CR48:CR244),"")))</f>
        <v>6.4</v>
      </c>
      <c r="CT48" s="12">
        <f>IF('Données projet'!$A$140&gt;35,CT47+CS48-DB47,IF(A48&lt;'Données projet'!$A$140,$CQ$205^A48,IF(A48='Données projet'!$A$140,'Données projet'!$B$140,CT47+CS48-DB47)))</f>
        <v>162.00000000000003</v>
      </c>
      <c r="CU48" s="17">
        <f>CT48*VLOOKUP('Données projet'!$B$13,Paramètres!$A$1:$I$89,3,0)*VLOOKUP('Données projet'!$B$13,Paramètres!$A$1:$I$89,5,0)</f>
        <v>141.52320000000006</v>
      </c>
      <c r="CV48" s="13">
        <f t="shared" si="41"/>
        <v>36.645729158274158</v>
      </c>
      <c r="CW48" s="20">
        <f t="shared" si="13"/>
        <v>310.31088495066086</v>
      </c>
      <c r="CX48" s="59">
        <f t="shared" si="14"/>
        <v>603.64421828399418</v>
      </c>
      <c r="CY48" s="59">
        <f ca="1">AVERAGE(OFFSET($CX$3,0,0,'Données projet'!$E$13+1,1))-AVERAGE(OFFSET($H$3,0,0,'Données projet'!$E$13+1,1))</f>
        <v>207.4513063267579</v>
      </c>
      <c r="CZ48" s="59">
        <f t="shared" si="42"/>
        <v>191.63513530247218</v>
      </c>
      <c r="DA48" s="15">
        <f>IF(ISNA(VLOOKUP(A48,'Données projet'!$A$139:$I$159,3,0)),0,VLOOKUP(A48,'Données projet'!$A$139:$I$159,3,0))</f>
        <v>6</v>
      </c>
      <c r="DB48" s="15" t="str">
        <f>IF(ISNA(VLOOKUP(A48,'Données projet'!$A$139:$I$159,4,0)),0,VLOOKUP(A48,'Données projet'!$A$139:$I$159,4,0))</f>
        <v>19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0.215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7.530391900390212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7.530391900390212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66.814714696519275</v>
      </c>
      <c r="T49" s="59">
        <f t="shared" si="34"/>
        <v>199.56746335788068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28.271474461833574</v>
      </c>
      <c r="AA49" s="21">
        <f>EXP(-LN(2)/25)*AA48+(1-EXP(-LN(2)/25))/(LN(2)/25)*Calculateur!V49*Calculateur!X49*VLOOKUP('Données projet'!$B$9,Paramètres!$A$1:$I$89,3,0)*0.475*44/12</f>
        <v>4.9111071207917387</v>
      </c>
      <c r="AB49" s="21">
        <f>EXP(-LN(2)/2)*AB48+(1-EXP(-LN(2)/2))/(LN(2)/2)*V49*Y49*VLOOKUP('Données projet'!$B$9,Paramètres!$A$1:$I$89,3,0)*0.475*44/12</f>
        <v>1.7604753537612255E-3</v>
      </c>
      <c r="AC49" s="22">
        <f t="shared" si="3"/>
        <v>33.184342057979073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9.8000000000000007</v>
      </c>
      <c r="AI49" s="13">
        <f>IF('Données projet'!$A$62&gt;35,AI48+AH49-AQ48,IF(A49&lt;'Données projet'!$A$62,$AF$205^A49,IF(A49='Données projet'!$A$62,'Données projet'!$B$62,AI48+AH49-AQ48)))</f>
        <v>263.7999999999999</v>
      </c>
      <c r="AJ49" s="13">
        <f>AI49*VLOOKUP('Données projet'!$B$10,Paramètres!$A$1:$I$89,3,0)*VLOOKUP('Données projet'!$B$10,Paramètres!$A$1:$I$89,5,0)</f>
        <v>209.87927999999994</v>
      </c>
      <c r="AK49" s="13">
        <f t="shared" si="35"/>
        <v>51.909204458241767</v>
      </c>
      <c r="AL49" s="20">
        <f t="shared" si="4"/>
        <v>455.94827709810426</v>
      </c>
      <c r="AM49" s="59">
        <f t="shared" si="5"/>
        <v>749.28161043143757</v>
      </c>
      <c r="AN49" s="59">
        <f ca="1">AVERAGE(OFFSET($AM$3,0,0,'Données projet'!$E$10+1,1))-AVERAGE(OFFSET($H$3,0,0,'Données projet'!$E$10+1,1))</f>
        <v>325.72928944930294</v>
      </c>
      <c r="AO49" s="59">
        <f t="shared" si="36"/>
        <v>318.38876834819752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45.880420336587406</v>
      </c>
      <c r="AV49" s="21">
        <f>EXP(-LN(2)/25)*AV48+(1-EXP(-LN(2)/25))/(LN(2)/25)*Calculateur!AQ49*Calculateur!AS49*VLOOKUP('Données projet'!$B$10,Paramètres!$A$1:$I$89,3,0)*0.475*44/12</f>
        <v>14.475287290841843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60.355707627429247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7.4</v>
      </c>
      <c r="BD49" s="12">
        <f>IF('Données projet'!$A$88&gt;35,BD48+BC49-BL48,IF(A49&lt;'Données projet'!$A$88,$BA$205^A49,IF(A49='Données projet'!$A$88,'Données projet'!$B$88,BD48+BC49-BL48)))</f>
        <v>216.39999999999998</v>
      </c>
      <c r="BE49" s="13">
        <f>BD49*VLOOKUP('Données projet'!$B$11,Paramètres!$A$1:$I$89,3,0)*VLOOKUP('Données projet'!$B$11,Paramètres!$A$1:$I$89,5,0)</f>
        <v>141.78528</v>
      </c>
      <c r="BF49" s="13">
        <f t="shared" si="37"/>
        <v>36.705685970912178</v>
      </c>
      <c r="BG49" s="20">
        <f t="shared" si="7"/>
        <v>310.87176573267203</v>
      </c>
      <c r="BH49" s="59">
        <f t="shared" si="8"/>
        <v>604.20509906600535</v>
      </c>
      <c r="BI49" s="59">
        <f ca="1">AVERAGE(OFFSET($BH$3,0,0,'Données projet'!$E$11+1,1))-AVERAGE(OFFSET($H$3,0,0,'Données projet'!$E$11+1,1))</f>
        <v>209.40885738157152</v>
      </c>
      <c r="BJ49" s="59">
        <f t="shared" si="38"/>
        <v>230.15385333954697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6.5731215546805721</v>
      </c>
      <c r="BR49" s="21">
        <f>EXP(-LN(2)/2)*BR48+(1-EXP(-LN(2)/2))/(LN(2)/2)*BL49*BO49*VLOOKUP('Données projet'!$B$11,Paramètres!$A$1:$I$89,3,0)*0.475*44/12</f>
        <v>4.4579715408527587</v>
      </c>
      <c r="BS49" s="22">
        <f t="shared" si="9"/>
        <v>11.031093095533331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9.3452380952380913</v>
      </c>
      <c r="BY49" s="12">
        <f>IF('Données projet'!$A$114&gt;35,BY48+BX49-CG48,IF(A49&lt;'Données projet'!$A$114,$BV$205^A49,IF(A49='Données projet'!$A$114,'Données projet'!$B$114,BY48+BX49-CG48)))</f>
        <v>165.662087912088</v>
      </c>
      <c r="BZ49" s="13">
        <f>BY49*VLOOKUP('Données projet'!$B$12,Paramètres!$A$1:$I$89,3,0)*VLOOKUP('Données projet'!$B$12,Paramètres!$A$1:$I$89,5,0)</f>
        <v>149.89105714285722</v>
      </c>
      <c r="CA49" s="13">
        <f t="shared" si="39"/>
        <v>38.553826918856579</v>
      </c>
      <c r="CB49" s="20">
        <f t="shared" si="10"/>
        <v>328.20817307415149</v>
      </c>
      <c r="CC49" s="59">
        <f t="shared" si="11"/>
        <v>621.5415064074848</v>
      </c>
      <c r="CD49" s="59">
        <f ca="1">AVERAGE(OFFSET($CC$3,0,0,'Données projet'!$E$12+1,1))-AVERAGE(OFFSET($H$3,0,0,'Données projet'!$E$12+1,1))</f>
        <v>270.87836509222456</v>
      </c>
      <c r="CE49" s="59">
        <f t="shared" si="40"/>
        <v>205.24998237949734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0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6</v>
      </c>
      <c r="CT49" s="12">
        <f>IF('Données projet'!$A$140&gt;35,CT48+CS49-DB48,IF(A49&lt;'Données projet'!$A$140,$CQ$205^A49,IF(A49='Données projet'!$A$140,'Données projet'!$B$140,CT48+CS49-DB48)))</f>
        <v>149.00000000000003</v>
      </c>
      <c r="CU49" s="17">
        <f>CT49*VLOOKUP('Données projet'!$B$13,Paramètres!$A$1:$I$89,3,0)*VLOOKUP('Données projet'!$B$13,Paramètres!$A$1:$I$89,5,0)</f>
        <v>130.16640000000004</v>
      </c>
      <c r="CV49" s="13">
        <f t="shared" si="41"/>
        <v>34.034806623706302</v>
      </c>
      <c r="CW49" s="20">
        <f t="shared" si="13"/>
        <v>285.98376820295522</v>
      </c>
      <c r="CX49" s="59">
        <f t="shared" si="14"/>
        <v>579.31710153628853</v>
      </c>
      <c r="CY49" s="59">
        <f ca="1">AVERAGE(OFFSET($CX$3,0,0,'Données projet'!$E$13+1,1))-AVERAGE(OFFSET($H$3,0,0,'Données projet'!$E$13+1,1))</f>
        <v>207.4513063267579</v>
      </c>
      <c r="CZ49" s="59">
        <f t="shared" si="42"/>
        <v>191.63513530247218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7.3244729378679425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7.3244729378679425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66.814714696519275</v>
      </c>
      <c r="T50" s="59">
        <f t="shared" si="34"/>
        <v>199.56746335788068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27.717088091533746</v>
      </c>
      <c r="AA50" s="21">
        <f>EXP(-LN(2)/25)*AA49+(1-EXP(-LN(2)/25))/(LN(2)/25)*Calculateur!V50*Calculateur!X50*VLOOKUP('Données projet'!$B$9,Paramètres!$A$1:$I$89,3,0)*0.475*44/12</f>
        <v>4.7768126383097895</v>
      </c>
      <c r="AB50" s="21">
        <f>EXP(-LN(2)/2)*AB49+(1-EXP(-LN(2)/2))/(LN(2)/2)*V50*Y50*VLOOKUP('Données projet'!$B$9,Paramètres!$A$1:$I$89,3,0)*0.475*44/12</f>
        <v>1.2448440607563487E-3</v>
      </c>
      <c r="AC50" s="22">
        <f t="shared" si="3"/>
        <v>32.495145573904296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9.8000000000000007</v>
      </c>
      <c r="AI50" s="13">
        <f>IF('Données projet'!$A$62&gt;35,AI49+AH50-AQ49,IF(A50&lt;'Données projet'!$A$62,$AF$205^A50,IF(A50='Données projet'!$A$62,'Données projet'!$B$62,AI49+AH50-AQ49)))</f>
        <v>273.59999999999991</v>
      </c>
      <c r="AJ50" s="13">
        <f>AI50*VLOOKUP('Données projet'!$B$10,Paramètres!$A$1:$I$89,3,0)*VLOOKUP('Données projet'!$B$10,Paramètres!$A$1:$I$89,5,0)</f>
        <v>217.67615999999992</v>
      </c>
      <c r="AK50" s="13">
        <f t="shared" si="35"/>
        <v>53.609498850196708</v>
      </c>
      <c r="AL50" s="20">
        <f t="shared" si="4"/>
        <v>472.48918916409235</v>
      </c>
      <c r="AM50" s="59">
        <f t="shared" si="5"/>
        <v>765.82252249742567</v>
      </c>
      <c r="AN50" s="59">
        <f ca="1">AVERAGE(OFFSET($AM$3,0,0,'Données projet'!$E$10+1,1))-AVERAGE(OFFSET($H$3,0,0,'Données projet'!$E$10+1,1))</f>
        <v>325.72928944930294</v>
      </c>
      <c r="AO50" s="59">
        <f t="shared" si="36"/>
        <v>318.38876834819752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44.980733278080116</v>
      </c>
      <c r="AV50" s="21">
        <f>EXP(-LN(2)/25)*AV49+(1-EXP(-LN(2)/25))/(LN(2)/25)*Calculateur!AQ50*Calculateur!AS50*VLOOKUP('Données projet'!$B$10,Paramètres!$A$1:$I$89,3,0)*0.475*44/12</f>
        <v>14.079459798651497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59.060193076731615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7.4</v>
      </c>
      <c r="BD50" s="12">
        <f>IF('Données projet'!$A$88&gt;35,BD49+BC50-BL49,IF(A50&lt;'Données projet'!$A$88,$BA$205^A50,IF(A50='Données projet'!$A$88,'Données projet'!$B$88,BD49+BC50-BL49)))</f>
        <v>223.79999999999998</v>
      </c>
      <c r="BE50" s="13">
        <f>BD50*VLOOKUP('Données projet'!$B$11,Paramètres!$A$1:$I$89,3,0)*VLOOKUP('Données projet'!$B$11,Paramètres!$A$1:$I$89,5,0)</f>
        <v>146.63376</v>
      </c>
      <c r="BF50" s="13">
        <f t="shared" si="37"/>
        <v>37.812587902416553</v>
      </c>
      <c r="BG50" s="20">
        <f t="shared" si="7"/>
        <v>321.24405593004218</v>
      </c>
      <c r="BH50" s="59">
        <f t="shared" si="8"/>
        <v>614.57738926337549</v>
      </c>
      <c r="BI50" s="59">
        <f ca="1">AVERAGE(OFFSET($BH$3,0,0,'Données projet'!$E$11+1,1))-AVERAGE(OFFSET($H$3,0,0,'Données projet'!$E$11+1,1))</f>
        <v>209.40885738157152</v>
      </c>
      <c r="BJ50" s="59">
        <f t="shared" si="38"/>
        <v>230.15385333954697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6.3933792001023928</v>
      </c>
      <c r="BR50" s="21">
        <f>EXP(-LN(2)/2)*BR49+(1-EXP(-LN(2)/2))/(LN(2)/2)*BL50*BO50*VLOOKUP('Données projet'!$B$11,Paramètres!$A$1:$I$89,3,0)*0.475*44/12</f>
        <v>3.152261906873628</v>
      </c>
      <c r="BS50" s="22">
        <f t="shared" si="9"/>
        <v>9.5456411069760208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9.3452380952380913</v>
      </c>
      <c r="BY50" s="12">
        <f>IF('Données projet'!$A$114&gt;35,BY49+BX50-CG49,IF(A50&lt;'Données projet'!$A$114,$BV$205^A50,IF(A50='Données projet'!$A$114,'Données projet'!$B$114,BY49+BX50-CG49)))</f>
        <v>175.0073260073261</v>
      </c>
      <c r="BZ50" s="13">
        <f>BY50*VLOOKUP('Données projet'!$B$12,Paramètres!$A$1:$I$89,3,0)*VLOOKUP('Données projet'!$B$12,Paramètres!$A$1:$I$89,5,0)</f>
        <v>158.34662857142865</v>
      </c>
      <c r="CA50" s="13">
        <f t="shared" si="39"/>
        <v>40.469367717876509</v>
      </c>
      <c r="CB50" s="20">
        <f t="shared" si="10"/>
        <v>346.2711935372065</v>
      </c>
      <c r="CC50" s="59">
        <f t="shared" si="11"/>
        <v>639.60452687053976</v>
      </c>
      <c r="CD50" s="59">
        <f ca="1">AVERAGE(OFFSET($CC$3,0,0,'Données projet'!$E$12+1,1))-AVERAGE(OFFSET($H$3,0,0,'Données projet'!$E$12+1,1))</f>
        <v>270.87836509222456</v>
      </c>
      <c r="CE50" s="59">
        <f t="shared" si="40"/>
        <v>205.24998237949734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0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6</v>
      </c>
      <c r="CT50" s="12">
        <f>IF('Données projet'!$A$140&gt;35,CT49+CS50-DB49,IF(A50&lt;'Données projet'!$A$140,$CQ$205^A50,IF(A50='Données projet'!$A$140,'Données projet'!$B$140,CT49+CS50-DB49)))</f>
        <v>155.00000000000003</v>
      </c>
      <c r="CU50" s="17">
        <f>CT50*VLOOKUP('Données projet'!$B$13,Paramètres!$A$1:$I$89,3,0)*VLOOKUP('Données projet'!$B$13,Paramètres!$A$1:$I$89,5,0)</f>
        <v>135.40800000000004</v>
      </c>
      <c r="CV50" s="13">
        <f t="shared" si="41"/>
        <v>35.243009677478732</v>
      </c>
      <c r="CW50" s="20">
        <f t="shared" si="13"/>
        <v>297.21717518827558</v>
      </c>
      <c r="CX50" s="59">
        <f t="shared" si="14"/>
        <v>590.55050852160889</v>
      </c>
      <c r="CY50" s="59">
        <f ca="1">AVERAGE(OFFSET($CX$3,0,0,'Données projet'!$E$13+1,1))-AVERAGE(OFFSET($H$3,0,0,'Données projet'!$E$13+1,1))</f>
        <v>207.4513063267579</v>
      </c>
      <c r="CZ50" s="59">
        <f t="shared" si="42"/>
        <v>191.63513530247218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7.1241848402046521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7.1241848402046521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66.814714696519275</v>
      </c>
      <c r="T51" s="59">
        <f t="shared" si="34"/>
        <v>199.56746335788068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27.173572899813202</v>
      </c>
      <c r="AA51" s="21">
        <f>EXP(-LN(2)/25)*AA50+(1-EXP(-LN(2)/25))/(LN(2)/25)*Calculateur!V51*Calculateur!X51*VLOOKUP('Données projet'!$B$9,Paramètres!$A$1:$I$89,3,0)*0.475*44/12</f>
        <v>4.6461904455135494</v>
      </c>
      <c r="AB51" s="21">
        <f>EXP(-LN(2)/2)*AB50+(1-EXP(-LN(2)/2))/(LN(2)/2)*V51*Y51*VLOOKUP('Données projet'!$B$9,Paramètres!$A$1:$I$89,3,0)*0.475*44/12</f>
        <v>8.8023767688061273E-4</v>
      </c>
      <c r="AC51" s="22">
        <f t="shared" si="3"/>
        <v>31.820643583003633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9.8000000000000007</v>
      </c>
      <c r="AI51" s="13">
        <f>IF('Données projet'!$A$62&gt;35,AI50+AH51-AQ50,IF(A51&lt;'Données projet'!$A$62,$AF$205^A51,IF(A51='Données projet'!$A$62,'Données projet'!$B$62,AI50+AH51-AQ50)))</f>
        <v>283.39999999999992</v>
      </c>
      <c r="AJ51" s="13">
        <f>AI51*VLOOKUP('Données projet'!$B$10,Paramètres!$A$1:$I$89,3,0)*VLOOKUP('Données projet'!$B$10,Paramètres!$A$1:$I$89,5,0)</f>
        <v>225.47303999999994</v>
      </c>
      <c r="AK51" s="13">
        <f t="shared" si="35"/>
        <v>55.302717367103824</v>
      </c>
      <c r="AL51" s="20">
        <f t="shared" si="4"/>
        <v>489.0177774143724</v>
      </c>
      <c r="AM51" s="59">
        <f t="shared" si="5"/>
        <v>782.35111074770566</v>
      </c>
      <c r="AN51" s="59">
        <f ca="1">AVERAGE(OFFSET($AM$3,0,0,'Données projet'!$E$10+1,1))-AVERAGE(OFFSET($H$3,0,0,'Données projet'!$E$10+1,1))</f>
        <v>325.72928944930294</v>
      </c>
      <c r="AO51" s="59">
        <f t="shared" si="36"/>
        <v>318.38876834819752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44.098688534035233</v>
      </c>
      <c r="AV51" s="21">
        <f>EXP(-LN(2)/25)*AV50+(1-EXP(-LN(2)/25))/(LN(2)/25)*Calculateur!AQ51*Calculateur!AS51*VLOOKUP('Données projet'!$B$10,Paramètres!$A$1:$I$89,3,0)*0.475*44/12</f>
        <v>13.69445623005076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57.793144764085994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7.4</v>
      </c>
      <c r="BD51" s="12">
        <f>IF('Données projet'!$A$88&gt;35,BD50+BC51-BL50,IF(A51&lt;'Données projet'!$A$88,$BA$205^A51,IF(A51='Données projet'!$A$88,'Données projet'!$B$88,BD50+BC51-BL50)))</f>
        <v>231.2</v>
      </c>
      <c r="BE51" s="13">
        <f>BD51*VLOOKUP('Données projet'!$B$11,Paramètres!$A$1:$I$89,3,0)*VLOOKUP('Données projet'!$B$11,Paramètres!$A$1:$I$89,5,0)</f>
        <v>151.48223999999999</v>
      </c>
      <c r="BF51" s="13">
        <f t="shared" si="37"/>
        <v>38.915236966075291</v>
      </c>
      <c r="BG51" s="20">
        <f t="shared" si="7"/>
        <v>331.60893904924779</v>
      </c>
      <c r="BH51" s="59">
        <f t="shared" si="8"/>
        <v>624.94227238258111</v>
      </c>
      <c r="BI51" s="59">
        <f ca="1">AVERAGE(OFFSET($BH$3,0,0,'Données projet'!$E$11+1,1))-AVERAGE(OFFSET($H$3,0,0,'Données projet'!$E$11+1,1))</f>
        <v>209.40885738157152</v>
      </c>
      <c r="BJ51" s="59">
        <f t="shared" si="38"/>
        <v>230.15385333954697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6.2185519096623931</v>
      </c>
      <c r="BR51" s="21">
        <f>EXP(-LN(2)/2)*BR50+(1-EXP(-LN(2)/2))/(LN(2)/2)*BL51*BO51*VLOOKUP('Données projet'!$B$11,Paramètres!$A$1:$I$89,3,0)*0.475*44/12</f>
        <v>2.2289857704263798</v>
      </c>
      <c r="BS51" s="22">
        <f t="shared" si="9"/>
        <v>8.4475376800887734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>
        <f>VLOOKUP(A51,'Données projet'!$A$113:$I$133,2,0)</f>
        <v>184.35256410256409</v>
      </c>
      <c r="BW51" s="12">
        <f>VLOOKUP(A51,'Données projet'!$A$113:$I$133,9,0)</f>
        <v>9.3452380952380913</v>
      </c>
      <c r="BX51" s="12">
        <f t="array" ref="BX51">INDEX(BW:BW,MIN(IF(ISNUMBER(BW51:BW247),ROW(BW51:BW247),"")))</f>
        <v>9.3452380952380913</v>
      </c>
      <c r="BY51" s="12">
        <f>IF('Données projet'!$A$114&gt;35,BY50+BX51-CG50,IF(A51&lt;'Données projet'!$A$114,$BV$205^A51,IF(A51='Données projet'!$A$114,'Données projet'!$B$114,BY50+BX51-CG50)))</f>
        <v>184.3525641025642</v>
      </c>
      <c r="BZ51" s="13">
        <f>BY51*VLOOKUP('Données projet'!$B$12,Paramètres!$A$1:$I$89,3,0)*VLOOKUP('Données projet'!$B$12,Paramètres!$A$1:$I$89,5,0)</f>
        <v>166.80220000000008</v>
      </c>
      <c r="CA51" s="13">
        <f t="shared" si="39"/>
        <v>42.373033138688463</v>
      </c>
      <c r="CB51" s="20">
        <f t="shared" si="10"/>
        <v>364.31353104988256</v>
      </c>
      <c r="CC51" s="59">
        <f t="shared" si="11"/>
        <v>657.64686438321587</v>
      </c>
      <c r="CD51" s="59">
        <f ca="1">AVERAGE(OFFSET($CC$3,0,0,'Données projet'!$E$12+1,1))-AVERAGE(OFFSET($H$3,0,0,'Données projet'!$E$12+1,1))</f>
        <v>270.87836509222456</v>
      </c>
      <c r="CE51" s="59">
        <f t="shared" si="40"/>
        <v>205.24998237949734</v>
      </c>
      <c r="CF51" s="15">
        <f>IF(ISNA(VLOOKUP(A51,'Données projet'!$A$113:$I$133,3,0)),0,VLOOKUP(A51,'Données projet'!$A$113:$I$133,3,0))</f>
        <v>3</v>
      </c>
      <c r="CG51" s="15">
        <f>IF(ISNA(VLOOKUP(A51,'Données projet'!$A$113:$I$133,4,0)),0,VLOOKUP(A51,'Données projet'!$A$113:$I$133,4,0))</f>
        <v>48.025641025641022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0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6</v>
      </c>
      <c r="CT51" s="12">
        <f>IF('Données projet'!$A$140&gt;35,CT50+CS51-DB50,IF(A51&lt;'Données projet'!$A$140,$CQ$205^A51,IF(A51='Données projet'!$A$140,'Données projet'!$B$140,CT50+CS51-DB50)))</f>
        <v>161.00000000000003</v>
      </c>
      <c r="CU51" s="17">
        <f>CT51*VLOOKUP('Données projet'!$B$13,Paramètres!$A$1:$I$89,3,0)*VLOOKUP('Données projet'!$B$13,Paramètres!$A$1:$I$89,5,0)</f>
        <v>140.64960000000005</v>
      </c>
      <c r="CV51" s="13">
        <f t="shared" si="41"/>
        <v>36.445779615258637</v>
      </c>
      <c r="CW51" s="20">
        <f t="shared" si="13"/>
        <v>308.44111949657554</v>
      </c>
      <c r="CX51" s="59">
        <f t="shared" si="14"/>
        <v>601.7744528299088</v>
      </c>
      <c r="CY51" s="59">
        <f ca="1">AVERAGE(OFFSET($CX$3,0,0,'Données projet'!$E$13+1,1))-AVERAGE(OFFSET($H$3,0,0,'Données projet'!$E$13+1,1))</f>
        <v>207.4513063267579</v>
      </c>
      <c r="CZ51" s="59">
        <f t="shared" si="42"/>
        <v>191.63513530247218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6.9293736311046574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6.9293736311046574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66.814714696519275</v>
      </c>
      <c r="T52" s="59">
        <f t="shared" si="34"/>
        <v>199.56746335788068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26.640715709490763</v>
      </c>
      <c r="AA52" s="21">
        <f>EXP(-LN(2)/25)*AA51+(1-EXP(-LN(2)/25))/(LN(2)/25)*Calculateur!V52*Calculateur!X52*VLOOKUP('Données projet'!$B$9,Paramètres!$A$1:$I$89,3,0)*0.475*44/12</f>
        <v>4.5191401234484445</v>
      </c>
      <c r="AB52" s="21">
        <f>EXP(-LN(2)/2)*AB51+(1-EXP(-LN(2)/2))/(LN(2)/2)*V52*Y52*VLOOKUP('Données projet'!$B$9,Paramètres!$A$1:$I$89,3,0)*0.475*44/12</f>
        <v>6.2242203037817434E-4</v>
      </c>
      <c r="AC52" s="22">
        <f t="shared" si="3"/>
        <v>31.160478254969586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9.8000000000000007</v>
      </c>
      <c r="AI52" s="13">
        <f>IF('Données projet'!$A$62&gt;35,AI51+AH52-AQ51,IF(A52&lt;'Données projet'!$A$62,$AF$205^A52,IF(A52='Données projet'!$A$62,'Données projet'!$B$62,AI51+AH52-AQ51)))</f>
        <v>293.19999999999993</v>
      </c>
      <c r="AJ52" s="13">
        <f>AI52*VLOOKUP('Données projet'!$B$10,Paramètres!$A$1:$I$89,3,0)*VLOOKUP('Données projet'!$B$10,Paramètres!$A$1:$I$89,5,0)</f>
        <v>233.26991999999993</v>
      </c>
      <c r="AK52" s="13">
        <f t="shared" si="35"/>
        <v>56.989132736134763</v>
      </c>
      <c r="AL52" s="20">
        <f t="shared" si="4"/>
        <v>505.53451684876785</v>
      </c>
      <c r="AM52" s="59">
        <f t="shared" si="5"/>
        <v>798.86785018210117</v>
      </c>
      <c r="AN52" s="59">
        <f ca="1">AVERAGE(OFFSET($AM$3,0,0,'Données projet'!$E$10+1,1))-AVERAGE(OFFSET($H$3,0,0,'Données projet'!$E$10+1,1))</f>
        <v>325.72928944930294</v>
      </c>
      <c r="AO52" s="59">
        <f t="shared" si="36"/>
        <v>318.38876834819752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43.233940149426893</v>
      </c>
      <c r="AV52" s="21">
        <f>EXP(-LN(2)/25)*AV51+(1-EXP(-LN(2)/25))/(LN(2)/25)*Calculateur!AQ52*Calculateur!AS52*VLOOKUP('Données projet'!$B$10,Paramètres!$A$1:$I$89,3,0)*0.475*44/12</f>
        <v>13.319980604279868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56.553920753706763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7.4</v>
      </c>
      <c r="BD52" s="12">
        <f>IF('Données projet'!$A$88&gt;35,BD51+BC52-BL51,IF(A52&lt;'Données projet'!$A$88,$BA$205^A52,IF(A52='Données projet'!$A$88,'Données projet'!$B$88,BD51+BC52-BL51)))</f>
        <v>238.6</v>
      </c>
      <c r="BE52" s="13">
        <f>BD52*VLOOKUP('Données projet'!$B$11,Paramètres!$A$1:$I$89,3,0)*VLOOKUP('Données projet'!$B$11,Paramètres!$A$1:$I$89,5,0)</f>
        <v>156.33071999999999</v>
      </c>
      <c r="BF52" s="13">
        <f t="shared" si="37"/>
        <v>40.013784897456162</v>
      </c>
      <c r="BG52" s="20">
        <f t="shared" si="7"/>
        <v>341.96667936306943</v>
      </c>
      <c r="BH52" s="59">
        <f t="shared" si="8"/>
        <v>635.30001269640275</v>
      </c>
      <c r="BI52" s="59">
        <f ca="1">AVERAGE(OFFSET($BH$3,0,0,'Données projet'!$E$11+1,1))-AVERAGE(OFFSET($H$3,0,0,'Données projet'!$E$11+1,1))</f>
        <v>209.40885738157152</v>
      </c>
      <c r="BJ52" s="59">
        <f t="shared" si="38"/>
        <v>230.15385333954697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6.0485052806732424</v>
      </c>
      <c r="BR52" s="21">
        <f>EXP(-LN(2)/2)*BR51+(1-EXP(-LN(2)/2))/(LN(2)/2)*BL52*BO52*VLOOKUP('Données projet'!$B$11,Paramètres!$A$1:$I$89,3,0)*0.475*44/12</f>
        <v>1.5761309534368142</v>
      </c>
      <c r="BS52" s="22">
        <f t="shared" si="9"/>
        <v>7.6246362341100564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8.8736263736263741</v>
      </c>
      <c r="BY52" s="12">
        <f>IF('Données projet'!$A$114&gt;35,BY51+BX52-CG51,IF(A52&lt;'Données projet'!$A$114,$BV$205^A52,IF(A52='Données projet'!$A$114,'Données projet'!$B$114,BY51+BX52-CG51)))</f>
        <v>145.20054945054954</v>
      </c>
      <c r="BZ52" s="13">
        <f>BY52*VLOOKUP('Données projet'!$B$12,Paramètres!$A$1:$I$89,3,0)*VLOOKUP('Données projet'!$B$12,Paramètres!$A$1:$I$89,5,0)</f>
        <v>131.37745714285722</v>
      </c>
      <c r="CA52" s="13">
        <f t="shared" si="39"/>
        <v>34.314453722516539</v>
      </c>
      <c r="CB52" s="20">
        <f t="shared" si="10"/>
        <v>288.58007809052594</v>
      </c>
      <c r="CC52" s="59">
        <f t="shared" si="11"/>
        <v>581.91341142385932</v>
      </c>
      <c r="CD52" s="59">
        <f ca="1">AVERAGE(OFFSET($CC$3,0,0,'Données projet'!$E$12+1,1))-AVERAGE(OFFSET($H$3,0,0,'Données projet'!$E$12+1,1))</f>
        <v>270.87836509222456</v>
      </c>
      <c r="CE52" s="59">
        <f t="shared" si="40"/>
        <v>205.24998237949734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0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6</v>
      </c>
      <c r="CT52" s="12">
        <f>IF('Données projet'!$A$140&gt;35,CT51+CS52-DB51,IF(A52&lt;'Données projet'!$A$140,$CQ$205^A52,IF(A52='Données projet'!$A$140,'Données projet'!$B$140,CT51+CS52-DB51)))</f>
        <v>167.00000000000003</v>
      </c>
      <c r="CU52" s="17">
        <f>CT52*VLOOKUP('Données projet'!$B$13,Paramètres!$A$1:$I$89,3,0)*VLOOKUP('Données projet'!$B$13,Paramètres!$A$1:$I$89,5,0)</f>
        <v>145.89120000000005</v>
      </c>
      <c r="CV52" s="13">
        <f t="shared" si="41"/>
        <v>37.643342098399685</v>
      </c>
      <c r="CW52" s="20">
        <f t="shared" si="13"/>
        <v>319.65599415471291</v>
      </c>
      <c r="CX52" s="59">
        <f t="shared" si="14"/>
        <v>612.98932748804623</v>
      </c>
      <c r="CY52" s="59">
        <f ca="1">AVERAGE(OFFSET($CX$3,0,0,'Données projet'!$E$13+1,1))-AVERAGE(OFFSET($H$3,0,0,'Données projet'!$E$13+1,1))</f>
        <v>207.4513063267579</v>
      </c>
      <c r="CZ52" s="59">
        <f t="shared" si="42"/>
        <v>191.63513530247218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6.7398895447621783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6.7398895447621783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66.814714696519275</v>
      </c>
      <c r="T53" s="59">
        <f t="shared" si="34"/>
        <v>199.56746335788068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26.118307523659755</v>
      </c>
      <c r="AA53" s="21">
        <f>EXP(-LN(2)/25)*AA52+(1-EXP(-LN(2)/25))/(LN(2)/25)*Calculateur!V53*Calculateur!X53*VLOOKUP('Données projet'!$B$9,Paramètres!$A$1:$I$89,3,0)*0.475*44/12</f>
        <v>4.3955639991214968</v>
      </c>
      <c r="AB53" s="21">
        <f>EXP(-LN(2)/2)*AB52+(1-EXP(-LN(2)/2))/(LN(2)/2)*V53*Y53*VLOOKUP('Données projet'!$B$9,Paramètres!$A$1:$I$89,3,0)*0.475*44/12</f>
        <v>4.4011883844030636E-4</v>
      </c>
      <c r="AC53" s="22">
        <f t="shared" si="3"/>
        <v>30.514311641619692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303</v>
      </c>
      <c r="AG53" s="12">
        <f>VLOOKUP(A53,'Données projet'!$A$61:$I$81,9,0)</f>
        <v>9.8000000000000007</v>
      </c>
      <c r="AH53" s="12">
        <f t="array" ref="AH53">INDEX(AG:AG,MIN(IF(ISNUMBER(AG53:AG249),ROW(AG53:AG249),"")))</f>
        <v>9.8000000000000007</v>
      </c>
      <c r="AI53" s="13">
        <f>IF('Données projet'!$A$62&gt;35,AI52+AH53-AQ52,IF(A53&lt;'Données projet'!$A$62,$AF$205^A53,IF(A53='Données projet'!$A$62,'Données projet'!$B$62,AI52+AH53-AQ52)))</f>
        <v>302.99999999999994</v>
      </c>
      <c r="AJ53" s="13">
        <f>AI53*VLOOKUP('Données projet'!$B$10,Paramètres!$A$1:$I$89,3,0)*VLOOKUP('Données projet'!$B$10,Paramètres!$A$1:$I$89,5,0)</f>
        <v>241.06679999999997</v>
      </c>
      <c r="AK53" s="13">
        <f t="shared" si="35"/>
        <v>58.668998418543559</v>
      </c>
      <c r="AL53" s="20">
        <f t="shared" si="4"/>
        <v>522.03984891229663</v>
      </c>
      <c r="AM53" s="59">
        <f t="shared" si="5"/>
        <v>815.37318224563001</v>
      </c>
      <c r="AN53" s="59">
        <f ca="1">AVERAGE(OFFSET($AM$3,0,0,'Données projet'!$E$10+1,1))-AVERAGE(OFFSET($H$3,0,0,'Données projet'!$E$10+1,1))</f>
        <v>325.72928944930294</v>
      </c>
      <c r="AO53" s="59">
        <f t="shared" si="36"/>
        <v>318.38876834819752</v>
      </c>
      <c r="AP53" s="15">
        <f>IF(ISNA(VLOOKUP(A53,'Données projet'!$A$61:$I$81,3,0)),0,VLOOKUP(A53,'Données projet'!$A$61:$I$81,3,0))</f>
        <v>9</v>
      </c>
      <c r="AQ53" s="15">
        <f>IF(ISNA(VLOOKUP(A53,'Données projet'!$A$61:$I$81,4,0)),0,VLOOKUP(A53,'Données projet'!$A$61:$I$81,4,0))</f>
        <v>21</v>
      </c>
      <c r="AR53" s="16">
        <f>IF(ISNA(VLOOKUP(A53,'Données projet'!$A$61:$I$81,5,0)),0%,VLOOKUP(A53,'Données projet'!$A$61:$I$81,5,0)*VLOOKUP('Données projet'!$B$10,Paramètres!$A$1:$I$89,7,0))</f>
        <v>0.50349999999999995</v>
      </c>
      <c r="AS53" s="16">
        <f>IF(ISNA(VLOOKUP(A53,'Données projet'!$A$61:$I$81,6,0)),0%,VLOOKUP(A53,'Données projet'!$A$61:$I$81,6,0)*VLOOKUP('Données projet'!$B$10,Paramètres!$A$1:$I$89,7,0))</f>
        <v>2.6500000000000003E-2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51.685671558934445</v>
      </c>
      <c r="AV53" s="21">
        <f>EXP(-LN(2)/25)*AV52+(1-EXP(-LN(2)/25))/(LN(2)/25)*Calculateur!AQ53*Calculateur!AS53*VLOOKUP('Données projet'!$B$10,Paramètres!$A$1:$I$89,3,0)*0.475*44/12</f>
        <v>13.4432664469171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65.128938005851552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246</v>
      </c>
      <c r="BB53" s="12">
        <f>VLOOKUP(A53,'Données projet'!$A$87:$I$107,9,0)</f>
        <v>7.4</v>
      </c>
      <c r="BC53" s="12">
        <f t="array" ref="BC53">INDEX(BB:BB,MIN(IF(ISNUMBER(BB53:BB249),ROW(BB53:BB249),"")))</f>
        <v>7.4</v>
      </c>
      <c r="BD53" s="12">
        <f>IF('Données projet'!$A$88&gt;35,BD52+BC53-BL52,IF(A53&lt;'Données projet'!$A$88,$BA$205^A53,IF(A53='Données projet'!$A$88,'Données projet'!$B$88,BD52+BC53-BL52)))</f>
        <v>246</v>
      </c>
      <c r="BE53" s="13">
        <f>BD53*VLOOKUP('Données projet'!$B$11,Paramètres!$A$1:$I$89,3,0)*VLOOKUP('Données projet'!$B$11,Paramètres!$A$1:$I$89,5,0)</f>
        <v>161.17920000000001</v>
      </c>
      <c r="BF53" s="13">
        <f t="shared" si="37"/>
        <v>41.108373485541968</v>
      </c>
      <c r="BG53" s="20">
        <f t="shared" si="7"/>
        <v>352.31752382065224</v>
      </c>
      <c r="BH53" s="59">
        <f t="shared" si="8"/>
        <v>645.6508571539855</v>
      </c>
      <c r="BI53" s="59">
        <f ca="1">AVERAGE(OFFSET($BH$3,0,0,'Données projet'!$E$11+1,1))-AVERAGE(OFFSET($H$3,0,0,'Données projet'!$E$11+1,1))</f>
        <v>209.40885738157152</v>
      </c>
      <c r="BJ53" s="59">
        <f t="shared" si="38"/>
        <v>230.15385333954697</v>
      </c>
      <c r="BK53" s="15">
        <f>IF(ISNA(VLOOKUP(A53,'Données projet'!$A$87:$I$107,3,0)),0,VLOOKUP(A53,'Données projet'!$A$87:$I$107,3,0))</f>
        <v>9</v>
      </c>
      <c r="BL53" s="15" t="str">
        <f>IF(ISNA(VLOOKUP(A53,'Données projet'!$A$87:$I$107,4,0)),0,VLOOKUP(A53,'Données projet'!$A$87:$I$107,4,0))</f>
        <v>27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0.129</v>
      </c>
      <c r="BO53" s="16">
        <f>IF(ISNA(VLOOKUP(A53,'Données projet'!$A$87:$I$107,7,0)),0%,VLOOKUP(A53,'Données projet'!$A$87:$I$107,7,0))</f>
        <v>0.3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8.3959270548544662</v>
      </c>
      <c r="BR53" s="21">
        <f>EXP(-LN(2)/2)*BR52+(1-EXP(-LN(2)/2))/(LN(2)/2)*BL53*BO53*VLOOKUP('Données projet'!$B$11,Paramètres!$A$1:$I$89,3,0)*0.475*44/12</f>
        <v>6.1219034442537383</v>
      </c>
      <c r="BS53" s="22">
        <f t="shared" si="9"/>
        <v>14.517830499108204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8.8736263736263741</v>
      </c>
      <c r="BY53" s="12">
        <f>IF('Données projet'!$A$114&gt;35,BY52+BX53-CG52,IF(A53&lt;'Données projet'!$A$114,$BV$205^A53,IF(A53='Données projet'!$A$114,'Données projet'!$B$114,BY52+BX53-CG52)))</f>
        <v>154.07417582417591</v>
      </c>
      <c r="BZ53" s="13">
        <f>BY53*VLOOKUP('Données projet'!$B$12,Paramètres!$A$1:$I$89,3,0)*VLOOKUP('Données projet'!$B$12,Paramètres!$A$1:$I$89,5,0)</f>
        <v>139.40631428571436</v>
      </c>
      <c r="CA53" s="13">
        <f t="shared" si="39"/>
        <v>36.160966815041384</v>
      </c>
      <c r="CB53" s="20">
        <f t="shared" si="10"/>
        <v>305.77968125048289</v>
      </c>
      <c r="CC53" s="59">
        <f t="shared" si="11"/>
        <v>599.11301458381627</v>
      </c>
      <c r="CD53" s="59">
        <f ca="1">AVERAGE(OFFSET($CC$3,0,0,'Données projet'!$E$12+1,1))-AVERAGE(OFFSET($H$3,0,0,'Données projet'!$E$12+1,1))</f>
        <v>270.87836509222456</v>
      </c>
      <c r="CE53" s="59">
        <f t="shared" si="40"/>
        <v>205.24998237949734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0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173</v>
      </c>
      <c r="CR53" s="12">
        <f>VLOOKUP(A53,'Données projet'!$A$139:$I$159,9,0)</f>
        <v>6</v>
      </c>
      <c r="CS53" s="12">
        <f t="array" ref="CS53">INDEX(CR:CR,MIN(IF(ISNUMBER(CR53:CR249),ROW(CR53:CR249),"")))</f>
        <v>6</v>
      </c>
      <c r="CT53" s="12">
        <f>IF('Données projet'!$A$140&gt;35,CT52+CS53-DB52,IF(A53&lt;'Données projet'!$A$140,$CQ$205^A53,IF(A53='Données projet'!$A$140,'Données projet'!$B$140,CT52+CS53-DB52)))</f>
        <v>173.00000000000003</v>
      </c>
      <c r="CU53" s="17">
        <f>CT53*VLOOKUP('Données projet'!$B$13,Paramètres!$A$1:$I$89,3,0)*VLOOKUP('Données projet'!$B$13,Paramètres!$A$1:$I$89,5,0)</f>
        <v>151.13280000000003</v>
      </c>
      <c r="CV53" s="13">
        <f t="shared" si="41"/>
        <v>38.835905653934425</v>
      </c>
      <c r="CW53" s="20">
        <f t="shared" si="13"/>
        <v>330.86216234726913</v>
      </c>
      <c r="CX53" s="59">
        <f t="shared" si="14"/>
        <v>624.19549568060245</v>
      </c>
      <c r="CY53" s="59">
        <f ca="1">AVERAGE(OFFSET($CX$3,0,0,'Données projet'!$E$13+1,1))-AVERAGE(OFFSET($H$3,0,0,'Données projet'!$E$13+1,1))</f>
        <v>207.4513063267579</v>
      </c>
      <c r="CZ53" s="59">
        <f t="shared" si="42"/>
        <v>191.63513530247218</v>
      </c>
      <c r="DA53" s="15">
        <f>IF(ISNA(VLOOKUP(A53,'Données projet'!$A$139:$I$159,3,0)),0,VLOOKUP(A53,'Données projet'!$A$139:$I$159,3,0))</f>
        <v>7</v>
      </c>
      <c r="DB53" s="15" t="str">
        <f>IF(ISNA(VLOOKUP(A53,'Données projet'!$A$139:$I$159,4,0)),0,VLOOKUP(A53,'Données projet'!$A$139:$I$159,4,0))</f>
        <v>18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0.215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10.278280939107942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10.278280939107942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66.814714696519275</v>
      </c>
      <c r="T54" s="59">
        <f t="shared" si="34"/>
        <v>199.56746335788068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25.606143443715361</v>
      </c>
      <c r="AA54" s="21">
        <f>EXP(-LN(2)/25)*AA53+(1-EXP(-LN(2)/25))/(LN(2)/25)*Calculateur!V54*Calculateur!X54*VLOOKUP('Données projet'!$B$9,Paramètres!$A$1:$I$89,3,0)*0.475*44/12</f>
        <v>4.2753670704128552</v>
      </c>
      <c r="AB54" s="21">
        <f>EXP(-LN(2)/2)*AB53+(1-EXP(-LN(2)/2))/(LN(2)/2)*V54*Y54*VLOOKUP('Données projet'!$B$9,Paramètres!$A$1:$I$89,3,0)*0.475*44/12</f>
        <v>3.1121101518908717E-4</v>
      </c>
      <c r="AC54" s="22">
        <f t="shared" si="3"/>
        <v>29.881821725143404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8.4</v>
      </c>
      <c r="AI54" s="13">
        <f>IF('Données projet'!$A$62&gt;35,AI53+AH54-AQ53,IF(A54&lt;'Données projet'!$A$62,$AF$205^A54,IF(A54='Données projet'!$A$62,'Données projet'!$B$62,AI53+AH54-AQ53)))</f>
        <v>290.39999999999992</v>
      </c>
      <c r="AJ54" s="13">
        <f>AI54*VLOOKUP('Données projet'!$B$10,Paramètres!$A$1:$I$89,3,0)*VLOOKUP('Données projet'!$B$10,Paramètres!$A$1:$I$89,5,0)</f>
        <v>231.04223999999994</v>
      </c>
      <c r="AK54" s="13">
        <f t="shared" si="35"/>
        <v>56.507978852931409</v>
      </c>
      <c r="AL54" s="20">
        <f t="shared" si="4"/>
        <v>500.81663116885539</v>
      </c>
      <c r="AM54" s="59">
        <f t="shared" si="5"/>
        <v>794.14996450218871</v>
      </c>
      <c r="AN54" s="59">
        <f ca="1">AVERAGE(OFFSET($AM$3,0,0,'Données projet'!$E$10+1,1))-AVERAGE(OFFSET($H$3,0,0,'Données projet'!$E$10+1,1))</f>
        <v>325.72928944930294</v>
      </c>
      <c r="AO54" s="59">
        <f t="shared" si="36"/>
        <v>318.38876834819752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50.672147064810538</v>
      </c>
      <c r="AV54" s="21">
        <f>EXP(-LN(2)/25)*AV53+(1-EXP(-LN(2)/25))/(LN(2)/25)*Calculateur!AQ54*Calculateur!AS54*VLOOKUP('Données projet'!$B$10,Paramètres!$A$1:$I$89,3,0)*0.475*44/12</f>
        <v>13.075659618975495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63.747806683786031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6.8</v>
      </c>
      <c r="BD54" s="12">
        <f>IF('Données projet'!$A$88&gt;35,BD53+BC54-BL53,IF(A54&lt;'Données projet'!$A$88,$BA$205^A54,IF(A54='Données projet'!$A$88,'Données projet'!$B$88,BD53+BC54-BL53)))</f>
        <v>225.8</v>
      </c>
      <c r="BE54" s="13">
        <f>BD54*VLOOKUP('Données projet'!$B$11,Paramètres!$A$1:$I$89,3,0)*VLOOKUP('Données projet'!$B$11,Paramètres!$A$1:$I$89,5,0)</f>
        <v>147.94416000000001</v>
      </c>
      <c r="BF54" s="13">
        <f t="shared" si="37"/>
        <v>38.111014021992816</v>
      </c>
      <c r="BG54" s="20">
        <f t="shared" si="7"/>
        <v>324.0460947549708</v>
      </c>
      <c r="BH54" s="59">
        <f t="shared" si="8"/>
        <v>617.37942808830417</v>
      </c>
      <c r="BI54" s="59">
        <f ca="1">AVERAGE(OFFSET($BH$3,0,0,'Données projet'!$E$11+1,1))-AVERAGE(OFFSET($H$3,0,0,'Données projet'!$E$11+1,1))</f>
        <v>209.40885738157152</v>
      </c>
      <c r="BJ54" s="59">
        <f t="shared" si="38"/>
        <v>230.15385333954697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8.1663399880168566</v>
      </c>
      <c r="BR54" s="21">
        <f>EXP(-LN(2)/2)*BR53+(1-EXP(-LN(2)/2))/(LN(2)/2)*BL54*BO54*VLOOKUP('Données projet'!$B$11,Paramètres!$A$1:$I$89,3,0)*0.475*44/12</f>
        <v>4.3288394392010998</v>
      </c>
      <c r="BS54" s="22">
        <f t="shared" si="9"/>
        <v>12.495179427217955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8.8736263736263741</v>
      </c>
      <c r="BY54" s="12">
        <f>IF('Données projet'!$A$114&gt;35,BY53+BX54-CG53,IF(A54&lt;'Données projet'!$A$114,$BV$205^A54,IF(A54='Données projet'!$A$114,'Données projet'!$B$114,BY53+BX54-CG53)))</f>
        <v>162.94780219780228</v>
      </c>
      <c r="BZ54" s="13">
        <f>BY54*VLOOKUP('Données projet'!$B$12,Paramètres!$A$1:$I$89,3,0)*VLOOKUP('Données projet'!$B$12,Paramètres!$A$1:$I$89,5,0)</f>
        <v>147.43517142857149</v>
      </c>
      <c r="CA54" s="13">
        <f t="shared" si="39"/>
        <v>37.995135358244994</v>
      </c>
      <c r="CB54" s="20">
        <f t="shared" si="10"/>
        <v>322.95778432037201</v>
      </c>
      <c r="CC54" s="59">
        <f t="shared" si="11"/>
        <v>616.29111765370533</v>
      </c>
      <c r="CD54" s="59">
        <f ca="1">AVERAGE(OFFSET($CC$3,0,0,'Données projet'!$E$12+1,1))-AVERAGE(OFFSET($H$3,0,0,'Données projet'!$E$12+1,1))</f>
        <v>270.87836509222456</v>
      </c>
      <c r="CE54" s="59">
        <f t="shared" si="40"/>
        <v>205.24998237949734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0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5.2</v>
      </c>
      <c r="CT54" s="12">
        <f>IF('Données projet'!$A$140&gt;35,CT53+CS54-DB53,IF(A54&lt;'Données projet'!$A$140,$CQ$205^A54,IF(A54='Données projet'!$A$140,'Données projet'!$B$140,CT53+CS54-DB53)))</f>
        <v>160.20000000000002</v>
      </c>
      <c r="CU54" s="17">
        <f>CT54*VLOOKUP('Données projet'!$B$13,Paramètres!$A$1:$I$89,3,0)*VLOOKUP('Données projet'!$B$13,Paramètres!$A$1:$I$89,5,0)</f>
        <v>139.95072000000002</v>
      </c>
      <c r="CV54" s="13">
        <f t="shared" si="41"/>
        <v>36.285715907711918</v>
      </c>
      <c r="CW54" s="20">
        <f t="shared" si="13"/>
        <v>306.94512587259828</v>
      </c>
      <c r="CX54" s="59">
        <f t="shared" si="14"/>
        <v>600.27845920593154</v>
      </c>
      <c r="CY54" s="59">
        <f ca="1">AVERAGE(OFFSET($CX$3,0,0,'Données projet'!$E$13+1,1))-AVERAGE(OFFSET($H$3,0,0,'Données projet'!$E$13+1,1))</f>
        <v>207.4513063267579</v>
      </c>
      <c r="CZ54" s="59">
        <f t="shared" si="42"/>
        <v>191.63513530247218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9.9972208063167329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9.9972208063167329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66.814714696519275</v>
      </c>
      <c r="T55" s="59">
        <f t="shared" si="34"/>
        <v>199.56746335788068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25.104022588989434</v>
      </c>
      <c r="AA55" s="21">
        <f>EXP(-LN(2)/25)*AA54+(1-EXP(-LN(2)/25))/(LN(2)/25)*Calculateur!V55*Calculateur!X55*VLOOKUP('Données projet'!$B$9,Paramètres!$A$1:$I$89,3,0)*0.475*44/12</f>
        <v>4.1584569330406334</v>
      </c>
      <c r="AB55" s="21">
        <f>EXP(-LN(2)/2)*AB54+(1-EXP(-LN(2)/2))/(LN(2)/2)*V55*Y55*VLOOKUP('Données projet'!$B$9,Paramètres!$A$1:$I$89,3,0)*0.475*44/12</f>
        <v>2.2005941922015318E-4</v>
      </c>
      <c r="AC55" s="22">
        <f t="shared" si="3"/>
        <v>29.262699581449287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8.4</v>
      </c>
      <c r="AI55" s="13">
        <f>IF('Données projet'!$A$62&gt;35,AI54+AH55-AQ54,IF(A55&lt;'Données projet'!$A$62,$AF$205^A55,IF(A55='Données projet'!$A$62,'Données projet'!$B$62,AI54+AH55-AQ54)))</f>
        <v>298.7999999999999</v>
      </c>
      <c r="AJ55" s="13">
        <f>AI55*VLOOKUP('Données projet'!$B$10,Paramètres!$A$1:$I$89,3,0)*VLOOKUP('Données projet'!$B$10,Paramètres!$A$1:$I$89,5,0)</f>
        <v>237.72527999999994</v>
      </c>
      <c r="AK55" s="13">
        <f t="shared" si="35"/>
        <v>57.949842464086196</v>
      </c>
      <c r="AL55" s="20">
        <f t="shared" si="4"/>
        <v>514.96750495828326</v>
      </c>
      <c r="AM55" s="59">
        <f t="shared" si="5"/>
        <v>808.30083829161663</v>
      </c>
      <c r="AN55" s="59">
        <f ca="1">AVERAGE(OFFSET($AM$3,0,0,'Données projet'!$E$10+1,1))-AVERAGE(OFFSET($H$3,0,0,'Données projet'!$E$10+1,1))</f>
        <v>325.72928944930294</v>
      </c>
      <c r="AO55" s="59">
        <f t="shared" si="36"/>
        <v>318.38876834819752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49.678497167827501</v>
      </c>
      <c r="AV55" s="21">
        <f>EXP(-LN(2)/25)*AV54+(1-EXP(-LN(2)/25))/(LN(2)/25)*Calculateur!AQ55*Calculateur!AS55*VLOOKUP('Données projet'!$B$10,Paramètres!$A$1:$I$89,3,0)*0.475*44/12</f>
        <v>12.718105019075555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62.396602186903053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6.8</v>
      </c>
      <c r="BD55" s="12">
        <f>IF('Données projet'!$A$88&gt;35,BD54+BC55-BL54,IF(A55&lt;'Données projet'!$A$88,$BA$205^A55,IF(A55='Données projet'!$A$88,'Données projet'!$B$88,BD54+BC55-BL54)))</f>
        <v>232.60000000000002</v>
      </c>
      <c r="BE55" s="13">
        <f>BD55*VLOOKUP('Données projet'!$B$11,Paramètres!$A$1:$I$89,3,0)*VLOOKUP('Données projet'!$B$11,Paramètres!$A$1:$I$89,5,0)</f>
        <v>152.39952000000002</v>
      </c>
      <c r="BF55" s="13">
        <f t="shared" si="37"/>
        <v>39.123380466709264</v>
      </c>
      <c r="BG55" s="20">
        <f t="shared" si="7"/>
        <v>333.56905164618536</v>
      </c>
      <c r="BH55" s="59">
        <f t="shared" si="8"/>
        <v>626.90238497951873</v>
      </c>
      <c r="BI55" s="59">
        <f ca="1">AVERAGE(OFFSET($BH$3,0,0,'Données projet'!$E$11+1,1))-AVERAGE(OFFSET($H$3,0,0,'Données projet'!$E$11+1,1))</f>
        <v>209.40885738157152</v>
      </c>
      <c r="BJ55" s="59">
        <f t="shared" si="38"/>
        <v>230.15385333954697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7.9430309915953803</v>
      </c>
      <c r="BR55" s="21">
        <f>EXP(-LN(2)/2)*BR54+(1-EXP(-LN(2)/2))/(LN(2)/2)*BL55*BO55*VLOOKUP('Données projet'!$B$11,Paramètres!$A$1:$I$89,3,0)*0.475*44/12</f>
        <v>3.0609517221268696</v>
      </c>
      <c r="BS55" s="22">
        <f t="shared" si="9"/>
        <v>11.00398271372225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8.8736263736263741</v>
      </c>
      <c r="BY55" s="12">
        <f>IF('Données projet'!$A$114&gt;35,BY54+BX55-CG54,IF(A55&lt;'Données projet'!$A$114,$BV$205^A55,IF(A55='Données projet'!$A$114,'Données projet'!$B$114,BY54+BX55-CG54)))</f>
        <v>171.82142857142864</v>
      </c>
      <c r="BZ55" s="13">
        <f>BY55*VLOOKUP('Données projet'!$B$12,Paramètres!$A$1:$I$89,3,0)*VLOOKUP('Données projet'!$B$12,Paramètres!$A$1:$I$89,5,0)</f>
        <v>155.46402857142863</v>
      </c>
      <c r="CA55" s="13">
        <f t="shared" si="39"/>
        <v>39.817708233223598</v>
      </c>
      <c r="CB55" s="20">
        <f t="shared" si="10"/>
        <v>340.11569160143591</v>
      </c>
      <c r="CC55" s="59">
        <f t="shared" si="11"/>
        <v>633.44902493476923</v>
      </c>
      <c r="CD55" s="59">
        <f ca="1">AVERAGE(OFFSET($CC$3,0,0,'Données projet'!$E$12+1,1))-AVERAGE(OFFSET($H$3,0,0,'Données projet'!$E$12+1,1))</f>
        <v>270.87836509222456</v>
      </c>
      <c r="CE55" s="59">
        <f t="shared" si="40"/>
        <v>205.24998237949734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0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5.2</v>
      </c>
      <c r="CT55" s="12">
        <f>IF('Données projet'!$A$140&gt;35,CT54+CS55-DB54,IF(A55&lt;'Données projet'!$A$140,$CQ$205^A55,IF(A55='Données projet'!$A$140,'Données projet'!$B$140,CT54+CS55-DB54)))</f>
        <v>165.4</v>
      </c>
      <c r="CU55" s="17">
        <f>CT55*VLOOKUP('Données projet'!$B$13,Paramètres!$A$1:$I$89,3,0)*VLOOKUP('Données projet'!$B$13,Paramètres!$A$1:$I$89,5,0)</f>
        <v>144.49344000000002</v>
      </c>
      <c r="CV55" s="13">
        <f t="shared" si="41"/>
        <v>37.324489208332842</v>
      </c>
      <c r="CW55" s="20">
        <f t="shared" si="13"/>
        <v>316.66622670451306</v>
      </c>
      <c r="CX55" s="59">
        <f t="shared" si="14"/>
        <v>609.99956003784632</v>
      </c>
      <c r="CY55" s="59">
        <f ca="1">AVERAGE(OFFSET($CX$3,0,0,'Données projet'!$E$13+1,1))-AVERAGE(OFFSET($H$3,0,0,'Données projet'!$E$13+1,1))</f>
        <v>207.4513063267579</v>
      </c>
      <c r="CZ55" s="59">
        <f t="shared" si="42"/>
        <v>191.63513530247218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9.7238462776370085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9.7238462776370085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66.814714696519275</v>
      </c>
      <c r="T56" s="59">
        <f t="shared" si="34"/>
        <v>199.56746335788068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24.611748017961201</v>
      </c>
      <c r="AA56" s="21">
        <f>EXP(-LN(2)/25)*AA55+(1-EXP(-LN(2)/25))/(LN(2)/25)*Calculateur!V56*Calculateur!X56*VLOOKUP('Données projet'!$B$9,Paramètres!$A$1:$I$89,3,0)*0.475*44/12</f>
        <v>4.0447437095228915</v>
      </c>
      <c r="AB56" s="21">
        <f>EXP(-LN(2)/2)*AB55+(1-EXP(-LN(2)/2))/(LN(2)/2)*V56*Y56*VLOOKUP('Données projet'!$B$9,Paramètres!$A$1:$I$89,3,0)*0.475*44/12</f>
        <v>1.5560550759454358E-4</v>
      </c>
      <c r="AC56" s="22">
        <f t="shared" si="3"/>
        <v>28.656647332991685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8.4</v>
      </c>
      <c r="AI56" s="13">
        <f>IF('Données projet'!$A$62&gt;35,AI55+AH56-AQ55,IF(A56&lt;'Données projet'!$A$62,$AF$205^A56,IF(A56='Données projet'!$A$62,'Données projet'!$B$62,AI55+AH56-AQ55)))</f>
        <v>307.19999999999987</v>
      </c>
      <c r="AJ56" s="13">
        <f>AI56*VLOOKUP('Données projet'!$B$10,Paramètres!$A$1:$I$89,3,0)*VLOOKUP('Données projet'!$B$10,Paramètres!$A$1:$I$89,5,0)</f>
        <v>244.40831999999992</v>
      </c>
      <c r="AK56" s="13">
        <f t="shared" si="35"/>
        <v>59.38699493610541</v>
      </c>
      <c r="AL56" s="20">
        <f t="shared" si="4"/>
        <v>529.11017351371675</v>
      </c>
      <c r="AM56" s="59">
        <f t="shared" si="5"/>
        <v>822.44350684705</v>
      </c>
      <c r="AN56" s="59">
        <f ca="1">AVERAGE(OFFSET($AM$3,0,0,'Données projet'!$E$10+1,1))-AVERAGE(OFFSET($H$3,0,0,'Données projet'!$E$10+1,1))</f>
        <v>325.72928944930294</v>
      </c>
      <c r="AO56" s="59">
        <f t="shared" si="36"/>
        <v>318.38876834819752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48.704332139257708</v>
      </c>
      <c r="AV56" s="21">
        <f>EXP(-LN(2)/25)*AV55+(1-EXP(-LN(2)/25))/(LN(2)/25)*Calculateur!AQ56*Calculateur!AS56*VLOOKUP('Données projet'!$B$10,Paramètres!$A$1:$I$89,3,0)*0.475*44/12</f>
        <v>12.370327768512858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61.074659907770567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6.8</v>
      </c>
      <c r="BD56" s="12">
        <f>IF('Données projet'!$A$88&gt;35,BD55+BC56-BL55,IF(A56&lt;'Données projet'!$A$88,$BA$205^A56,IF(A56='Données projet'!$A$88,'Données projet'!$B$88,BD55+BC56-BL55)))</f>
        <v>239.40000000000003</v>
      </c>
      <c r="BE56" s="13">
        <f>BD56*VLOOKUP('Données projet'!$B$11,Paramètres!$A$1:$I$89,3,0)*VLOOKUP('Données projet'!$B$11,Paramètres!$A$1:$I$89,5,0)</f>
        <v>156.85488000000004</v>
      </c>
      <c r="BF56" s="13">
        <f t="shared" si="37"/>
        <v>40.132307243083858</v>
      </c>
      <c r="BG56" s="20">
        <f t="shared" si="7"/>
        <v>343.08601778170441</v>
      </c>
      <c r="BH56" s="59">
        <f t="shared" si="8"/>
        <v>636.41935111503767</v>
      </c>
      <c r="BI56" s="59">
        <f ca="1">AVERAGE(OFFSET($BH$3,0,0,'Données projet'!$E$11+1,1))-AVERAGE(OFFSET($H$3,0,0,'Données projet'!$E$11+1,1))</f>
        <v>209.40885738157152</v>
      </c>
      <c r="BJ56" s="59">
        <f t="shared" si="38"/>
        <v>230.15385333954697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7.7258283914243586</v>
      </c>
      <c r="BR56" s="21">
        <f>EXP(-LN(2)/2)*BR55+(1-EXP(-LN(2)/2))/(LN(2)/2)*BL56*BO56*VLOOKUP('Données projet'!$B$11,Paramètres!$A$1:$I$89,3,0)*0.475*44/12</f>
        <v>2.1644197196005504</v>
      </c>
      <c r="BS56" s="22">
        <f t="shared" si="9"/>
        <v>9.8902481110249099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8.8736263736263741</v>
      </c>
      <c r="BY56" s="12">
        <f>IF('Données projet'!$A$114&gt;35,BY55+BX56-CG55,IF(A56&lt;'Données projet'!$A$114,$BV$205^A56,IF(A56='Données projet'!$A$114,'Données projet'!$B$114,BY55+BX56-CG55)))</f>
        <v>180.69505494505501</v>
      </c>
      <c r="BZ56" s="13">
        <f>BY56*VLOOKUP('Données projet'!$B$12,Paramètres!$A$1:$I$89,3,0)*VLOOKUP('Données projet'!$B$12,Paramètres!$A$1:$I$89,5,0)</f>
        <v>163.49288571428576</v>
      </c>
      <c r="CA56" s="13">
        <f t="shared" si="39"/>
        <v>41.629352600963465</v>
      </c>
      <c r="CB56" s="20">
        <f t="shared" si="10"/>
        <v>357.25456506572573</v>
      </c>
      <c r="CC56" s="59">
        <f t="shared" si="11"/>
        <v>650.58789839905899</v>
      </c>
      <c r="CD56" s="59">
        <f ca="1">AVERAGE(OFFSET($CC$3,0,0,'Données projet'!$E$12+1,1))-AVERAGE(OFFSET($H$3,0,0,'Données projet'!$E$12+1,1))</f>
        <v>270.87836509222456</v>
      </c>
      <c r="CE56" s="59">
        <f t="shared" si="40"/>
        <v>205.24998237949734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0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5.2</v>
      </c>
      <c r="CT56" s="12">
        <f>IF('Données projet'!$A$140&gt;35,CT55+CS56-DB55,IF(A56&lt;'Données projet'!$A$140,$CQ$205^A56,IF(A56='Données projet'!$A$140,'Données projet'!$B$140,CT55+CS56-DB55)))</f>
        <v>170.6</v>
      </c>
      <c r="CU56" s="17">
        <f>CT56*VLOOKUP('Données projet'!$B$13,Paramètres!$A$1:$I$89,3,0)*VLOOKUP('Données projet'!$B$13,Paramètres!$A$1:$I$89,5,0)</f>
        <v>149.03616</v>
      </c>
      <c r="CV56" s="13">
        <f t="shared" si="41"/>
        <v>38.35946741279561</v>
      </c>
      <c r="CW56" s="20">
        <f t="shared" si="13"/>
        <v>326.38071774395229</v>
      </c>
      <c r="CX56" s="59">
        <f t="shared" si="14"/>
        <v>619.7140510772856</v>
      </c>
      <c r="CY56" s="59">
        <f ca="1">AVERAGE(OFFSET($CX$3,0,0,'Données projet'!$E$13+1,1))-AVERAGE(OFFSET($H$3,0,0,'Données projet'!$E$13+1,1))</f>
        <v>207.4513063267579</v>
      </c>
      <c r="CZ56" s="59">
        <f t="shared" si="42"/>
        <v>191.63513530247218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9.4579471898201728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9.4579471898201728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66.814714696519275</v>
      </c>
      <c r="T57" s="59">
        <f t="shared" si="34"/>
        <v>199.56746335788068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24.129126651012992</v>
      </c>
      <c r="AA57" s="21">
        <f>EXP(-LN(2)/25)*AA56+(1-EXP(-LN(2)/25))/(LN(2)/25)*Calculateur!V57*Calculateur!X57*VLOOKUP('Données projet'!$B$9,Paramètres!$A$1:$I$89,3,0)*0.475*44/12</f>
        <v>3.9341399800821608</v>
      </c>
      <c r="AB57" s="21">
        <f>EXP(-LN(2)/2)*AB56+(1-EXP(-LN(2)/2))/(LN(2)/2)*V57*Y57*VLOOKUP('Données projet'!$B$9,Paramètres!$A$1:$I$89,3,0)*0.475*44/12</f>
        <v>1.1002970961007659E-4</v>
      </c>
      <c r="AC57" s="22">
        <f t="shared" si="3"/>
        <v>28.063376660804764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8.4</v>
      </c>
      <c r="AI57" s="13">
        <f>IF('Données projet'!$A$62&gt;35,AI56+AH57-AQ56,IF(A57&lt;'Données projet'!$A$62,$AF$205^A57,IF(A57='Données projet'!$A$62,'Données projet'!$B$62,AI56+AH57-AQ56)))</f>
        <v>315.59999999999985</v>
      </c>
      <c r="AJ57" s="13">
        <f>AI57*VLOOKUP('Données projet'!$B$10,Paramètres!$A$1:$I$89,3,0)*VLOOKUP('Données projet'!$B$10,Paramètres!$A$1:$I$89,5,0)</f>
        <v>251.0913599999999</v>
      </c>
      <c r="AK57" s="13">
        <f t="shared" si="35"/>
        <v>60.81957989149403</v>
      </c>
      <c r="AL57" s="20">
        <f t="shared" si="4"/>
        <v>543.24488697768527</v>
      </c>
      <c r="AM57" s="59">
        <f t="shared" si="5"/>
        <v>836.57822031101864</v>
      </c>
      <c r="AN57" s="59">
        <f ca="1">AVERAGE(OFFSET($AM$3,0,0,'Données projet'!$E$10+1,1))-AVERAGE(OFFSET($H$3,0,0,'Données projet'!$E$10+1,1))</f>
        <v>325.72928944930294</v>
      </c>
      <c r="AO57" s="59">
        <f t="shared" si="36"/>
        <v>318.38876834819752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47.749269892716178</v>
      </c>
      <c r="AV57" s="21">
        <f>EXP(-LN(2)/25)*AV56+(1-EXP(-LN(2)/25))/(LN(2)/25)*Calculateur!AQ57*Calculateur!AS57*VLOOKUP('Données projet'!$B$10,Paramètres!$A$1:$I$89,3,0)*0.475*44/12</f>
        <v>12.032060505155609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59.781330397871784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6.8</v>
      </c>
      <c r="BD57" s="12">
        <f>IF('Données projet'!$A$88&gt;35,BD56+BC57-BL56,IF(A57&lt;'Données projet'!$A$88,$BA$205^A57,IF(A57='Données projet'!$A$88,'Données projet'!$B$88,BD56+BC57-BL56)))</f>
        <v>246.20000000000005</v>
      </c>
      <c r="BE57" s="13">
        <f>BD57*VLOOKUP('Données projet'!$B$11,Paramètres!$A$1:$I$89,3,0)*VLOOKUP('Données projet'!$B$11,Paramètres!$A$1:$I$89,5,0)</f>
        <v>161.31024000000002</v>
      </c>
      <c r="BF57" s="13">
        <f t="shared" si="37"/>
        <v>41.137903274661106</v>
      </c>
      <c r="BG57" s="20">
        <f t="shared" si="7"/>
        <v>352.59718287003483</v>
      </c>
      <c r="BH57" s="59">
        <f t="shared" si="8"/>
        <v>645.93051620336814</v>
      </c>
      <c r="BI57" s="59">
        <f ca="1">AVERAGE(OFFSET($BH$3,0,0,'Données projet'!$E$11+1,1))-AVERAGE(OFFSET($H$3,0,0,'Données projet'!$E$11+1,1))</f>
        <v>209.40885738157152</v>
      </c>
      <c r="BJ57" s="59">
        <f t="shared" si="38"/>
        <v>230.15385333954697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7.5145652077772018</v>
      </c>
      <c r="BR57" s="21">
        <f>EXP(-LN(2)/2)*BR56+(1-EXP(-LN(2)/2))/(LN(2)/2)*BL57*BO57*VLOOKUP('Données projet'!$B$11,Paramètres!$A$1:$I$89,3,0)*0.475*44/12</f>
        <v>1.530475861063435</v>
      </c>
      <c r="BS57" s="22">
        <f t="shared" si="9"/>
        <v>9.0450410688406375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8.8736263736263741</v>
      </c>
      <c r="BY57" s="12">
        <f>IF('Données projet'!$A$114&gt;35,BY56+BX57-CG56,IF(A57&lt;'Données projet'!$A$114,$BV$205^A57,IF(A57='Données projet'!$A$114,'Données projet'!$B$114,BY56+BX57-CG56)))</f>
        <v>189.56868131868137</v>
      </c>
      <c r="BZ57" s="13">
        <f>BY57*VLOOKUP('Données projet'!$B$12,Paramètres!$A$1:$I$89,3,0)*VLOOKUP('Données projet'!$B$12,Paramètres!$A$1:$I$89,5,0)</f>
        <v>171.5217428571429</v>
      </c>
      <c r="CA57" s="13">
        <f t="shared" si="39"/>
        <v>43.430666394282092</v>
      </c>
      <c r="CB57" s="20">
        <f t="shared" si="10"/>
        <v>374.37544611289854</v>
      </c>
      <c r="CC57" s="59">
        <f t="shared" si="11"/>
        <v>667.7087794462318</v>
      </c>
      <c r="CD57" s="59">
        <f ca="1">AVERAGE(OFFSET($CC$3,0,0,'Données projet'!$E$12+1,1))-AVERAGE(OFFSET($H$3,0,0,'Données projet'!$E$12+1,1))</f>
        <v>270.87836509222456</v>
      </c>
      <c r="CE57" s="59">
        <f t="shared" si="40"/>
        <v>205.24998237949734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0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5.2</v>
      </c>
      <c r="CT57" s="12">
        <f>IF('Données projet'!$A$140&gt;35,CT56+CS57-DB56,IF(A57&lt;'Données projet'!$A$140,$CQ$205^A57,IF(A57='Données projet'!$A$140,'Données projet'!$B$140,CT56+CS57-DB56)))</f>
        <v>175.79999999999998</v>
      </c>
      <c r="CU57" s="17">
        <f>CT57*VLOOKUP('Données projet'!$B$13,Paramètres!$A$1:$I$89,3,0)*VLOOKUP('Données projet'!$B$13,Paramètres!$A$1:$I$89,5,0)</f>
        <v>153.57888</v>
      </c>
      <c r="CV57" s="13">
        <f t="shared" si="41"/>
        <v>39.390779474606148</v>
      </c>
      <c r="CW57" s="20">
        <f t="shared" si="13"/>
        <v>336.08882358493901</v>
      </c>
      <c r="CX57" s="59">
        <f t="shared" si="14"/>
        <v>629.42215691827232</v>
      </c>
      <c r="CY57" s="59">
        <f ca="1">AVERAGE(OFFSET($CX$3,0,0,'Données projet'!$E$13+1,1))-AVERAGE(OFFSET($H$3,0,0,'Données projet'!$E$13+1,1))</f>
        <v>207.4513063267579</v>
      </c>
      <c r="CZ57" s="59">
        <f t="shared" si="42"/>
        <v>191.63513530247218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9.1993191265427132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9.1993191265427132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66.814714696519275</v>
      </c>
      <c r="T58" s="59">
        <f t="shared" si="34"/>
        <v>199.56746335788068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23.65596919470067</v>
      </c>
      <c r="AA58" s="21">
        <f>EXP(-LN(2)/25)*AA57+(1-EXP(-LN(2)/25))/(LN(2)/25)*Calculateur!V58*Calculateur!X58*VLOOKUP('Données projet'!$B$9,Paramètres!$A$1:$I$89,3,0)*0.475*44/12</f>
        <v>3.8265607154393844</v>
      </c>
      <c r="AB58" s="21">
        <f>EXP(-LN(2)/2)*AB57+(1-EXP(-LN(2)/2))/(LN(2)/2)*V58*Y58*VLOOKUP('Données projet'!$B$9,Paramètres!$A$1:$I$89,3,0)*0.475*44/12</f>
        <v>7.7802753797271792E-5</v>
      </c>
      <c r="AC58" s="22">
        <f t="shared" si="3"/>
        <v>27.482607712893852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324</v>
      </c>
      <c r="AG58" s="12">
        <f>VLOOKUP(A58,'Données projet'!$A$61:$I$81,9,0)</f>
        <v>8.4</v>
      </c>
      <c r="AH58" s="12">
        <f t="array" ref="AH58">INDEX(AG:AG,MIN(IF(ISNUMBER(AG58:AG254),ROW(AG58:AG254),"")))</f>
        <v>8.4</v>
      </c>
      <c r="AI58" s="13">
        <f>IF('Données projet'!$A$62&gt;35,AI57+AH58-AQ57,IF(A58&lt;'Données projet'!$A$62,$AF$205^A58,IF(A58='Données projet'!$A$62,'Données projet'!$B$62,AI57+AH58-AQ57)))</f>
        <v>323.99999999999983</v>
      </c>
      <c r="AJ58" s="13">
        <f>AI58*VLOOKUP('Données projet'!$B$10,Paramètres!$A$1:$I$89,3,0)*VLOOKUP('Données projet'!$B$10,Paramètres!$A$1:$I$89,5,0)</f>
        <v>257.7743999999999</v>
      </c>
      <c r="AK58" s="13">
        <f t="shared" si="35"/>
        <v>62.247732872134243</v>
      </c>
      <c r="AL58" s="20">
        <f t="shared" si="4"/>
        <v>557.37188141896695</v>
      </c>
      <c r="AM58" s="59">
        <f t="shared" si="5"/>
        <v>850.70521475230021</v>
      </c>
      <c r="AN58" s="59">
        <f ca="1">AVERAGE(OFFSET($AM$3,0,0,'Données projet'!$E$10+1,1))-AVERAGE(OFFSET($H$3,0,0,'Données projet'!$E$10+1,1))</f>
        <v>325.72928944930294</v>
      </c>
      <c r="AO58" s="59">
        <f t="shared" si="36"/>
        <v>318.38876834819752</v>
      </c>
      <c r="AP58" s="15">
        <f>IF(ISNA(VLOOKUP(A58,'Données projet'!$A$61:$I$81,3,0)),0,VLOOKUP(A58,'Données projet'!$A$61:$I$81,3,0))</f>
        <v>10</v>
      </c>
      <c r="AQ58" s="15">
        <f>IF(ISNA(VLOOKUP(A58,'Données projet'!$A$61:$I$81,4,0)),0,VLOOKUP(A58,'Données projet'!$A$61:$I$81,4,0))</f>
        <v>18</v>
      </c>
      <c r="AR58" s="16">
        <f>IF(ISNA(VLOOKUP(A58,'Données projet'!$A$61:$I$81,5,0)),0%,VLOOKUP(A58,'Données projet'!$A$61:$I$81,5,0)*VLOOKUP('Données projet'!$B$10,Paramètres!$A$1:$I$89,7,0))</f>
        <v>0.49819999999999998</v>
      </c>
      <c r="AS58" s="16">
        <f>IF(ISNA(VLOOKUP(A58,'Données projet'!$A$61:$I$81,6,0)),0%,VLOOKUP(A58,'Données projet'!$A$61:$I$81,6,0)*VLOOKUP('Données projet'!$B$10,Paramètres!$A$1:$I$89,7,0))</f>
        <v>3.1800000000000002E-2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54.700049743526421</v>
      </c>
      <c r="AV58" s="21">
        <f>EXP(-LN(2)/25)*AV57+(1-EXP(-LN(2)/25))/(LN(2)/25)*Calculateur!AQ58*Calculateur!AS58*VLOOKUP('Données projet'!$B$10,Paramètres!$A$1:$I$89,3,0)*0.475*44/12</f>
        <v>12.204493773852986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66.904543517379409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253</v>
      </c>
      <c r="BB58" s="12">
        <f>VLOOKUP(A58,'Données projet'!$A$87:$I$107,9,0)</f>
        <v>6.8</v>
      </c>
      <c r="BC58" s="12">
        <f t="array" ref="BC58">INDEX(BB:BB,MIN(IF(ISNUMBER(BB58:BB254),ROW(BB58:BB254),"")))</f>
        <v>6.8</v>
      </c>
      <c r="BD58" s="12">
        <f>IF('Données projet'!$A$88&gt;35,BD57+BC58-BL57,IF(A58&lt;'Données projet'!$A$88,$BA$205^A58,IF(A58='Données projet'!$A$88,'Données projet'!$B$88,BD57+BC58-BL57)))</f>
        <v>253.00000000000006</v>
      </c>
      <c r="BE58" s="13">
        <f>BD58*VLOOKUP('Données projet'!$B$11,Paramètres!$A$1:$I$89,3,0)*VLOOKUP('Données projet'!$B$11,Paramètres!$A$1:$I$89,5,0)</f>
        <v>165.76560000000003</v>
      </c>
      <c r="BF58" s="13">
        <f t="shared" si="37"/>
        <v>42.140271125684265</v>
      </c>
      <c r="BG58" s="20">
        <f t="shared" si="7"/>
        <v>362.10272554390014</v>
      </c>
      <c r="BH58" s="59">
        <f t="shared" si="8"/>
        <v>655.43605887723345</v>
      </c>
      <c r="BI58" s="59">
        <f ca="1">AVERAGE(OFFSET($BH$3,0,0,'Données projet'!$E$11+1,1))-AVERAGE(OFFSET($H$3,0,0,'Données projet'!$E$11+1,1))</f>
        <v>209.40885738157152</v>
      </c>
      <c r="BJ58" s="59">
        <f t="shared" si="38"/>
        <v>230.15385333954697</v>
      </c>
      <c r="BK58" s="15">
        <f>IF(ISNA(VLOOKUP(A58,'Données projet'!$A$87:$I$107,3,0)),0,VLOOKUP(A58,'Données projet'!$A$87:$I$107,3,0))</f>
        <v>10</v>
      </c>
      <c r="BL58" s="15" t="str">
        <f>IF(ISNA(VLOOKUP(A58,'Données projet'!$A$87:$I$107,4,0)),0,VLOOKUP(A58,'Données projet'!$A$87:$I$107,4,0))</f>
        <v>25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0.129</v>
      </c>
      <c r="BO58" s="16">
        <f>IF(ISNA(VLOOKUP(A58,'Données projet'!$A$87:$I$107,7,0)),0%,VLOOKUP(A58,'Données projet'!$A$87:$I$107,7,0))</f>
        <v>0.3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9.6357627947358946</v>
      </c>
      <c r="BR58" s="21">
        <f>EXP(-LN(2)/2)*BR57+(1-EXP(-LN(2)/2))/(LN(2)/2)*BL58*BO58*VLOOKUP('Données projet'!$B$11,Paramètres!$A$1:$I$89,3,0)*0.475*44/12</f>
        <v>5.7187011181711522</v>
      </c>
      <c r="BS58" s="22">
        <f t="shared" si="9"/>
        <v>15.354463912907047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198.44230769230768</v>
      </c>
      <c r="BW58" s="12">
        <f>VLOOKUP(A58,'Données projet'!$A$113:$I$133,9,0)</f>
        <v>8.8736263736263741</v>
      </c>
      <c r="BX58" s="12">
        <f t="array" ref="BX58">INDEX(BW:BW,MIN(IF(ISNUMBER(BW58:BW254),ROW(BW58:BW254),"")))</f>
        <v>8.8736263736263741</v>
      </c>
      <c r="BY58" s="12">
        <f>IF('Données projet'!$A$114&gt;35,BY57+BX58-CG57,IF(A58&lt;'Données projet'!$A$114,$BV$205^A58,IF(A58='Données projet'!$A$114,'Données projet'!$B$114,BY57+BX58-CG57)))</f>
        <v>198.44230769230774</v>
      </c>
      <c r="BZ58" s="13">
        <f>BY58*VLOOKUP('Données projet'!$B$12,Paramètres!$A$1:$I$89,3,0)*VLOOKUP('Données projet'!$B$12,Paramètres!$A$1:$I$89,5,0)</f>
        <v>179.55060000000003</v>
      </c>
      <c r="CA58" s="13">
        <f t="shared" si="39"/>
        <v>45.22218840459005</v>
      </c>
      <c r="CB58" s="20">
        <f t="shared" si="10"/>
        <v>391.47927313799437</v>
      </c>
      <c r="CC58" s="59">
        <f t="shared" si="11"/>
        <v>684.81260647132763</v>
      </c>
      <c r="CD58" s="59">
        <f ca="1">AVERAGE(OFFSET($CC$3,0,0,'Données projet'!$E$12+1,1))-AVERAGE(OFFSET($H$3,0,0,'Données projet'!$E$12+1,1))</f>
        <v>270.87836509222456</v>
      </c>
      <c r="CE58" s="59">
        <f t="shared" si="40"/>
        <v>205.24998237949734</v>
      </c>
      <c r="CF58" s="15">
        <f>IF(ISNA(VLOOKUP(A58,'Données projet'!$A$113:$I$133,3,0)),0,VLOOKUP(A58,'Données projet'!$A$113:$I$133,3,0))</f>
        <v>4</v>
      </c>
      <c r="CG58" s="15">
        <f>IF(ISNA(VLOOKUP(A58,'Données projet'!$A$113:$I$133,4,0)),0,VLOOKUP(A58,'Données projet'!$A$113:$I$133,4,0))</f>
        <v>45.147435897435898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0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181</v>
      </c>
      <c r="CR58" s="12">
        <f>VLOOKUP(A58,'Données projet'!$A$139:$I$159,9,0)</f>
        <v>5.2</v>
      </c>
      <c r="CS58" s="12">
        <f t="array" ref="CS58">INDEX(CR:CR,MIN(IF(ISNUMBER(CR58:CR254),ROW(CR58:CR254),"")))</f>
        <v>5.2</v>
      </c>
      <c r="CT58" s="12">
        <f>IF('Données projet'!$A$140&gt;35,CT57+CS58-DB57,IF(A58&lt;'Données projet'!$A$140,$CQ$205^A58,IF(A58='Données projet'!$A$140,'Données projet'!$B$140,CT57+CS58-DB57)))</f>
        <v>180.99999999999997</v>
      </c>
      <c r="CU58" s="17">
        <f>CT58*VLOOKUP('Données projet'!$B$13,Paramètres!$A$1:$I$89,3,0)*VLOOKUP('Données projet'!$B$13,Paramètres!$A$1:$I$89,5,0)</f>
        <v>158.1216</v>
      </c>
      <c r="CV58" s="13">
        <f t="shared" si="41"/>
        <v>40.418546284954211</v>
      </c>
      <c r="CW58" s="20">
        <f t="shared" si="13"/>
        <v>345.79075477962851</v>
      </c>
      <c r="CX58" s="59">
        <f t="shared" si="14"/>
        <v>639.12408811296177</v>
      </c>
      <c r="CY58" s="59">
        <f ca="1">AVERAGE(OFFSET($CX$3,0,0,'Données projet'!$E$13+1,1))-AVERAGE(OFFSET($H$3,0,0,'Données projet'!$E$13+1,1))</f>
        <v>207.4513063267579</v>
      </c>
      <c r="CZ58" s="59">
        <f t="shared" si="42"/>
        <v>191.63513530247218</v>
      </c>
      <c r="DA58" s="15">
        <f>IF(ISNA(VLOOKUP(A58,'Données projet'!$A$139:$I$159,3,0)),0,VLOOKUP(A58,'Données projet'!$A$139:$I$159,3,0))</f>
        <v>8</v>
      </c>
      <c r="DB58" s="15" t="str">
        <f>IF(ISNA(VLOOKUP(A58,'Données projet'!$A$139:$I$159,4,0)),0,VLOOKUP(A58,'Données projet'!$A$139:$I$159,4,0))</f>
        <v>17</v>
      </c>
      <c r="DC58" s="16">
        <f>IF(ISNA(VLOOKUP(A58,'Données projet'!$A$139:$I$159,5,0)),0%,VLOOKUP(A58,'Données projet'!$A$139:$I$159,5,0)*VLOOKUP('Données projet'!$B$13,Paramètres!$A$1:$I$89,7,0))</f>
        <v>0.17200000000000001</v>
      </c>
      <c r="DD58" s="16">
        <f>IF(ISNA(VLOOKUP(A58,'Données projet'!$A$139:$I$159,6,0)),0%,VLOOKUP(A58,'Données projet'!$A$139:$I$159,6,0)*VLOOKUP('Données projet'!$B$13,Paramètres!$A$1:$I$89,7,0))</f>
        <v>0.17200000000000001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2.823820612489397</v>
      </c>
      <c r="DG58" s="21">
        <f>EXP(-LN(2)/25)*DG57+(1-EXP(-LN(2)/25))/(LN(2)/25)*Calculateur!DB58*Calculateur!DD58*VLOOKUP('Données projet'!$B$13,Paramètres!$A$1:$I$89,3,0)*0.475*44/12</f>
        <v>11.760465416034254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14.584286028523652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66.814714696519275</v>
      </c>
      <c r="T59" s="59">
        <f t="shared" si="34"/>
        <v>199.56746335788068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23.192090067509081</v>
      </c>
      <c r="AA59" s="21">
        <f>EXP(-LN(2)/25)*AA58+(1-EXP(-LN(2)/25))/(LN(2)/25)*Calculateur!V59*Calculateur!X59*VLOOKUP('Données projet'!$B$9,Paramètres!$A$1:$I$89,3,0)*0.475*44/12</f>
        <v>3.721923211445612</v>
      </c>
      <c r="AB59" s="21">
        <f>EXP(-LN(2)/2)*AB58+(1-EXP(-LN(2)/2))/(LN(2)/2)*V59*Y59*VLOOKUP('Données projet'!$B$9,Paramètres!$A$1:$I$89,3,0)*0.475*44/12</f>
        <v>5.5014854805038295E-5</v>
      </c>
      <c r="AC59" s="22">
        <f t="shared" si="3"/>
        <v>26.9140682938095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7.4</v>
      </c>
      <c r="AI59" s="13">
        <f>IF('Données projet'!$A$62&gt;35,AI58+AH59-AQ58,IF(A59&lt;'Données projet'!$A$62,$AF$205^A59,IF(A59='Données projet'!$A$62,'Données projet'!$B$62,AI58+AH59-AQ58)))</f>
        <v>313.39999999999981</v>
      </c>
      <c r="AJ59" s="13">
        <f>AI59*VLOOKUP('Données projet'!$B$10,Paramètres!$A$1:$I$89,3,0)*VLOOKUP('Données projet'!$B$10,Paramètres!$A$1:$I$89,5,0)</f>
        <v>249.34103999999988</v>
      </c>
      <c r="AK59" s="13">
        <f t="shared" si="35"/>
        <v>60.444812818312201</v>
      </c>
      <c r="AL59" s="20">
        <f t="shared" si="4"/>
        <v>539.54369365856019</v>
      </c>
      <c r="AM59" s="59">
        <f t="shared" si="5"/>
        <v>832.87702699189344</v>
      </c>
      <c r="AN59" s="59">
        <f ca="1">AVERAGE(OFFSET($AM$3,0,0,'Données projet'!$E$10+1,1))-AVERAGE(OFFSET($H$3,0,0,'Données projet'!$E$10+1,1))</f>
        <v>325.72928944930294</v>
      </c>
      <c r="AO59" s="59">
        <f t="shared" si="36"/>
        <v>318.38876834819752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53.627415131791814</v>
      </c>
      <c r="AV59" s="21">
        <f>EXP(-LN(2)/25)*AV58+(1-EXP(-LN(2)/25))/(LN(2)/25)*Calculateur!AQ59*Calculateur!AS59*VLOOKUP('Données projet'!$B$10,Paramètres!$A$1:$I$89,3,0)*0.475*44/12</f>
        <v>11.870761249800543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65.498176381592359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6.4</v>
      </c>
      <c r="BD59" s="12">
        <f>IF('Données projet'!$A$88&gt;35,BD58+BC59-BL58,IF(A59&lt;'Données projet'!$A$88,$BA$205^A59,IF(A59='Données projet'!$A$88,'Données projet'!$B$88,BD58+BC59-BL58)))</f>
        <v>234.40000000000003</v>
      </c>
      <c r="BE59" s="13">
        <f>BD59*VLOOKUP('Données projet'!$B$11,Paramètres!$A$1:$I$89,3,0)*VLOOKUP('Données projet'!$B$11,Paramètres!$A$1:$I$89,5,0)</f>
        <v>153.57888000000003</v>
      </c>
      <c r="BF59" s="13">
        <f t="shared" si="37"/>
        <v>39.390779474606148</v>
      </c>
      <c r="BG59" s="20">
        <f t="shared" si="7"/>
        <v>336.08882358493906</v>
      </c>
      <c r="BH59" s="59">
        <f t="shared" si="8"/>
        <v>629.42215691827232</v>
      </c>
      <c r="BI59" s="59">
        <f ca="1">AVERAGE(OFFSET($BH$3,0,0,'Données projet'!$E$11+1,1))-AVERAGE(OFFSET($H$3,0,0,'Données projet'!$E$11+1,1))</f>
        <v>209.40885738157152</v>
      </c>
      <c r="BJ59" s="59">
        <f t="shared" si="38"/>
        <v>230.15385333954697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9.3722723543910984</v>
      </c>
      <c r="BR59" s="21">
        <f>EXP(-LN(2)/2)*BR58+(1-EXP(-LN(2)/2))/(LN(2)/2)*BL59*BO59*VLOOKUP('Données projet'!$B$11,Paramètres!$A$1:$I$89,3,0)*0.475*44/12</f>
        <v>4.0437323402379137</v>
      </c>
      <c r="BS59" s="22">
        <f t="shared" si="9"/>
        <v>13.416004694629013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8.374198717948719</v>
      </c>
      <c r="BY59" s="12">
        <f>IF('Données projet'!$A$114&gt;35,BY58+BX59-CG58,IF(A59&lt;'Données projet'!$A$114,$BV$205^A59,IF(A59='Données projet'!$A$114,'Données projet'!$B$114,BY58+BX59-CG58)))</f>
        <v>161.66907051282055</v>
      </c>
      <c r="BZ59" s="13">
        <f>BY59*VLOOKUP('Données projet'!$B$12,Paramètres!$A$1:$I$89,3,0)*VLOOKUP('Données projet'!$B$12,Paramètres!$A$1:$I$89,5,0)</f>
        <v>146.27817500000003</v>
      </c>
      <c r="CA59" s="13">
        <f t="shared" si="39"/>
        <v>37.731554716297467</v>
      </c>
      <c r="CB59" s="20">
        <f t="shared" si="10"/>
        <v>320.48361258921813</v>
      </c>
      <c r="CC59" s="59">
        <f t="shared" si="11"/>
        <v>613.81694592255144</v>
      </c>
      <c r="CD59" s="59">
        <f ca="1">AVERAGE(OFFSET($CC$3,0,0,'Données projet'!$E$12+1,1))-AVERAGE(OFFSET($H$3,0,0,'Données projet'!$E$12+1,1))</f>
        <v>270.87836509222456</v>
      </c>
      <c r="CE59" s="59">
        <f t="shared" si="40"/>
        <v>205.24998237949734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0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5</v>
      </c>
      <c r="CT59" s="12">
        <f>IF('Données projet'!$A$140&gt;35,CT58+CS59-DB58,IF(A59&lt;'Données projet'!$A$140,$CQ$205^A59,IF(A59='Données projet'!$A$140,'Données projet'!$B$140,CT58+CS59-DB58)))</f>
        <v>168.99999999999997</v>
      </c>
      <c r="CU59" s="17">
        <f>CT59*VLOOKUP('Données projet'!$B$13,Paramètres!$A$1:$I$89,3,0)*VLOOKUP('Données projet'!$B$13,Paramètres!$A$1:$I$89,5,0)</f>
        <v>147.63839999999999</v>
      </c>
      <c r="CV59" s="13">
        <f t="shared" si="41"/>
        <v>38.041408878951295</v>
      </c>
      <c r="CW59" s="20">
        <f t="shared" si="13"/>
        <v>323.39233379750681</v>
      </c>
      <c r="CX59" s="59">
        <f t="shared" si="14"/>
        <v>616.72566713084007</v>
      </c>
      <c r="CY59" s="59">
        <f ca="1">AVERAGE(OFFSET($CX$3,0,0,'Données projet'!$E$13+1,1))-AVERAGE(OFFSET($H$3,0,0,'Données projet'!$E$13+1,1))</f>
        <v>207.4513063267579</v>
      </c>
      <c r="CZ59" s="59">
        <f t="shared" si="42"/>
        <v>191.63513530247218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2.7684472126389847</v>
      </c>
      <c r="DG59" s="21">
        <f>EXP(-LN(2)/25)*DG58+(1-EXP(-LN(2)/25))/(LN(2)/25)*Calculateur!DB59*Calculateur!DD59*VLOOKUP('Données projet'!$B$13,Paramètres!$A$1:$I$89,3,0)*0.475*44/12</f>
        <v>11.4388748707768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14.207322083415786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66.814714696519275</v>
      </c>
      <c r="T60" s="59">
        <f t="shared" si="34"/>
        <v>199.56746335788068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22.737307327063391</v>
      </c>
      <c r="AA60" s="21">
        <f>EXP(-LN(2)/25)*AA59+(1-EXP(-LN(2)/25))/(LN(2)/25)*Calculateur!V60*Calculateur!X60*VLOOKUP('Données projet'!$B$9,Paramètres!$A$1:$I$89,3,0)*0.475*44/12</f>
        <v>3.6201470255011965</v>
      </c>
      <c r="AB60" s="21">
        <f>EXP(-LN(2)/2)*AB59+(1-EXP(-LN(2)/2))/(LN(2)/2)*V60*Y60*VLOOKUP('Données projet'!$B$9,Paramètres!$A$1:$I$89,3,0)*0.475*44/12</f>
        <v>3.8901376898635896E-5</v>
      </c>
      <c r="AC60" s="22">
        <f t="shared" si="3"/>
        <v>26.357493253941488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7.4</v>
      </c>
      <c r="AI60" s="13">
        <f>IF('Données projet'!$A$62&gt;35,AI59+AH60-AQ59,IF(A60&lt;'Données projet'!$A$62,$AF$205^A60,IF(A60='Données projet'!$A$62,'Données projet'!$B$62,AI59+AH60-AQ59)))</f>
        <v>320.79999999999978</v>
      </c>
      <c r="AJ60" s="13">
        <f>AI60*VLOOKUP('Données projet'!$B$10,Paramètres!$A$1:$I$89,3,0)*VLOOKUP('Données projet'!$B$10,Paramètres!$A$1:$I$89,5,0)</f>
        <v>255.22847999999985</v>
      </c>
      <c r="AK60" s="13">
        <f t="shared" si="35"/>
        <v>61.704188876103551</v>
      </c>
      <c r="AL60" s="20">
        <f t="shared" si="4"/>
        <v>551.99106495921342</v>
      </c>
      <c r="AM60" s="59">
        <f t="shared" si="5"/>
        <v>845.32439829254668</v>
      </c>
      <c r="AN60" s="59">
        <f ca="1">AVERAGE(OFFSET($AM$3,0,0,'Données projet'!$E$10+1,1))-AVERAGE(OFFSET($H$3,0,0,'Données projet'!$E$10+1,1))</f>
        <v>325.72928944930294</v>
      </c>
      <c r="AO60" s="59">
        <f t="shared" si="36"/>
        <v>318.38876834819752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52.575814230550812</v>
      </c>
      <c r="AV60" s="21">
        <f>EXP(-LN(2)/25)*AV59+(1-EXP(-LN(2)/25))/(LN(2)/25)*Calculateur!AQ60*Calculateur!AS60*VLOOKUP('Données projet'!$B$10,Paramètres!$A$1:$I$89,3,0)*0.475*44/12</f>
        <v>11.546154659168543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64.121968889719355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6.4</v>
      </c>
      <c r="BD60" s="12">
        <f>IF('Données projet'!$A$88&gt;35,BD59+BC60-BL59,IF(A60&lt;'Données projet'!$A$88,$BA$205^A60,IF(A60='Données projet'!$A$88,'Données projet'!$B$88,BD59+BC60-BL59)))</f>
        <v>240.80000000000004</v>
      </c>
      <c r="BE60" s="13">
        <f>BD60*VLOOKUP('Données projet'!$B$11,Paramètres!$A$1:$I$89,3,0)*VLOOKUP('Données projet'!$B$11,Paramètres!$A$1:$I$89,5,0)</f>
        <v>157.77216000000001</v>
      </c>
      <c r="BF60" s="13">
        <f t="shared" si="37"/>
        <v>40.339610539653599</v>
      </c>
      <c r="BG60" s="20">
        <f t="shared" si="7"/>
        <v>345.04466702323003</v>
      </c>
      <c r="BH60" s="59">
        <f t="shared" si="8"/>
        <v>638.37800035656335</v>
      </c>
      <c r="BI60" s="59">
        <f ca="1">AVERAGE(OFFSET($BH$3,0,0,'Données projet'!$E$11+1,1))-AVERAGE(OFFSET($H$3,0,0,'Données projet'!$E$11+1,1))</f>
        <v>209.40885738157152</v>
      </c>
      <c r="BJ60" s="59">
        <f t="shared" si="38"/>
        <v>230.15385333954697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9.1159870739938906</v>
      </c>
      <c r="BR60" s="21">
        <f>EXP(-LN(2)/2)*BR59+(1-EXP(-LN(2)/2))/(LN(2)/2)*BL60*BO60*VLOOKUP('Données projet'!$B$11,Paramètres!$A$1:$I$89,3,0)*0.475*44/12</f>
        <v>2.8593505590855766</v>
      </c>
      <c r="BS60" s="22">
        <f t="shared" si="9"/>
        <v>11.975337633079468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8.374198717948719</v>
      </c>
      <c r="BY60" s="12">
        <f>IF('Données projet'!$A$114&gt;35,BY59+BX60-CG59,IF(A60&lt;'Données projet'!$A$114,$BV$205^A60,IF(A60='Données projet'!$A$114,'Données projet'!$B$114,BY59+BX60-CG59)))</f>
        <v>170.04326923076928</v>
      </c>
      <c r="BZ60" s="13">
        <f>BY60*VLOOKUP('Données projet'!$B$12,Paramètres!$A$1:$I$89,3,0)*VLOOKUP('Données projet'!$B$12,Paramètres!$A$1:$I$89,5,0)</f>
        <v>153.85515000000004</v>
      </c>
      <c r="CA60" s="13">
        <f t="shared" si="39"/>
        <v>39.453384193994481</v>
      </c>
      <c r="CB60" s="20">
        <f t="shared" si="10"/>
        <v>336.67903038787375</v>
      </c>
      <c r="CC60" s="59">
        <f t="shared" si="11"/>
        <v>630.01236372120707</v>
      </c>
      <c r="CD60" s="59">
        <f ca="1">AVERAGE(OFFSET($CC$3,0,0,'Données projet'!$E$12+1,1))-AVERAGE(OFFSET($H$3,0,0,'Données projet'!$E$12+1,1))</f>
        <v>270.87836509222456</v>
      </c>
      <c r="CE60" s="59">
        <f t="shared" si="40"/>
        <v>205.24998237949734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0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5</v>
      </c>
      <c r="CT60" s="12">
        <f>IF('Données projet'!$A$140&gt;35,CT59+CS60-DB59,IF(A60&lt;'Données projet'!$A$140,$CQ$205^A60,IF(A60='Données projet'!$A$140,'Données projet'!$B$140,CT59+CS60-DB59)))</f>
        <v>173.99999999999997</v>
      </c>
      <c r="CU60" s="17">
        <f>CT60*VLOOKUP('Données projet'!$B$13,Paramètres!$A$1:$I$89,3,0)*VLOOKUP('Données projet'!$B$13,Paramètres!$A$1:$I$89,5,0)</f>
        <v>152.00640000000001</v>
      </c>
      <c r="CV60" s="13">
        <f t="shared" si="41"/>
        <v>39.03419401656145</v>
      </c>
      <c r="CW60" s="20">
        <f t="shared" si="13"/>
        <v>332.72903457884451</v>
      </c>
      <c r="CX60" s="59">
        <f t="shared" si="14"/>
        <v>626.06236791217782</v>
      </c>
      <c r="CY60" s="59">
        <f ca="1">AVERAGE(OFFSET($CX$3,0,0,'Données projet'!$E$13+1,1))-AVERAGE(OFFSET($H$3,0,0,'Données projet'!$E$13+1,1))</f>
        <v>207.4513063267579</v>
      </c>
      <c r="CZ60" s="59">
        <f t="shared" si="42"/>
        <v>191.63513530247218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2.7141596513852</v>
      </c>
      <c r="DG60" s="21">
        <f>EXP(-LN(2)/25)*DG59+(1-EXP(-LN(2)/25))/(LN(2)/25)*Calculateur!DB60*Calculateur!DD60*VLOOKUP('Données projet'!$B$13,Paramètres!$A$1:$I$89,3,0)*0.475*44/12</f>
        <v>11.126078235891123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13.840237887276324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66.814714696519275</v>
      </c>
      <c r="T61" s="59">
        <f t="shared" si="34"/>
        <v>199.56746335788068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22.291442598767759</v>
      </c>
      <c r="AA61" s="21">
        <f>EXP(-LN(2)/25)*AA60+(1-EXP(-LN(2)/25))/(LN(2)/25)*Calculateur!V61*Calculateur!X61*VLOOKUP('Données projet'!$B$9,Paramètres!$A$1:$I$89,3,0)*0.475*44/12</f>
        <v>3.5211539147136079</v>
      </c>
      <c r="AB61" s="21">
        <f>EXP(-LN(2)/2)*AB60+(1-EXP(-LN(2)/2))/(LN(2)/2)*V61*Y61*VLOOKUP('Données projet'!$B$9,Paramètres!$A$1:$I$89,3,0)*0.475*44/12</f>
        <v>2.7507427402519148E-5</v>
      </c>
      <c r="AC61" s="22">
        <f t="shared" si="3"/>
        <v>25.812624020908768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7.4</v>
      </c>
      <c r="AI61" s="13">
        <f>IF('Données projet'!$A$62&gt;35,AI60+AH61-AQ60,IF(A61&lt;'Données projet'!$A$62,$AF$205^A61,IF(A61='Données projet'!$A$62,'Données projet'!$B$62,AI60+AH61-AQ60)))</f>
        <v>328.19999999999976</v>
      </c>
      <c r="AJ61" s="13">
        <f>AI61*VLOOKUP('Données projet'!$B$10,Paramètres!$A$1:$I$89,3,0)*VLOOKUP('Données projet'!$B$10,Paramètres!$A$1:$I$89,5,0)</f>
        <v>261.11591999999985</v>
      </c>
      <c r="AK61" s="13">
        <f t="shared" si="35"/>
        <v>62.960187681145797</v>
      </c>
      <c r="AL61" s="20">
        <f t="shared" si="4"/>
        <v>564.43255421132858</v>
      </c>
      <c r="AM61" s="59">
        <f t="shared" si="5"/>
        <v>857.76588754466184</v>
      </c>
      <c r="AN61" s="59">
        <f ca="1">AVERAGE(OFFSET($AM$3,0,0,'Données projet'!$E$10+1,1))-AVERAGE(OFFSET($H$3,0,0,'Données projet'!$E$10+1,1))</f>
        <v>325.72928944930294</v>
      </c>
      <c r="AO61" s="59">
        <f t="shared" si="36"/>
        <v>318.38876834819752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51.54483458156993</v>
      </c>
      <c r="AV61" s="21">
        <f>EXP(-LN(2)/25)*AV60+(1-EXP(-LN(2)/25))/(LN(2)/25)*Calculateur!AQ61*Calculateur!AS61*VLOOKUP('Données projet'!$B$10,Paramètres!$A$1:$I$89,3,0)*0.475*44/12</f>
        <v>11.230424452827695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62.775259034397621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6.4</v>
      </c>
      <c r="BD61" s="12">
        <f>IF('Données projet'!$A$88&gt;35,BD60+BC61-BL60,IF(A61&lt;'Données projet'!$A$88,$BA$205^A61,IF(A61='Données projet'!$A$88,'Données projet'!$B$88,BD60+BC61-BL60)))</f>
        <v>247.20000000000005</v>
      </c>
      <c r="BE61" s="13">
        <f>BD61*VLOOKUP('Données projet'!$B$11,Paramètres!$A$1:$I$89,3,0)*VLOOKUP('Données projet'!$B$11,Paramètres!$A$1:$I$89,5,0)</f>
        <v>161.96544000000003</v>
      </c>
      <c r="BF61" s="13">
        <f t="shared" si="37"/>
        <v>41.285510388923619</v>
      </c>
      <c r="BG61" s="20">
        <f t="shared" si="7"/>
        <v>353.99540526070876</v>
      </c>
      <c r="BH61" s="59">
        <f t="shared" si="8"/>
        <v>647.32873859404208</v>
      </c>
      <c r="BI61" s="59">
        <f ca="1">AVERAGE(OFFSET($BH$3,0,0,'Données projet'!$E$11+1,1))-AVERAGE(OFFSET($H$3,0,0,'Données projet'!$E$11+1,1))</f>
        <v>209.40885738157152</v>
      </c>
      <c r="BJ61" s="59">
        <f t="shared" si="38"/>
        <v>230.15385333954697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8.8667099280666015</v>
      </c>
      <c r="BR61" s="21">
        <f>EXP(-LN(2)/2)*BR60+(1-EXP(-LN(2)/2))/(LN(2)/2)*BL61*BO61*VLOOKUP('Données projet'!$B$11,Paramètres!$A$1:$I$89,3,0)*0.475*44/12</f>
        <v>2.0218661701189573</v>
      </c>
      <c r="BS61" s="22">
        <f t="shared" si="9"/>
        <v>10.88857609818556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8.374198717948719</v>
      </c>
      <c r="BY61" s="12">
        <f>IF('Données projet'!$A$114&gt;35,BY60+BX61-CG60,IF(A61&lt;'Données projet'!$A$114,$BV$205^A61,IF(A61='Données projet'!$A$114,'Données projet'!$B$114,BY60+BX61-CG60)))</f>
        <v>178.41746794871801</v>
      </c>
      <c r="BZ61" s="13">
        <f>BY61*VLOOKUP('Données projet'!$B$12,Paramètres!$A$1:$I$89,3,0)*VLOOKUP('Données projet'!$B$12,Paramètres!$A$1:$I$89,5,0)</f>
        <v>161.43212500000007</v>
      </c>
      <c r="CA61" s="13">
        <f t="shared" si="39"/>
        <v>41.16536748337429</v>
      </c>
      <c r="CB61" s="20">
        <f t="shared" si="10"/>
        <v>352.85729940854367</v>
      </c>
      <c r="CC61" s="59">
        <f t="shared" si="11"/>
        <v>646.19063274187693</v>
      </c>
      <c r="CD61" s="59">
        <f ca="1">AVERAGE(OFFSET($CC$3,0,0,'Données projet'!$E$12+1,1))-AVERAGE(OFFSET($H$3,0,0,'Données projet'!$E$12+1,1))</f>
        <v>270.87836509222456</v>
      </c>
      <c r="CE61" s="59">
        <f t="shared" si="40"/>
        <v>205.24998237949734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0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5</v>
      </c>
      <c r="CT61" s="12">
        <f>IF('Données projet'!$A$140&gt;35,CT60+CS61-DB60,IF(A61&lt;'Données projet'!$A$140,$CQ$205^A61,IF(A61='Données projet'!$A$140,'Données projet'!$B$140,CT60+CS61-DB60)))</f>
        <v>178.99999999999997</v>
      </c>
      <c r="CU61" s="17">
        <f>CT61*VLOOKUP('Données projet'!$B$13,Paramètres!$A$1:$I$89,3,0)*VLOOKUP('Données projet'!$B$13,Paramètres!$A$1:$I$89,5,0)</f>
        <v>156.37440000000001</v>
      </c>
      <c r="CV61" s="13">
        <f t="shared" si="41"/>
        <v>40.023663524293205</v>
      </c>
      <c r="CW61" s="20">
        <f t="shared" si="13"/>
        <v>342.05996063814399</v>
      </c>
      <c r="CX61" s="59">
        <f t="shared" si="14"/>
        <v>635.39329397147731</v>
      </c>
      <c r="CY61" s="59">
        <f ca="1">AVERAGE(OFFSET($CX$3,0,0,'Données projet'!$E$13+1,1))-AVERAGE(OFFSET($H$3,0,0,'Données projet'!$E$13+1,1))</f>
        <v>207.4513063267579</v>
      </c>
      <c r="CZ61" s="59">
        <f t="shared" si="42"/>
        <v>191.63513530247218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2.6609366360954589</v>
      </c>
      <c r="DG61" s="21">
        <f>EXP(-LN(2)/25)*DG60+(1-EXP(-LN(2)/25))/(LN(2)/25)*Calculateur!DB61*Calculateur!DD61*VLOOKUP('Données projet'!$B$13,Paramètres!$A$1:$I$89,3,0)*0.475*44/12</f>
        <v>10.821835041435655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13.482771677531113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66.814714696519275</v>
      </c>
      <c r="T62" s="59">
        <f t="shared" si="34"/>
        <v>199.56746335788068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21.854321005843371</v>
      </c>
      <c r="AA62" s="21">
        <f>EXP(-LN(2)/25)*AA61+(1-EXP(-LN(2)/25))/(LN(2)/25)*Calculateur!V62*Calculateur!X62*VLOOKUP('Données projet'!$B$9,Paramètres!$A$1:$I$89,3,0)*0.475*44/12</f>
        <v>3.4248677757463275</v>
      </c>
      <c r="AB62" s="21">
        <f>EXP(-LN(2)/2)*AB61+(1-EXP(-LN(2)/2))/(LN(2)/2)*V62*Y62*VLOOKUP('Données projet'!$B$9,Paramètres!$A$1:$I$89,3,0)*0.475*44/12</f>
        <v>1.9450688449317948E-5</v>
      </c>
      <c r="AC62" s="22">
        <f t="shared" si="3"/>
        <v>25.279208232278148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7.4</v>
      </c>
      <c r="AI62" s="13">
        <f>IF('Données projet'!$A$62&gt;35,AI61+AH62-AQ61,IF(A62&lt;'Données projet'!$A$62,$AF$205^A62,IF(A62='Données projet'!$A$62,'Données projet'!$B$62,AI61+AH62-AQ61)))</f>
        <v>335.59999999999974</v>
      </c>
      <c r="AJ62" s="13">
        <f>AI62*VLOOKUP('Données projet'!$B$10,Paramètres!$A$1:$I$89,3,0)*VLOOKUP('Données projet'!$B$10,Paramètres!$A$1:$I$89,5,0)</f>
        <v>267.00335999999982</v>
      </c>
      <c r="AK62" s="13">
        <f t="shared" si="35"/>
        <v>64.212894147794728</v>
      </c>
      <c r="AL62" s="20">
        <f t="shared" si="4"/>
        <v>576.86830930740882</v>
      </c>
      <c r="AM62" s="59">
        <f t="shared" si="5"/>
        <v>870.20164264074219</v>
      </c>
      <c r="AN62" s="59">
        <f ca="1">AVERAGE(OFFSET($AM$3,0,0,'Données projet'!$E$10+1,1))-AVERAGE(OFFSET($H$3,0,0,'Données projet'!$E$10+1,1))</f>
        <v>325.72928944930294</v>
      </c>
      <c r="AO62" s="59">
        <f t="shared" si="36"/>
        <v>318.38876834819752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50.534071814670071</v>
      </c>
      <c r="AV62" s="21">
        <f>EXP(-LN(2)/25)*AV61+(1-EXP(-LN(2)/25))/(LN(2)/25)*Calculateur!AQ62*Calculateur!AS62*VLOOKUP('Données projet'!$B$10,Paramètres!$A$1:$I$89,3,0)*0.475*44/12</f>
        <v>10.923327905582767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61.457399720252837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6.4</v>
      </c>
      <c r="BD62" s="12">
        <f>IF('Données projet'!$A$88&gt;35,BD61+BC62-BL61,IF(A62&lt;'Données projet'!$A$88,$BA$205^A62,IF(A62='Données projet'!$A$88,'Données projet'!$B$88,BD61+BC62-BL61)))</f>
        <v>253.60000000000005</v>
      </c>
      <c r="BE62" s="13">
        <f>BD62*VLOOKUP('Données projet'!$B$11,Paramètres!$A$1:$I$89,3,0)*VLOOKUP('Données projet'!$B$11,Paramètres!$A$1:$I$89,5,0)</f>
        <v>166.15872000000002</v>
      </c>
      <c r="BF62" s="13">
        <f t="shared" si="37"/>
        <v>42.228563636586422</v>
      </c>
      <c r="BG62" s="20">
        <f t="shared" si="7"/>
        <v>362.9411856670547</v>
      </c>
      <c r="BH62" s="59">
        <f t="shared" si="8"/>
        <v>656.27451900038795</v>
      </c>
      <c r="BI62" s="59">
        <f ca="1">AVERAGE(OFFSET($BH$3,0,0,'Données projet'!$E$11+1,1))-AVERAGE(OFFSET($H$3,0,0,'Données projet'!$E$11+1,1))</f>
        <v>209.40885738157152</v>
      </c>
      <c r="BJ62" s="59">
        <f t="shared" si="38"/>
        <v>230.15385333954697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8.6242492788036103</v>
      </c>
      <c r="BR62" s="21">
        <f>EXP(-LN(2)/2)*BR61+(1-EXP(-LN(2)/2))/(LN(2)/2)*BL62*BO62*VLOOKUP('Données projet'!$B$11,Paramètres!$A$1:$I$89,3,0)*0.475*44/12</f>
        <v>1.4296752795427885</v>
      </c>
      <c r="BS62" s="22">
        <f t="shared" si="9"/>
        <v>10.053924558346399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8.374198717948719</v>
      </c>
      <c r="BY62" s="12">
        <f>IF('Données projet'!$A$114&gt;35,BY61+BX62-CG61,IF(A62&lt;'Données projet'!$A$114,$BV$205^A62,IF(A62='Données projet'!$A$114,'Données projet'!$B$114,BY61+BX62-CG61)))</f>
        <v>186.79166666666674</v>
      </c>
      <c r="BZ62" s="13">
        <f>BY62*VLOOKUP('Données projet'!$B$12,Paramètres!$A$1:$I$89,3,0)*VLOOKUP('Données projet'!$B$12,Paramètres!$A$1:$I$89,5,0)</f>
        <v>169.00910000000005</v>
      </c>
      <c r="CA62" s="13">
        <f t="shared" si="39"/>
        <v>42.868019497909927</v>
      </c>
      <c r="CB62" s="20">
        <f t="shared" si="10"/>
        <v>369.01931645885981</v>
      </c>
      <c r="CC62" s="59">
        <f t="shared" si="11"/>
        <v>662.35264979219312</v>
      </c>
      <c r="CD62" s="59">
        <f ca="1">AVERAGE(OFFSET($CC$3,0,0,'Données projet'!$E$12+1,1))-AVERAGE(OFFSET($H$3,0,0,'Données projet'!$E$12+1,1))</f>
        <v>270.87836509222456</v>
      </c>
      <c r="CE62" s="59">
        <f t="shared" si="40"/>
        <v>205.24998237949734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0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5</v>
      </c>
      <c r="CT62" s="12">
        <f>IF('Données projet'!$A$140&gt;35,CT61+CS62-DB61,IF(A62&lt;'Données projet'!$A$140,$CQ$205^A62,IF(A62='Données projet'!$A$140,'Données projet'!$B$140,CT61+CS62-DB61)))</f>
        <v>183.99999999999997</v>
      </c>
      <c r="CU62" s="17">
        <f>CT62*VLOOKUP('Données projet'!$B$13,Paramètres!$A$1:$I$89,3,0)*VLOOKUP('Données projet'!$B$13,Paramètres!$A$1:$I$89,5,0)</f>
        <v>160.7424</v>
      </c>
      <c r="CV62" s="13">
        <f t="shared" si="41"/>
        <v>41.009920657227809</v>
      </c>
      <c r="CW62" s="20">
        <f t="shared" si="13"/>
        <v>351.38529181133845</v>
      </c>
      <c r="CX62" s="59">
        <f t="shared" si="14"/>
        <v>644.71862514467171</v>
      </c>
      <c r="CY62" s="59">
        <f ca="1">AVERAGE(OFFSET($CX$3,0,0,'Données projet'!$E$13+1,1))-AVERAGE(OFFSET($H$3,0,0,'Données projet'!$E$13+1,1))</f>
        <v>207.4513063267579</v>
      </c>
      <c r="CZ62" s="59">
        <f t="shared" si="42"/>
        <v>191.63513530247218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2.608757291672716</v>
      </c>
      <c r="DG62" s="21">
        <f>EXP(-LN(2)/25)*DG61+(1-EXP(-LN(2)/25))/(LN(2)/25)*Calculateur!DB62*Calculateur!DD62*VLOOKUP('Données projet'!$B$13,Paramètres!$A$1:$I$89,3,0)*0.475*44/12</f>
        <v>10.525911393132025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13.13466868480474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66.814714696519275</v>
      </c>
      <c r="T63" s="59">
        <f t="shared" si="34"/>
        <v>199.56746335788068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21.425771100738384</v>
      </c>
      <c r="AA63" s="21">
        <f>EXP(-LN(2)/25)*AA62+(1-EXP(-LN(2)/25))/(LN(2)/25)*Calculateur!V63*Calculateur!X63*VLOOKUP('Données projet'!$B$9,Paramètres!$A$1:$I$89,3,0)*0.475*44/12</f>
        <v>3.3312145863125755</v>
      </c>
      <c r="AB63" s="21">
        <f>EXP(-LN(2)/2)*AB62+(1-EXP(-LN(2)/2))/(LN(2)/2)*V63*Y63*VLOOKUP('Données projet'!$B$9,Paramètres!$A$1:$I$89,3,0)*0.475*44/12</f>
        <v>1.3753713701259574E-5</v>
      </c>
      <c r="AC63" s="22">
        <f t="shared" si="3"/>
        <v>24.756999440764663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343</v>
      </c>
      <c r="AG63" s="12">
        <f>VLOOKUP(A63,'Données projet'!$A$61:$I$81,9,0)</f>
        <v>7.4</v>
      </c>
      <c r="AH63" s="12">
        <f t="array" ref="AH63">INDEX(AG:AG,MIN(IF(ISNUMBER(AG63:AG259),ROW(AG63:AG259),"")))</f>
        <v>7.4</v>
      </c>
      <c r="AI63" s="13">
        <f>IF('Données projet'!$A$62&gt;35,AI62+AH63-AQ62,IF(A63&lt;'Données projet'!$A$62,$AF$205^A63,IF(A63='Données projet'!$A$62,'Données projet'!$B$62,AI62+AH63-AQ62)))</f>
        <v>342.99999999999972</v>
      </c>
      <c r="AJ63" s="13">
        <f>AI63*VLOOKUP('Données projet'!$B$10,Paramètres!$A$1:$I$89,3,0)*VLOOKUP('Données projet'!$B$10,Paramètres!$A$1:$I$89,5,0)</f>
        <v>272.89079999999979</v>
      </c>
      <c r="AK63" s="13">
        <f t="shared" si="35"/>
        <v>65.462389231846373</v>
      </c>
      <c r="AL63" s="20">
        <f t="shared" si="4"/>
        <v>589.29847124546529</v>
      </c>
      <c r="AM63" s="59">
        <f t="shared" si="5"/>
        <v>882.63180457879866</v>
      </c>
      <c r="AN63" s="59">
        <f ca="1">AVERAGE(OFFSET($AM$3,0,0,'Données projet'!$E$10+1,1))-AVERAGE(OFFSET($H$3,0,0,'Données projet'!$E$10+1,1))</f>
        <v>325.72928944930294</v>
      </c>
      <c r="AO63" s="59">
        <f t="shared" si="36"/>
        <v>318.38876834819752</v>
      </c>
      <c r="AP63" s="15">
        <f>IF(ISNA(VLOOKUP(A63,'Données projet'!$A$61:$I$81,3,0)),0,VLOOKUP(A63,'Données projet'!$A$61:$I$81,3,0))</f>
        <v>11</v>
      </c>
      <c r="AQ63" s="15">
        <f>IF(ISNA(VLOOKUP(A63,'Données projet'!$A$61:$I$81,4,0)),0,VLOOKUP(A63,'Données projet'!$A$61:$I$81,4,0))</f>
        <v>17</v>
      </c>
      <c r="AR63" s="16">
        <f>IF(ISNA(VLOOKUP(A63,'Données projet'!$A$61:$I$81,5,0)),0%,VLOOKUP(A63,'Données projet'!$A$61:$I$81,5,0)*VLOOKUP('Données projet'!$B$10,Paramètres!$A$1:$I$89,7,0))</f>
        <v>0.49819999999999998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56.992070403395161</v>
      </c>
      <c r="AV63" s="21">
        <f>EXP(-LN(2)/25)*AV62+(1-EXP(-LN(2)/25))/(LN(2)/25)*Calculateur!AQ63*Calculateur!AS63*VLOOKUP('Données projet'!$B$10,Paramètres!$A$1:$I$89,3,0)*0.475*44/12</f>
        <v>10.624628929571756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67.616699332966917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260</v>
      </c>
      <c r="BB63" s="12">
        <f>VLOOKUP(A63,'Données projet'!$A$87:$I$107,9,0)</f>
        <v>6.4</v>
      </c>
      <c r="BC63" s="12">
        <f t="array" ref="BC63">INDEX(BB:BB,MIN(IF(ISNUMBER(BB63:BB259),ROW(BB63:BB259),"")))</f>
        <v>6.4</v>
      </c>
      <c r="BD63" s="12">
        <f>IF('Données projet'!$A$88&gt;35,BD62+BC63-BL62,IF(A63&lt;'Données projet'!$A$88,$BA$205^A63,IF(A63='Données projet'!$A$88,'Données projet'!$B$88,BD62+BC63-BL62)))</f>
        <v>260.00000000000006</v>
      </c>
      <c r="BE63" s="13">
        <f>BD63*VLOOKUP('Données projet'!$B$11,Paramètres!$A$1:$I$89,3,0)*VLOOKUP('Données projet'!$B$11,Paramètres!$A$1:$I$89,5,0)</f>
        <v>170.35200000000003</v>
      </c>
      <c r="BF63" s="13">
        <f t="shared" si="37"/>
        <v>43.168850382694487</v>
      </c>
      <c r="BG63" s="20">
        <f t="shared" si="7"/>
        <v>371.88214774985954</v>
      </c>
      <c r="BH63" s="59">
        <f t="shared" si="8"/>
        <v>665.2154810831928</v>
      </c>
      <c r="BI63" s="59">
        <f ca="1">AVERAGE(OFFSET($BH$3,0,0,'Données projet'!$E$11+1,1))-AVERAGE(OFFSET($H$3,0,0,'Données projet'!$E$11+1,1))</f>
        <v>209.40885738157152</v>
      </c>
      <c r="BJ63" s="59">
        <f t="shared" si="38"/>
        <v>230.15385333954697</v>
      </c>
      <c r="BK63" s="15">
        <f>IF(ISNA(VLOOKUP(A63,'Données projet'!$A$87:$I$107,3,0)),0,VLOOKUP(A63,'Données projet'!$A$87:$I$107,3,0))</f>
        <v>11</v>
      </c>
      <c r="BL63" s="15" t="str">
        <f>IF(ISNA(VLOOKUP(A63,'Données projet'!$A$87:$I$107,4,0)),0,VLOOKUP(A63,'Données projet'!$A$87:$I$107,4,0))</f>
        <v>24</v>
      </c>
      <c r="BM63" s="16">
        <f>IF(ISNA(VLOOKUP(A63,'Données projet'!$A$87:$I$107,5,0)),0%,VLOOKUP(A63,'Données projet'!$A$87:$I$107,5,0)*VLOOKUP('Données projet'!$B$11,Paramètres!$A$1:$I$89,7,0))</f>
        <v>4.3000000000000003E-2</v>
      </c>
      <c r="BN63" s="16">
        <f>IF(ISNA(VLOOKUP(A63,'Données projet'!$A$87:$I$107,6,0)),0%,VLOOKUP(A63,'Données projet'!$A$87:$I$107,6,0)*VLOOKUP('Données projet'!$B$11,Paramètres!$A$1:$I$89,7,0))</f>
        <v>0.17200000000000001</v>
      </c>
      <c r="BO63" s="16">
        <f>IF(ISNA(VLOOKUP(A63,'Données projet'!$A$87:$I$107,7,0)),0%,VLOOKUP(A63,'Données projet'!$A$87:$I$107,7,0))</f>
        <v>0.3</v>
      </c>
      <c r="BP63" s="21">
        <f>EXP(-LN(2)/35)*BP62+(1-EXP(-LN(2)/35))/(LN(2)/35)*BL63*BM63*VLOOKUP('Données projet'!$B$11,Paramètres!$A$1:$I$89,3,0)*0.475*44/12</f>
        <v>0.74748192683542858</v>
      </c>
      <c r="BQ63" s="21">
        <f>EXP(-LN(2)/25)*BQ62+(1-EXP(-LN(2)/25))/(LN(2)/25)*Calculateur!BL63*Calculateur!BN63*VLOOKUP('Données projet'!$B$11,Paramètres!$A$1:$I$89,3,0)*0.475*44/12</f>
        <v>11.366573951451306</v>
      </c>
      <c r="BR63" s="21">
        <f>EXP(-LN(2)/2)*BR62+(1-EXP(-LN(2)/2))/(LN(2)/2)*BL63*BO63*VLOOKUP('Données projet'!$B$11,Paramètres!$A$1:$I$89,3,0)*0.475*44/12</f>
        <v>5.4619646930955215</v>
      </c>
      <c r="BS63" s="22">
        <f t="shared" si="9"/>
        <v>17.576020571382255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8.374198717948719</v>
      </c>
      <c r="BY63" s="12">
        <f>IF('Données projet'!$A$114&gt;35,BY62+BX63-CG62,IF(A63&lt;'Données projet'!$A$114,$BV$205^A63,IF(A63='Données projet'!$A$114,'Données projet'!$B$114,BY62+BX63-CG62)))</f>
        <v>195.16586538461547</v>
      </c>
      <c r="BZ63" s="13">
        <f>BY63*VLOOKUP('Données projet'!$B$12,Paramètres!$A$1:$I$89,3,0)*VLOOKUP('Données projet'!$B$12,Paramètres!$A$1:$I$89,5,0)</f>
        <v>176.58607500000008</v>
      </c>
      <c r="CA63" s="13">
        <f t="shared" si="39"/>
        <v>44.561806372041367</v>
      </c>
      <c r="CB63" s="20">
        <f t="shared" si="10"/>
        <v>385.16589338963877</v>
      </c>
      <c r="CC63" s="59">
        <f t="shared" si="11"/>
        <v>678.49922672297203</v>
      </c>
      <c r="CD63" s="59">
        <f ca="1">AVERAGE(OFFSET($CC$3,0,0,'Données projet'!$E$12+1,1))-AVERAGE(OFFSET($H$3,0,0,'Données projet'!$E$12+1,1))</f>
        <v>270.87836509222456</v>
      </c>
      <c r="CE63" s="59">
        <f t="shared" si="40"/>
        <v>205.24998237949734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0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189</v>
      </c>
      <c r="CR63" s="12">
        <f>VLOOKUP(A63,'Données projet'!$A$139:$I$159,9,0)</f>
        <v>5</v>
      </c>
      <c r="CS63" s="12">
        <f t="array" ref="CS63">INDEX(CR:CR,MIN(IF(ISNUMBER(CR63:CR259),ROW(CR63:CR259),"")))</f>
        <v>5</v>
      </c>
      <c r="CT63" s="12">
        <f>IF('Données projet'!$A$140&gt;35,CT62+CS63-DB62,IF(A63&lt;'Données projet'!$A$140,$CQ$205^A63,IF(A63='Données projet'!$A$140,'Données projet'!$B$140,CT62+CS63-DB62)))</f>
        <v>188.99999999999997</v>
      </c>
      <c r="CU63" s="17">
        <f>CT63*VLOOKUP('Données projet'!$B$13,Paramètres!$A$1:$I$89,3,0)*VLOOKUP('Données projet'!$B$13,Paramètres!$A$1:$I$89,5,0)</f>
        <v>165.1104</v>
      </c>
      <c r="CV63" s="13">
        <f t="shared" si="41"/>
        <v>41.993062739333446</v>
      </c>
      <c r="CW63" s="20">
        <f t="shared" si="13"/>
        <v>360.70519760433905</v>
      </c>
      <c r="CX63" s="59">
        <f t="shared" si="14"/>
        <v>654.03853093767236</v>
      </c>
      <c r="CY63" s="59">
        <f ca="1">AVERAGE(OFFSET($CX$3,0,0,'Données projet'!$E$13+1,1))-AVERAGE(OFFSET($H$3,0,0,'Données projet'!$E$13+1,1))</f>
        <v>207.4513063267579</v>
      </c>
      <c r="CZ63" s="59">
        <f t="shared" si="42"/>
        <v>191.63513530247218</v>
      </c>
      <c r="DA63" s="15">
        <f>IF(ISNA(VLOOKUP(A63,'Données projet'!$A$139:$I$159,3,0)),0,VLOOKUP(A63,'Données projet'!$A$139:$I$159,3,0))</f>
        <v>9</v>
      </c>
      <c r="DB63" s="15" t="str">
        <f>IF(ISNA(VLOOKUP(A63,'Données projet'!$A$139:$I$159,4,0)),0,VLOOKUP(A63,'Données projet'!$A$139:$I$159,4,0))</f>
        <v>16</v>
      </c>
      <c r="DC63" s="16">
        <f>IF(ISNA(VLOOKUP(A63,'Données projet'!$A$139:$I$159,5,0)),0%,VLOOKUP(A63,'Données projet'!$A$139:$I$159,5,0)*VLOOKUP('Données projet'!$B$13,Paramètres!$A$1:$I$89,7,0))</f>
        <v>0.17200000000000001</v>
      </c>
      <c r="DD63" s="16">
        <f>IF(ISNA(VLOOKUP(A63,'Données projet'!$A$139:$I$159,6,0)),0%,VLOOKUP(A63,'Données projet'!$A$139:$I$159,6,0)*VLOOKUP('Données projet'!$B$13,Paramètres!$A$1:$I$89,7,0))</f>
        <v>0.17200000000000001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5.2153146700049255</v>
      </c>
      <c r="DG63" s="21">
        <f>EXP(-LN(2)/25)*DG62+(1-EXP(-LN(2)/25))/(LN(2)/25)*Calculateur!DB63*Calculateur!DD63*VLOOKUP('Données projet'!$B$13,Paramètres!$A$1:$I$89,3,0)*0.475*44/12</f>
        <v>12.885328879403108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18.100643549408034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66.814714696519275</v>
      </c>
      <c r="T64" s="59">
        <f t="shared" si="34"/>
        <v>199.56746335788068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21.005624797882877</v>
      </c>
      <c r="AA64" s="21">
        <f>EXP(-LN(2)/25)*AA63+(1-EXP(-LN(2)/25))/(LN(2)/25)*Calculateur!V64*Calculateur!X64*VLOOKUP('Données projet'!$B$9,Paramètres!$A$1:$I$89,3,0)*0.475*44/12</f>
        <v>3.2401223482688968</v>
      </c>
      <c r="AB64" s="21">
        <f>EXP(-LN(2)/2)*AB63+(1-EXP(-LN(2)/2))/(LN(2)/2)*V64*Y64*VLOOKUP('Données projet'!$B$9,Paramètres!$A$1:$I$89,3,0)*0.475*44/12</f>
        <v>9.7253442246589741E-6</v>
      </c>
      <c r="AC64" s="22">
        <f t="shared" si="3"/>
        <v>24.245756871495999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6</v>
      </c>
      <c r="AI64" s="13">
        <f>IF('Données projet'!$A$62&gt;35,AI63+AH64-AQ63,IF(A64&lt;'Données projet'!$A$62,$AF$205^A64,IF(A64='Données projet'!$A$62,'Données projet'!$B$62,AI63+AH64-AQ63)))</f>
        <v>331.99999999999972</v>
      </c>
      <c r="AJ64" s="13">
        <f>AI64*VLOOKUP('Données projet'!$B$10,Paramètres!$A$1:$I$89,3,0)*VLOOKUP('Données projet'!$B$10,Paramètres!$A$1:$I$89,5,0)</f>
        <v>264.13919999999979</v>
      </c>
      <c r="AK64" s="13">
        <f t="shared" si="35"/>
        <v>63.60387543087441</v>
      </c>
      <c r="AL64" s="20">
        <f t="shared" si="4"/>
        <v>570.81918970877257</v>
      </c>
      <c r="AM64" s="59">
        <f t="shared" si="5"/>
        <v>864.15252304210594</v>
      </c>
      <c r="AN64" s="59">
        <f ca="1">AVERAGE(OFFSET($AM$3,0,0,'Données projet'!$E$10+1,1))-AVERAGE(OFFSET($H$3,0,0,'Données projet'!$E$10+1,1))</f>
        <v>325.72928944930294</v>
      </c>
      <c r="AO64" s="59">
        <f t="shared" si="36"/>
        <v>318.38876834819752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55.874490664515093</v>
      </c>
      <c r="AV64" s="21">
        <f>EXP(-LN(2)/25)*AV63+(1-EXP(-LN(2)/25))/(LN(2)/25)*Calculateur!AQ64*Calculateur!AS64*VLOOKUP('Données projet'!$B$10,Paramètres!$A$1:$I$89,3,0)*0.475*44/12</f>
        <v>10.334097892767664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66.208588557282752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5.8</v>
      </c>
      <c r="BD64" s="12">
        <f>IF('Données projet'!$A$88&gt;35,BD63+BC64-BL63,IF(A64&lt;'Données projet'!$A$88,$BA$205^A64,IF(A64='Données projet'!$A$88,'Données projet'!$B$88,BD63+BC64-BL63)))</f>
        <v>241.80000000000007</v>
      </c>
      <c r="BE64" s="13">
        <f>BD64*VLOOKUP('Données projet'!$B$11,Paramètres!$A$1:$I$89,3,0)*VLOOKUP('Données projet'!$B$11,Paramètres!$A$1:$I$89,5,0)</f>
        <v>158.42736000000005</v>
      </c>
      <c r="BF64" s="13">
        <f t="shared" si="37"/>
        <v>40.487598405868248</v>
      </c>
      <c r="BG64" s="20">
        <f t="shared" si="7"/>
        <v>346.44355255688725</v>
      </c>
      <c r="BH64" s="59">
        <f t="shared" si="8"/>
        <v>639.77688589022057</v>
      </c>
      <c r="BI64" s="59">
        <f ca="1">AVERAGE(OFFSET($BH$3,0,0,'Données projet'!$E$11+1,1))-AVERAGE(OFFSET($H$3,0,0,'Données projet'!$E$11+1,1))</f>
        <v>209.40885738157152</v>
      </c>
      <c r="BJ64" s="59">
        <f t="shared" si="38"/>
        <v>230.15385333954697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0.73282426216914298</v>
      </c>
      <c r="BQ64" s="21">
        <f>EXP(-LN(2)/25)*BQ63+(1-EXP(-LN(2)/25))/(LN(2)/25)*Calculateur!BL64*Calculateur!BN64*VLOOKUP('Données projet'!$B$11,Paramètres!$A$1:$I$89,3,0)*0.475*44/12</f>
        <v>11.055754389006724</v>
      </c>
      <c r="BR64" s="21">
        <f>EXP(-LN(2)/2)*BR63+(1-EXP(-LN(2)/2))/(LN(2)/2)*BL64*BO64*VLOOKUP('Données projet'!$B$11,Paramètres!$A$1:$I$89,3,0)*0.475*44/12</f>
        <v>3.8621922730893434</v>
      </c>
      <c r="BS64" s="22">
        <f t="shared" si="9"/>
        <v>15.65077092426521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8.374198717948719</v>
      </c>
      <c r="BY64" s="12">
        <f>IF('Données projet'!$A$114&gt;35,BY63+BX64-CG63,IF(A64&lt;'Données projet'!$A$114,$BV$205^A64,IF(A64='Données projet'!$A$114,'Données projet'!$B$114,BY63+BX64-CG63)))</f>
        <v>203.5400641025642</v>
      </c>
      <c r="BZ64" s="13">
        <f>BY64*VLOOKUP('Données projet'!$B$12,Paramètres!$A$1:$I$89,3,0)*VLOOKUP('Données projet'!$B$12,Paramètres!$A$1:$I$89,5,0)</f>
        <v>184.16305000000008</v>
      </c>
      <c r="CA64" s="13">
        <f t="shared" si="39"/>
        <v>46.247151975893182</v>
      </c>
      <c r="CB64" s="20">
        <f t="shared" si="10"/>
        <v>401.29776844134739</v>
      </c>
      <c r="CC64" s="59">
        <f t="shared" si="11"/>
        <v>694.6311017746807</v>
      </c>
      <c r="CD64" s="59">
        <f ca="1">AVERAGE(OFFSET($CC$3,0,0,'Données projet'!$E$12+1,1))-AVERAGE(OFFSET($H$3,0,0,'Données projet'!$E$12+1,1))</f>
        <v>270.87836509222456</v>
      </c>
      <c r="CE64" s="59">
        <f t="shared" si="40"/>
        <v>205.24998237949734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0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4.4000000000000004</v>
      </c>
      <c r="CT64" s="12">
        <f>IF('Données projet'!$A$140&gt;35,CT63+CS64-DB63,IF(A64&lt;'Données projet'!$A$140,$CQ$205^A64,IF(A64='Données projet'!$A$140,'Données projet'!$B$140,CT63+CS64-DB63)))</f>
        <v>177.39999999999998</v>
      </c>
      <c r="CU64" s="17">
        <f>CT64*VLOOKUP('Données projet'!$B$13,Paramètres!$A$1:$I$89,3,0)*VLOOKUP('Données projet'!$B$13,Paramètres!$A$1:$I$89,5,0)</f>
        <v>154.97664</v>
      </c>
      <c r="CV64" s="13">
        <f t="shared" si="41"/>
        <v>39.707387607123913</v>
      </c>
      <c r="CW64" s="20">
        <f t="shared" si="13"/>
        <v>339.07468141574077</v>
      </c>
      <c r="CX64" s="59">
        <f t="shared" si="14"/>
        <v>632.40801474907403</v>
      </c>
      <c r="CY64" s="59">
        <f ca="1">AVERAGE(OFFSET($CX$3,0,0,'Données projet'!$E$13+1,1))-AVERAGE(OFFSET($H$3,0,0,'Données projet'!$E$13+1,1))</f>
        <v>207.4513063267579</v>
      </c>
      <c r="CZ64" s="59">
        <f t="shared" si="42"/>
        <v>191.63513530247218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5.1130455303539772</v>
      </c>
      <c r="DG64" s="21">
        <f>EXP(-LN(2)/25)*DG63+(1-EXP(-LN(2)/25))/(LN(2)/25)*Calculateur!DB64*Calculateur!DD64*VLOOKUP('Données projet'!$B$13,Paramètres!$A$1:$I$89,3,0)*0.475*44/12</f>
        <v>12.532978883585834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17.646024413939813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66.814714696519275</v>
      </c>
      <c r="T65" s="59">
        <f t="shared" si="34"/>
        <v>199.56746335788068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20.593717307762425</v>
      </c>
      <c r="AA65" s="21">
        <f>EXP(-LN(2)/25)*AA64+(1-EXP(-LN(2)/25))/(LN(2)/25)*Calculateur!V65*Calculateur!X65*VLOOKUP('Données projet'!$B$9,Paramètres!$A$1:$I$89,3,0)*0.475*44/12</f>
        <v>3.151521032264855</v>
      </c>
      <c r="AB65" s="21">
        <f>EXP(-LN(2)/2)*AB64+(1-EXP(-LN(2)/2))/(LN(2)/2)*V65*Y65*VLOOKUP('Données projet'!$B$9,Paramètres!$A$1:$I$89,3,0)*0.475*44/12</f>
        <v>6.8768568506297869E-6</v>
      </c>
      <c r="AC65" s="22">
        <f t="shared" si="3"/>
        <v>23.745245216884133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6</v>
      </c>
      <c r="AI65" s="13">
        <f>IF('Données projet'!$A$62&gt;35,AI64+AH65-AQ64,IF(A65&lt;'Données projet'!$A$62,$AF$205^A65,IF(A65='Données projet'!$A$62,'Données projet'!$B$62,AI64+AH65-AQ64)))</f>
        <v>337.99999999999972</v>
      </c>
      <c r="AJ65" s="13">
        <f>AI65*VLOOKUP('Données projet'!$B$10,Paramètres!$A$1:$I$89,3,0)*VLOOKUP('Données projet'!$B$10,Paramètres!$A$1:$I$89,5,0)</f>
        <v>268.91279999999978</v>
      </c>
      <c r="AK65" s="13">
        <f t="shared" si="35"/>
        <v>64.618483855217065</v>
      </c>
      <c r="AL65" s="20">
        <f t="shared" si="4"/>
        <v>580.90031938116931</v>
      </c>
      <c r="AM65" s="59">
        <f t="shared" si="5"/>
        <v>874.23365271450257</v>
      </c>
      <c r="AN65" s="59">
        <f ca="1">AVERAGE(OFFSET($AM$3,0,0,'Données projet'!$E$10+1,1))-AVERAGE(OFFSET($H$3,0,0,'Données projet'!$E$10+1,1))</f>
        <v>325.72928944930294</v>
      </c>
      <c r="AO65" s="59">
        <f t="shared" si="36"/>
        <v>318.38876834819752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54.778825982658127</v>
      </c>
      <c r="AV65" s="21">
        <f>EXP(-LN(2)/25)*AV64+(1-EXP(-LN(2)/25))/(LN(2)/25)*Calculateur!AQ65*Calculateur!AS65*VLOOKUP('Données projet'!$B$10,Paramètres!$A$1:$I$89,3,0)*0.475*44/12</f>
        <v>10.051511442443344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64.830337425101476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5.8</v>
      </c>
      <c r="BD65" s="12">
        <f>IF('Données projet'!$A$88&gt;35,BD64+BC65-BL64,IF(A65&lt;'Données projet'!$A$88,$BA$205^A65,IF(A65='Données projet'!$A$88,'Données projet'!$B$88,BD64+BC65-BL64)))</f>
        <v>247.60000000000008</v>
      </c>
      <c r="BE65" s="13">
        <f>BD65*VLOOKUP('Données projet'!$B$11,Paramètres!$A$1:$I$89,3,0)*VLOOKUP('Données projet'!$B$11,Paramètres!$A$1:$I$89,5,0)</f>
        <v>162.22752000000006</v>
      </c>
      <c r="BF65" s="13">
        <f t="shared" si="37"/>
        <v>41.34453376038482</v>
      </c>
      <c r="BG65" s="20">
        <f t="shared" si="7"/>
        <v>354.554660299337</v>
      </c>
      <c r="BH65" s="59">
        <f t="shared" si="8"/>
        <v>647.88799363267026</v>
      </c>
      <c r="BI65" s="59">
        <f ca="1">AVERAGE(OFFSET($BH$3,0,0,'Données projet'!$E$11+1,1))-AVERAGE(OFFSET($H$3,0,0,'Données projet'!$E$11+1,1))</f>
        <v>209.40885738157152</v>
      </c>
      <c r="BJ65" s="59">
        <f t="shared" si="38"/>
        <v>230.15385333954697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0.71845402536667058</v>
      </c>
      <c r="BQ65" s="21">
        <f>EXP(-LN(2)/25)*BQ64+(1-EXP(-LN(2)/25))/(LN(2)/25)*Calculateur!BL65*Calculateur!BN65*VLOOKUP('Données projet'!$B$11,Paramètres!$A$1:$I$89,3,0)*0.475*44/12</f>
        <v>10.753434203842479</v>
      </c>
      <c r="BR65" s="21">
        <f>EXP(-LN(2)/2)*BR64+(1-EXP(-LN(2)/2))/(LN(2)/2)*BL65*BO65*VLOOKUP('Données projet'!$B$11,Paramètres!$A$1:$I$89,3,0)*0.475*44/12</f>
        <v>2.7309823465477612</v>
      </c>
      <c r="BS65" s="22">
        <f t="shared" si="9"/>
        <v>14.202870575756911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8.374198717948719</v>
      </c>
      <c r="BY65" s="12">
        <f>IF('Données projet'!$A$114&gt;35,BY64+BX65-CG64,IF(A65&lt;'Données projet'!$A$114,$BV$205^A65,IF(A65='Données projet'!$A$114,'Données projet'!$B$114,BY64+BX65-CG64)))</f>
        <v>211.91426282051293</v>
      </c>
      <c r="BZ65" s="13">
        <f>BY65*VLOOKUP('Données projet'!$B$12,Paramètres!$A$1:$I$89,3,0)*VLOOKUP('Données projet'!$B$12,Paramètres!$A$1:$I$89,5,0)</f>
        <v>191.74002500000009</v>
      </c>
      <c r="CA65" s="13">
        <f t="shared" si="39"/>
        <v>47.924443327659169</v>
      </c>
      <c r="CB65" s="20">
        <f t="shared" si="10"/>
        <v>417.41561567067316</v>
      </c>
      <c r="CC65" s="59">
        <f t="shared" si="11"/>
        <v>710.74894900400648</v>
      </c>
      <c r="CD65" s="59">
        <f ca="1">AVERAGE(OFFSET($CC$3,0,0,'Données projet'!$E$12+1,1))-AVERAGE(OFFSET($H$3,0,0,'Données projet'!$E$12+1,1))</f>
        <v>270.87836509222456</v>
      </c>
      <c r="CE65" s="59">
        <f t="shared" si="40"/>
        <v>205.24998237949734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0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4.4000000000000004</v>
      </c>
      <c r="CT65" s="12">
        <f>IF('Données projet'!$A$140&gt;35,CT64+CS65-DB64,IF(A65&lt;'Données projet'!$A$140,$CQ$205^A65,IF(A65='Données projet'!$A$140,'Données projet'!$B$140,CT64+CS65-DB64)))</f>
        <v>181.79999999999998</v>
      </c>
      <c r="CU65" s="17">
        <f>CT65*VLOOKUP('Données projet'!$B$13,Paramètres!$A$1:$I$89,3,0)*VLOOKUP('Données projet'!$B$13,Paramètres!$A$1:$I$89,5,0)</f>
        <v>158.82048</v>
      </c>
      <c r="CV65" s="13">
        <f t="shared" si="41"/>
        <v>40.57635691759311</v>
      </c>
      <c r="CW65" s="20">
        <f t="shared" si="13"/>
        <v>347.28282429814129</v>
      </c>
      <c r="CX65" s="59">
        <f t="shared" si="14"/>
        <v>640.61615763147461</v>
      </c>
      <c r="CY65" s="59">
        <f ca="1">AVERAGE(OFFSET($CX$3,0,0,'Données projet'!$E$13+1,1))-AVERAGE(OFFSET($H$3,0,0,'Données projet'!$E$13+1,1))</f>
        <v>207.4513063267579</v>
      </c>
      <c r="CZ65" s="59">
        <f t="shared" si="42"/>
        <v>191.63513530247218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5.0127818261535682</v>
      </c>
      <c r="DG65" s="21">
        <f>EXP(-LN(2)/25)*DG64+(1-EXP(-LN(2)/25))/(LN(2)/25)*Calculateur!DB65*Calculateur!DD65*VLOOKUP('Données projet'!$B$13,Paramètres!$A$1:$I$89,3,0)*0.475*44/12</f>
        <v>12.190263916933464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17.203045743087031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66.814714696519275</v>
      </c>
      <c r="T66" s="59">
        <f t="shared" si="34"/>
        <v>199.56746335788068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20.189887072284474</v>
      </c>
      <c r="AA66" s="21">
        <f>EXP(-LN(2)/25)*AA65+(1-EXP(-LN(2)/25))/(LN(2)/25)*Calculateur!V66*Calculateur!X66*VLOOKUP('Données projet'!$B$9,Paramètres!$A$1:$I$89,3,0)*0.475*44/12</f>
        <v>3.0653425239062844</v>
      </c>
      <c r="AB66" s="21">
        <f>EXP(-LN(2)/2)*AB65+(1-EXP(-LN(2)/2))/(LN(2)/2)*V66*Y66*VLOOKUP('Données projet'!$B$9,Paramètres!$A$1:$I$89,3,0)*0.475*44/12</f>
        <v>4.862672112329487E-6</v>
      </c>
      <c r="AC66" s="22">
        <f t="shared" si="3"/>
        <v>23.255234458862873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6</v>
      </c>
      <c r="AI66" s="13">
        <f>IF('Données projet'!$A$62&gt;35,AI65+AH66-AQ65,IF(A66&lt;'Données projet'!$A$62,$AF$205^A66,IF(A66='Données projet'!$A$62,'Données projet'!$B$62,AI65+AH66-AQ65)))</f>
        <v>343.99999999999972</v>
      </c>
      <c r="AJ66" s="13">
        <f>AI66*VLOOKUP('Données projet'!$B$10,Paramètres!$A$1:$I$89,3,0)*VLOOKUP('Données projet'!$B$10,Paramètres!$A$1:$I$89,5,0)</f>
        <v>273.68639999999976</v>
      </c>
      <c r="AK66" s="13">
        <f t="shared" si="35"/>
        <v>65.630997870536959</v>
      </c>
      <c r="AL66" s="20">
        <f t="shared" si="4"/>
        <v>590.97780129118485</v>
      </c>
      <c r="AM66" s="59">
        <f t="shared" si="5"/>
        <v>884.31113462451822</v>
      </c>
      <c r="AN66" s="59">
        <f ca="1">AVERAGE(OFFSET($AM$3,0,0,'Données projet'!$E$10+1,1))-AVERAGE(OFFSET($H$3,0,0,'Données projet'!$E$10+1,1))</f>
        <v>325.72928944930294</v>
      </c>
      <c r="AO66" s="59">
        <f t="shared" si="36"/>
        <v>318.38876834819752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53.704646616922908</v>
      </c>
      <c r="AV66" s="21">
        <f>EXP(-LN(2)/25)*AV65+(1-EXP(-LN(2)/25))/(LN(2)/25)*Calculateur!AQ66*Calculateur!AS66*VLOOKUP('Données projet'!$B$10,Paramètres!$A$1:$I$89,3,0)*0.475*44/12</f>
        <v>9.7766523334637174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63.481298950386623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5.8</v>
      </c>
      <c r="BD66" s="12">
        <f>IF('Données projet'!$A$88&gt;35,BD65+BC66-BL65,IF(A66&lt;'Données projet'!$A$88,$BA$205^A66,IF(A66='Données projet'!$A$88,'Données projet'!$B$88,BD65+BC66-BL65)))</f>
        <v>253.40000000000009</v>
      </c>
      <c r="BE66" s="13">
        <f>BD66*VLOOKUP('Données projet'!$B$11,Paramètres!$A$1:$I$89,3,0)*VLOOKUP('Données projet'!$B$11,Paramètres!$A$1:$I$89,5,0)</f>
        <v>166.02768000000006</v>
      </c>
      <c r="BF66" s="13">
        <f t="shared" si="37"/>
        <v>42.199135504117315</v>
      </c>
      <c r="BG66" s="20">
        <f t="shared" si="7"/>
        <v>362.66170366967111</v>
      </c>
      <c r="BH66" s="59">
        <f t="shared" si="8"/>
        <v>655.99503700300443</v>
      </c>
      <c r="BI66" s="59">
        <f ca="1">AVERAGE(OFFSET($BH$3,0,0,'Données projet'!$E$11+1,1))-AVERAGE(OFFSET($H$3,0,0,'Données projet'!$E$11+1,1))</f>
        <v>209.40885738157152</v>
      </c>
      <c r="BJ66" s="59">
        <f t="shared" si="38"/>
        <v>230.15385333954697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0.70436558014291561</v>
      </c>
      <c r="BQ66" s="21">
        <f>EXP(-LN(2)/25)*BQ65+(1-EXP(-LN(2)/25))/(LN(2)/25)*Calculateur!BL66*Calculateur!BN66*VLOOKUP('Données projet'!$B$11,Paramètres!$A$1:$I$89,3,0)*0.475*44/12</f>
        <v>10.45938098003988</v>
      </c>
      <c r="BR66" s="21">
        <f>EXP(-LN(2)/2)*BR65+(1-EXP(-LN(2)/2))/(LN(2)/2)*BL66*BO66*VLOOKUP('Données projet'!$B$11,Paramètres!$A$1:$I$89,3,0)*0.475*44/12</f>
        <v>1.9310961365446719</v>
      </c>
      <c r="BS66" s="22">
        <f t="shared" si="9"/>
        <v>13.094842696727468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>
        <f>VLOOKUP(A66,'Données projet'!$A$113:$I$133,2,0)</f>
        <v>220.28846153846152</v>
      </c>
      <c r="BW66" s="12">
        <f>VLOOKUP(A66,'Données projet'!$A$113:$I$133,9,0)</f>
        <v>8.374198717948719</v>
      </c>
      <c r="BX66" s="12">
        <f t="array" ref="BX66">INDEX(BW:BW,MIN(IF(ISNUMBER(BW66:BW262),ROW(BW66:BW262),"")))</f>
        <v>8.374198717948719</v>
      </c>
      <c r="BY66" s="12">
        <f>IF('Données projet'!$A$114&gt;35,BY65+BX66-CG65,IF(A66&lt;'Données projet'!$A$114,$BV$205^A66,IF(A66='Données projet'!$A$114,'Données projet'!$B$114,BY65+BX66-CG65)))</f>
        <v>220.28846153846166</v>
      </c>
      <c r="BZ66" s="13">
        <f>BY66*VLOOKUP('Données projet'!$B$12,Paramètres!$A$1:$I$89,3,0)*VLOOKUP('Données projet'!$B$12,Paramètres!$A$1:$I$89,5,0)</f>
        <v>199.31700000000009</v>
      </c>
      <c r="CA66" s="13">
        <f t="shared" si="39"/>
        <v>49.594035126387503</v>
      </c>
      <c r="CB66" s="20">
        <f t="shared" si="10"/>
        <v>433.52005284512506</v>
      </c>
      <c r="CC66" s="59">
        <f t="shared" si="11"/>
        <v>726.85338617845832</v>
      </c>
      <c r="CD66" s="59">
        <f ca="1">AVERAGE(OFFSET($CC$3,0,0,'Données projet'!$E$12+1,1))-AVERAGE(OFFSET($H$3,0,0,'Données projet'!$E$12+1,1))</f>
        <v>270.87836509222456</v>
      </c>
      <c r="CE66" s="59">
        <f t="shared" si="40"/>
        <v>205.24998237949734</v>
      </c>
      <c r="CF66" s="15">
        <f>IF(ISNA(VLOOKUP(A66,'Données projet'!$A$113:$I$133,3,0)),0,VLOOKUP(A66,'Données projet'!$A$113:$I$133,3,0))</f>
        <v>5</v>
      </c>
      <c r="CG66" s="15">
        <f>IF(ISNA(VLOOKUP(A66,'Données projet'!$A$113:$I$133,4,0)),0,VLOOKUP(A66,'Données projet'!$A$113:$I$133,4,0))</f>
        <v>41.724358974358978</v>
      </c>
      <c r="CH66" s="16">
        <f>IF(ISNA(VLOOKUP(A66,'Données projet'!$A$113:$I$133,5,0)),0%,VLOOKUP(A66,'Données projet'!$A$113:$I$133,5,0)*VLOOKUP('Données projet'!$B$12,Paramètres!$A$1:$I$89,7,0))</f>
        <v>0.30099999999999999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12.561915597523354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12.561915597523354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4.4000000000000004</v>
      </c>
      <c r="CT66" s="12">
        <f>IF('Données projet'!$A$140&gt;35,CT65+CS66-DB65,IF(A66&lt;'Données projet'!$A$140,$CQ$205^A66,IF(A66='Données projet'!$A$140,'Données projet'!$B$140,CT65+CS66-DB65)))</f>
        <v>186.2</v>
      </c>
      <c r="CU66" s="17">
        <f>CT66*VLOOKUP('Données projet'!$B$13,Paramètres!$A$1:$I$89,3,0)*VLOOKUP('Données projet'!$B$13,Paramètres!$A$1:$I$89,5,0)</f>
        <v>162.66432</v>
      </c>
      <c r="CV66" s="13">
        <f t="shared" si="41"/>
        <v>41.442881393745317</v>
      </c>
      <c r="CW66" s="20">
        <f t="shared" si="13"/>
        <v>355.4867090941064</v>
      </c>
      <c r="CX66" s="59">
        <f t="shared" si="14"/>
        <v>648.82004242743972</v>
      </c>
      <c r="CY66" s="59">
        <f ca="1">AVERAGE(OFFSET($CX$3,0,0,'Données projet'!$E$13+1,1))-AVERAGE(OFFSET($H$3,0,0,'Données projet'!$E$13+1,1))</f>
        <v>207.4513063267579</v>
      </c>
      <c r="CZ66" s="59">
        <f t="shared" si="42"/>
        <v>191.63513530247218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4.914484232037708</v>
      </c>
      <c r="DG66" s="21">
        <f>EXP(-LN(2)/25)*DG65+(1-EXP(-LN(2)/25))/(LN(2)/25)*Calculateur!DB66*Calculateur!DD66*VLOOKUP('Données projet'!$B$13,Paramètres!$A$1:$I$89,3,0)*0.475*44/12</f>
        <v>11.8569205090668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16.771404741104508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66.814714696519275</v>
      </c>
      <c r="T67" s="59">
        <f t="shared" si="34"/>
        <v>199.56746335788068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19.793975701412123</v>
      </c>
      <c r="AA67" s="21">
        <f>EXP(-LN(2)/25)*AA66+(1-EXP(-LN(2)/25))/(LN(2)/25)*Calculateur!V67*Calculateur!X67*VLOOKUP('Données projet'!$B$9,Paramètres!$A$1:$I$89,3,0)*0.475*44/12</f>
        <v>2.9815205713907096</v>
      </c>
      <c r="AB67" s="21">
        <f>EXP(-LN(2)/2)*AB66+(1-EXP(-LN(2)/2))/(LN(2)/2)*V67*Y67*VLOOKUP('Données projet'!$B$9,Paramètres!$A$1:$I$89,3,0)*0.475*44/12</f>
        <v>3.4384284253148935E-6</v>
      </c>
      <c r="AC67" s="22">
        <f t="shared" si="3"/>
        <v>22.775499711231259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6</v>
      </c>
      <c r="AI67" s="13">
        <f>IF('Données projet'!$A$62&gt;35,AI66+AH67-AQ66,IF(A67&lt;'Données projet'!$A$62,$AF$205^A67,IF(A67='Données projet'!$A$62,'Données projet'!$B$62,AI66+AH67-AQ66)))</f>
        <v>349.99999999999972</v>
      </c>
      <c r="AJ67" s="13">
        <f>AI67*VLOOKUP('Données projet'!$B$10,Paramètres!$A$1:$I$89,3,0)*VLOOKUP('Données projet'!$B$10,Paramètres!$A$1:$I$89,5,0)</f>
        <v>278.45999999999981</v>
      </c>
      <c r="AK67" s="13">
        <f t="shared" si="35"/>
        <v>66.641458222154824</v>
      </c>
      <c r="AL67" s="20">
        <f t="shared" si="4"/>
        <v>601.05170640358597</v>
      </c>
      <c r="AM67" s="59">
        <f t="shared" si="5"/>
        <v>894.38503973691923</v>
      </c>
      <c r="AN67" s="59">
        <f ca="1">AVERAGE(OFFSET($AM$3,0,0,'Données projet'!$E$10+1,1))-AVERAGE(OFFSET($H$3,0,0,'Données projet'!$E$10+1,1))</f>
        <v>325.72928944930294</v>
      </c>
      <c r="AO67" s="59">
        <f t="shared" si="36"/>
        <v>318.38876834819752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52.651531253365043</v>
      </c>
      <c r="AV67" s="21">
        <f>EXP(-LN(2)/25)*AV66+(1-EXP(-LN(2)/25))/(LN(2)/25)*Calculateur!AQ67*Calculateur!AS67*VLOOKUP('Données projet'!$B$10,Paramètres!$A$1:$I$89,3,0)*0.475*44/12</f>
        <v>9.5093092612733514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62.160840514638394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5.8</v>
      </c>
      <c r="BD67" s="12">
        <f>IF('Données projet'!$A$88&gt;35,BD66+BC67-BL66,IF(A67&lt;'Données projet'!$A$88,$BA$205^A67,IF(A67='Données projet'!$A$88,'Données projet'!$B$88,BD66+BC67-BL66)))</f>
        <v>259.2000000000001</v>
      </c>
      <c r="BE67" s="13">
        <f>BD67*VLOOKUP('Données projet'!$B$11,Paramètres!$A$1:$I$89,3,0)*VLOOKUP('Données projet'!$B$11,Paramètres!$A$1:$I$89,5,0)</f>
        <v>169.82784000000007</v>
      </c>
      <c r="BF67" s="13">
        <f t="shared" si="37"/>
        <v>43.051463198873812</v>
      </c>
      <c r="BG67" s="20">
        <f t="shared" si="7"/>
        <v>370.76478640470532</v>
      </c>
      <c r="BH67" s="59">
        <f t="shared" si="8"/>
        <v>664.09811973803858</v>
      </c>
      <c r="BI67" s="59">
        <f ca="1">AVERAGE(OFFSET($BH$3,0,0,'Données projet'!$E$11+1,1))-AVERAGE(OFFSET($H$3,0,0,'Données projet'!$E$11+1,1))</f>
        <v>209.40885738157152</v>
      </c>
      <c r="BJ67" s="59">
        <f t="shared" si="38"/>
        <v>230.15385333954697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0.69055340073689542</v>
      </c>
      <c r="BQ67" s="21">
        <f>EXP(-LN(2)/25)*BQ66+(1-EXP(-LN(2)/25))/(LN(2)/25)*Calculateur!BL67*Calculateur!BN67*VLOOKUP('Données projet'!$B$11,Paramètres!$A$1:$I$89,3,0)*0.475*44/12</f>
        <v>10.173368657105749</v>
      </c>
      <c r="BR67" s="21">
        <f>EXP(-LN(2)/2)*BR66+(1-EXP(-LN(2)/2))/(LN(2)/2)*BL67*BO67*VLOOKUP('Données projet'!$B$11,Paramètres!$A$1:$I$89,3,0)*0.475*44/12</f>
        <v>1.3654911732738808</v>
      </c>
      <c r="BS67" s="22">
        <f t="shared" si="9"/>
        <v>12.229413231116526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8.1001602564102626</v>
      </c>
      <c r="BY67" s="12">
        <f>IF('Données projet'!$A$114&gt;35,BY66+BX67-CG66,IF(A67&lt;'Données projet'!$A$114,$BV$205^A67,IF(A67='Données projet'!$A$114,'Données projet'!$B$114,BY66+BX67-CG66)))</f>
        <v>186.66426282051296</v>
      </c>
      <c r="BZ67" s="13">
        <f>BY67*VLOOKUP('Données projet'!$B$12,Paramètres!$A$1:$I$89,3,0)*VLOOKUP('Données projet'!$B$12,Paramètres!$A$1:$I$89,5,0)</f>
        <v>168.89382500000013</v>
      </c>
      <c r="CA67" s="13">
        <f t="shared" si="39"/>
        <v>42.842183132845896</v>
      </c>
      <c r="CB67" s="20">
        <f t="shared" si="10"/>
        <v>368.77354749804016</v>
      </c>
      <c r="CC67" s="59">
        <f t="shared" si="11"/>
        <v>662.10688083137347</v>
      </c>
      <c r="CD67" s="59">
        <f ca="1">AVERAGE(OFFSET($CC$3,0,0,'Données projet'!$E$12+1,1))-AVERAGE(OFFSET($H$3,0,0,'Données projet'!$E$12+1,1))</f>
        <v>270.87836509222456</v>
      </c>
      <c r="CE67" s="59">
        <f t="shared" si="40"/>
        <v>205.24998237949734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12.315584094667875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12.315584094667875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4.4000000000000004</v>
      </c>
      <c r="CT67" s="12">
        <f>IF('Données projet'!$A$140&gt;35,CT66+CS67-DB66,IF(A67&lt;'Données projet'!$A$140,$CQ$205^A67,IF(A67='Données projet'!$A$140,'Données projet'!$B$140,CT66+CS67-DB66)))</f>
        <v>190.6</v>
      </c>
      <c r="CU67" s="17">
        <f>CT67*VLOOKUP('Données projet'!$B$13,Paramètres!$A$1:$I$89,3,0)*VLOOKUP('Données projet'!$B$13,Paramètres!$A$1:$I$89,5,0)</f>
        <v>166.50816</v>
      </c>
      <c r="CV67" s="13">
        <f t="shared" si="41"/>
        <v>42.307025456487715</v>
      </c>
      <c r="CW67" s="20">
        <f t="shared" si="13"/>
        <v>363.68644800338274</v>
      </c>
      <c r="CX67" s="59">
        <f t="shared" si="14"/>
        <v>657.01978133671605</v>
      </c>
      <c r="CY67" s="59">
        <f ca="1">AVERAGE(OFFSET($CX$3,0,0,'Données projet'!$E$13+1,1))-AVERAGE(OFFSET($H$3,0,0,'Données projet'!$E$13+1,1))</f>
        <v>207.4513063267579</v>
      </c>
      <c r="CZ67" s="59">
        <f t="shared" si="42"/>
        <v>191.63513530247218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4.8181141937868475</v>
      </c>
      <c r="DG67" s="21">
        <f>EXP(-LN(2)/25)*DG66+(1-EXP(-LN(2)/25))/(LN(2)/25)*Calculateur!DB67*Calculateur!DD67*VLOOKUP('Données projet'!$B$13,Paramètres!$A$1:$I$89,3,0)*0.475*44/12</f>
        <v>11.532692394218017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16.350806588004865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66.814714696519275</v>
      </c>
      <c r="T68" s="59">
        <f t="shared" si="34"/>
        <v>199.56746335788068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19.405827911040486</v>
      </c>
      <c r="AA68" s="21">
        <f>EXP(-LN(2)/25)*AA67+(1-EXP(-LN(2)/25))/(LN(2)/25)*Calculateur!V68*Calculateur!X68*VLOOKUP('Données projet'!$B$9,Paramètres!$A$1:$I$89,3,0)*0.475*44/12</f>
        <v>2.8999907345746783</v>
      </c>
      <c r="AB68" s="21">
        <f>EXP(-LN(2)/2)*AB67+(1-EXP(-LN(2)/2))/(LN(2)/2)*V68*Y68*VLOOKUP('Données projet'!$B$9,Paramètres!$A$1:$I$89,3,0)*0.475*44/12</f>
        <v>2.4313360561647435E-6</v>
      </c>
      <c r="AC68" s="22">
        <f t="shared" ref="AC68:AC131" si="57">SUM(Z68:AB68)</f>
        <v>22.305821076951222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356</v>
      </c>
      <c r="AG68" s="12">
        <f>VLOOKUP(A68,'Données projet'!$A$61:$I$81,9,0)</f>
        <v>6</v>
      </c>
      <c r="AH68" s="12">
        <f t="array" ref="AH68">INDEX(AG:AG,MIN(IF(ISNUMBER(AG68:AG264),ROW(AG68:AG264),"")))</f>
        <v>6</v>
      </c>
      <c r="AI68" s="13">
        <f>IF('Données projet'!$A$62&gt;35,AI67+AH68-AQ67,IF(A68&lt;'Données projet'!$A$62,$AF$205^A68,IF(A68='Données projet'!$A$62,'Données projet'!$B$62,AI67+AH68-AQ67)))</f>
        <v>355.99999999999972</v>
      </c>
      <c r="AJ68" s="13">
        <f>AI68*VLOOKUP('Données projet'!$B$10,Paramètres!$A$1:$I$89,3,0)*VLOOKUP('Données projet'!$B$10,Paramètres!$A$1:$I$89,5,0)</f>
        <v>283.2335999999998</v>
      </c>
      <c r="AK68" s="13">
        <f t="shared" si="35"/>
        <v>67.649904178362377</v>
      </c>
      <c r="AL68" s="20">
        <f t="shared" ref="AL68:AL131" si="58">(AJ68+AK68)*0.475*44/12</f>
        <v>611.12210311064734</v>
      </c>
      <c r="AM68" s="59">
        <f t="shared" ref="AM68:AM131" si="59">AL68+(AD68+AE68)*44/12</f>
        <v>904.45543644398072</v>
      </c>
      <c r="AN68" s="59">
        <f ca="1">AVERAGE(OFFSET($AM$3,0,0,'Données projet'!$E$10+1,1))-AVERAGE(OFFSET($H$3,0,0,'Données projet'!$E$10+1,1))</f>
        <v>325.72928944930294</v>
      </c>
      <c r="AO68" s="59">
        <f t="shared" si="36"/>
        <v>318.38876834819752</v>
      </c>
      <c r="AP68" s="15">
        <f>IF(ISNA(VLOOKUP(A68,'Données projet'!$A$61:$I$81,3,0)),0,VLOOKUP(A68,'Données projet'!$A$61:$I$81,3,0))</f>
        <v>12</v>
      </c>
      <c r="AQ68" s="15">
        <f>IF(ISNA(VLOOKUP(A68,'Données projet'!$A$61:$I$81,4,0)),0,VLOOKUP(A68,'Données projet'!$A$61:$I$81,4,0))</f>
        <v>16</v>
      </c>
      <c r="AR68" s="16">
        <f>IF(ISNA(VLOOKUP(A68,'Données projet'!$A$61:$I$81,5,0)),0%,VLOOKUP(A68,'Données projet'!$A$61:$I$81,5,0)*VLOOKUP('Données projet'!$B$10,Paramètres!$A$1:$I$89,7,0))</f>
        <v>0.49819999999999998</v>
      </c>
      <c r="AS68" s="16">
        <f>IF(ISNA(VLOOKUP(A68,'Données projet'!$A$61:$I$81,6,0)),0%,VLOOKUP(A68,'Données projet'!$A$61:$I$81,6,0)*VLOOKUP('Données projet'!$B$10,Paramètres!$A$1:$I$89,7,0))</f>
        <v>3.1800000000000002E-2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58.629834759062973</v>
      </c>
      <c r="AV68" s="21">
        <f>EXP(-LN(2)/25)*AV67+(1-EXP(-LN(2)/25))/(LN(2)/25)*Calculateur!AQ68*Calculateur!AS68*VLOOKUP('Données projet'!$B$10,Paramètres!$A$1:$I$89,3,0)*0.475*44/12</f>
        <v>9.6950105625171421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68.324845321580113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265</v>
      </c>
      <c r="BB68" s="12">
        <f>VLOOKUP(A68,'Données projet'!$A$87:$I$107,9,0)</f>
        <v>5.8</v>
      </c>
      <c r="BC68" s="12">
        <f t="array" ref="BC68">INDEX(BB:BB,MIN(IF(ISNUMBER(BB68:BB264),ROW(BB68:BB264),"")))</f>
        <v>5.8</v>
      </c>
      <c r="BD68" s="12">
        <f>IF('Données projet'!$A$88&gt;35,BD67+BC68-BL67,IF(A68&lt;'Données projet'!$A$88,$BA$205^A68,IF(A68='Données projet'!$A$88,'Données projet'!$B$88,BD67+BC68-BL67)))</f>
        <v>265.00000000000011</v>
      </c>
      <c r="BE68" s="13">
        <f>BD68*VLOOKUP('Données projet'!$B$11,Paramètres!$A$1:$I$89,3,0)*VLOOKUP('Données projet'!$B$11,Paramètres!$A$1:$I$89,5,0)</f>
        <v>173.62800000000007</v>
      </c>
      <c r="BF68" s="13">
        <f t="shared" si="37"/>
        <v>43.901573588714463</v>
      </c>
      <c r="BG68" s="20">
        <f t="shared" ref="BG68:BG131" si="61">(BE68+BF68)*0.475*44/12</f>
        <v>378.86400733367782</v>
      </c>
      <c r="BH68" s="59">
        <f t="shared" ref="BH68:BH131" si="62">BG68+(AY68+AZ68)*44/12</f>
        <v>672.19734066701108</v>
      </c>
      <c r="BI68" s="59">
        <f ca="1">AVERAGE(OFFSET($BH$3,0,0,'Données projet'!$E$11+1,1))-AVERAGE(OFFSET($H$3,0,0,'Données projet'!$E$11+1,1))</f>
        <v>209.40885738157152</v>
      </c>
      <c r="BJ68" s="59">
        <f t="shared" si="38"/>
        <v>230.15385333954697</v>
      </c>
      <c r="BK68" s="15">
        <f>IF(ISNA(VLOOKUP(A68,'Données projet'!$A$87:$I$107,3,0)),0,VLOOKUP(A68,'Données projet'!$A$87:$I$107,3,0))</f>
        <v>12</v>
      </c>
      <c r="BL68" s="15" t="str">
        <f>IF(ISNA(VLOOKUP(A68,'Données projet'!$A$87:$I$107,4,0)),0,VLOOKUP(A68,'Données projet'!$A$87:$I$107,4,0))</f>
        <v>22</v>
      </c>
      <c r="BM68" s="16">
        <f>IF(ISNA(VLOOKUP(A68,'Données projet'!$A$87:$I$107,5,0)),0%,VLOOKUP(A68,'Données projet'!$A$87:$I$107,5,0)*VLOOKUP('Données projet'!$B$11,Paramètres!$A$1:$I$89,7,0))</f>
        <v>4.3000000000000003E-2</v>
      </c>
      <c r="BN68" s="16">
        <f>IF(ISNA(VLOOKUP(A68,'Données projet'!$A$87:$I$107,6,0)),0%,VLOOKUP(A68,'Données projet'!$A$87:$I$107,6,0)*VLOOKUP('Données projet'!$B$11,Paramètres!$A$1:$I$89,7,0))</f>
        <v>0.17200000000000001</v>
      </c>
      <c r="BO68" s="16">
        <f>IF(ISNA(VLOOKUP(A68,'Données projet'!$A$87:$I$107,7,0)),0%,VLOOKUP(A68,'Données projet'!$A$87:$I$107,7,0))</f>
        <v>0.3</v>
      </c>
      <c r="BP68" s="21">
        <f>EXP(-LN(2)/35)*BP67+(1-EXP(-LN(2)/35))/(LN(2)/35)*BL68*BM68*VLOOKUP('Données projet'!$B$11,Paramètres!$A$1:$I$89,3,0)*0.475*44/12</f>
        <v>1.3622038360102393</v>
      </c>
      <c r="BQ68" s="21">
        <f>EXP(-LN(2)/25)*BQ67+(1-EXP(-LN(2)/25))/(LN(2)/25)*Calculateur!BL68*Calculateur!BN68*VLOOKUP('Données projet'!$B$11,Paramètres!$A$1:$I$89,3,0)*0.475*44/12</f>
        <v>12.625152976996945</v>
      </c>
      <c r="BR68" s="21">
        <f>EXP(-LN(2)/2)*BR67+(1-EXP(-LN(2)/2))/(LN(2)/2)*BL68*BO68*VLOOKUP('Données projet'!$B$11,Paramètres!$A$1:$I$89,3,0)*0.475*44/12</f>
        <v>5.0456603756387084</v>
      </c>
      <c r="BS68" s="22">
        <f t="shared" ref="BS68:BS131" si="63">SUM(BP68:BR68)</f>
        <v>19.033017188645893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8.1001602564102626</v>
      </c>
      <c r="BY68" s="12">
        <f>IF('Données projet'!$A$114&gt;35,BY67+BX68-CG67,IF(A68&lt;'Données projet'!$A$114,$BV$205^A68,IF(A68='Données projet'!$A$114,'Données projet'!$B$114,BY67+BX68-CG67)))</f>
        <v>194.76442307692321</v>
      </c>
      <c r="BZ68" s="13">
        <f>BY68*VLOOKUP('Données projet'!$B$12,Paramètres!$A$1:$I$89,3,0)*VLOOKUP('Données projet'!$B$12,Paramètres!$A$1:$I$89,5,0)</f>
        <v>176.22285000000011</v>
      </c>
      <c r="CA68" s="13">
        <f t="shared" si="39"/>
        <v>44.480805480154558</v>
      </c>
      <c r="CB68" s="20">
        <f t="shared" ref="CB68:CB131" si="64">(BZ68+CA68)*0.475*44/12</f>
        <v>384.3921999612694</v>
      </c>
      <c r="CC68" s="59">
        <f t="shared" ref="CC68:CC131" si="65">CB68+(BT68+BU68)*44/12</f>
        <v>677.72553329460266</v>
      </c>
      <c r="CD68" s="59">
        <f ca="1">AVERAGE(OFFSET($CC$3,0,0,'Données projet'!$E$12+1,1))-AVERAGE(OFFSET($H$3,0,0,'Données projet'!$E$12+1,1))</f>
        <v>270.87836509222456</v>
      </c>
      <c r="CE68" s="59">
        <f t="shared" si="40"/>
        <v>205.24998237949734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12.07408300233601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12.07408300233601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195</v>
      </c>
      <c r="CR68" s="12">
        <f>VLOOKUP(A68,'Données projet'!$A$139:$I$159,9,0)</f>
        <v>4.4000000000000004</v>
      </c>
      <c r="CS68" s="12">
        <f t="array" ref="CS68">INDEX(CR:CR,MIN(IF(ISNUMBER(CR68:CR264),ROW(CR68:CR264),"")))</f>
        <v>4.4000000000000004</v>
      </c>
      <c r="CT68" s="12">
        <f>IF('Données projet'!$A$140&gt;35,CT67+CS68-DB67,IF(A68&lt;'Données projet'!$A$140,$CQ$205^A68,IF(A68='Données projet'!$A$140,'Données projet'!$B$140,CT67+CS68-DB67)))</f>
        <v>195</v>
      </c>
      <c r="CU68" s="17">
        <f>CT68*VLOOKUP('Données projet'!$B$13,Paramètres!$A$1:$I$89,3,0)*VLOOKUP('Données projet'!$B$13,Paramètres!$A$1:$I$89,5,0)</f>
        <v>170.35200000000003</v>
      </c>
      <c r="CV68" s="13">
        <f t="shared" si="41"/>
        <v>43.168850382694487</v>
      </c>
      <c r="CW68" s="20">
        <f t="shared" ref="CW68:CW131" si="67">(CU68+CV68)*0.475*44/12</f>
        <v>371.88214774985954</v>
      </c>
      <c r="CX68" s="59">
        <f t="shared" ref="CX68:CX131" si="68">CW68+(CO68+CP68)*44/12</f>
        <v>665.2154810831928</v>
      </c>
      <c r="CY68" s="59">
        <f ca="1">AVERAGE(OFFSET($CX$3,0,0,'Données projet'!$E$13+1,1))-AVERAGE(OFFSET($H$3,0,0,'Données projet'!$E$13+1,1))</f>
        <v>207.4513063267579</v>
      </c>
      <c r="CZ68" s="59">
        <f t="shared" si="42"/>
        <v>191.63513530247218</v>
      </c>
      <c r="DA68" s="15">
        <f>IF(ISNA(VLOOKUP(A68,'Données projet'!$A$139:$I$159,3,0)),0,VLOOKUP(A68,'Données projet'!$A$139:$I$159,3,0))</f>
        <v>10</v>
      </c>
      <c r="DB68" s="15" t="str">
        <f>IF(ISNA(VLOOKUP(A68,'Données projet'!$A$139:$I$159,4,0)),0,VLOOKUP(A68,'Données projet'!$A$139:$I$159,4,0))</f>
        <v>15</v>
      </c>
      <c r="DC68" s="16">
        <f>IF(ISNA(VLOOKUP(A68,'Données projet'!$A$139:$I$159,5,0)),0%,VLOOKUP(A68,'Données projet'!$A$139:$I$159,5,0)*VLOOKUP('Données projet'!$B$13,Paramètres!$A$1:$I$89,7,0))</f>
        <v>0.17200000000000001</v>
      </c>
      <c r="DD68" s="16">
        <f>IF(ISNA(VLOOKUP(A68,'Données projet'!$A$139:$I$159,6,0)),0%,VLOOKUP(A68,'Données projet'!$A$139:$I$159,6,0)*VLOOKUP('Données projet'!$B$13,Paramètres!$A$1:$I$89,7,0))</f>
        <v>0.17200000000000001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7.215240335990929</v>
      </c>
      <c r="DG68" s="21">
        <f>EXP(-LN(2)/25)*DG67+(1-EXP(-LN(2)/25))/(LN(2)/25)*Calculateur!DB68*Calculateur!DD68*VLOOKUP('Données projet'!$B$13,Paramètres!$A$1:$I$89,3,0)*0.475*44/12</f>
        <v>13.699126333141974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20.914366669132903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66.814714696519275</v>
      </c>
      <c r="T69" s="59">
        <f t="shared" ref="T69:T132" si="88">$T$3</f>
        <v>199.56746335788068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19.025291462091261</v>
      </c>
      <c r="AA69" s="21">
        <f>EXP(-LN(2)/25)*AA68+(1-EXP(-LN(2)/25))/(LN(2)/25)*Calculateur!V69*Calculateur!X69*VLOOKUP('Données projet'!$B$9,Paramètres!$A$1:$I$89,3,0)*0.475*44/12</f>
        <v>2.8206903354338491</v>
      </c>
      <c r="AB69" s="21">
        <f>EXP(-LN(2)/2)*AB68+(1-EXP(-LN(2)/2))/(LN(2)/2)*V69*Y69*VLOOKUP('Données projet'!$B$9,Paramètres!$A$1:$I$89,3,0)*0.475*44/12</f>
        <v>1.7192142126574467E-6</v>
      </c>
      <c r="AC69" s="22">
        <f t="shared" si="57"/>
        <v>21.84598351673932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5.2</v>
      </c>
      <c r="AI69" s="13">
        <f>IF('Données projet'!$A$62&gt;35,AI68+AH69-AQ68,IF(A69&lt;'Données projet'!$A$62,$AF$205^A69,IF(A69='Données projet'!$A$62,'Données projet'!$B$62,AI68+AH69-AQ68)))</f>
        <v>345.1999999999997</v>
      </c>
      <c r="AJ69" s="13">
        <f>AI69*VLOOKUP('Données projet'!$B$10,Paramètres!$A$1:$I$89,3,0)*VLOOKUP('Données projet'!$B$10,Paramètres!$A$1:$I$89,5,0)</f>
        <v>274.64111999999977</v>
      </c>
      <c r="AK69" s="13">
        <f t="shared" ref="AK69:AK132" si="89">EXP(-1.0587+0.8836*LN(AJ69)+0.284)</f>
        <v>65.833252956609641</v>
      </c>
      <c r="AL69" s="20">
        <f t="shared" si="58"/>
        <v>592.99286623276123</v>
      </c>
      <c r="AM69" s="59">
        <f t="shared" si="59"/>
        <v>886.3261995660946</v>
      </c>
      <c r="AN69" s="59">
        <f ca="1">AVERAGE(OFFSET($AM$3,0,0,'Données projet'!$E$10+1,1))-AVERAGE(OFFSET($H$3,0,0,'Données projet'!$E$10+1,1))</f>
        <v>325.72928944930294</v>
      </c>
      <c r="AO69" s="59">
        <f t="shared" ref="AO69:AO132" si="90">$AO$3</f>
        <v>318.38876834819752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57.480139460105882</v>
      </c>
      <c r="AV69" s="21">
        <f>EXP(-LN(2)/25)*AV68+(1-EXP(-LN(2)/25))/(LN(2)/25)*Calculateur!AQ69*Calculateur!AS69*VLOOKUP('Données projet'!$B$10,Paramètres!$A$1:$I$89,3,0)*0.475*44/12</f>
        <v>9.4298999888466639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66.910039448952546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5.4</v>
      </c>
      <c r="BD69" s="12">
        <f>IF('Données projet'!$A$88&gt;35,BD68+BC69-BL68,IF(A69&lt;'Données projet'!$A$88,$BA$205^A69,IF(A69='Données projet'!$A$88,'Données projet'!$B$88,BD68+BC69-BL68)))</f>
        <v>248.40000000000009</v>
      </c>
      <c r="BE69" s="13">
        <f>BD69*VLOOKUP('Données projet'!$B$11,Paramètres!$A$1:$I$89,3,0)*VLOOKUP('Données projet'!$B$11,Paramètres!$A$1:$I$89,5,0)</f>
        <v>162.75168000000005</v>
      </c>
      <c r="BF69" s="13">
        <f t="shared" ref="BF69:BF132" si="91">EXP(-1.0587+0.8836*LN(BE69)+0.284)</f>
        <v>41.462547229213008</v>
      </c>
      <c r="BG69" s="20">
        <f t="shared" si="61"/>
        <v>355.67311242421277</v>
      </c>
      <c r="BH69" s="59">
        <f t="shared" si="62"/>
        <v>649.00644575754609</v>
      </c>
      <c r="BI69" s="59">
        <f ca="1">AVERAGE(OFFSET($BH$3,0,0,'Données projet'!$E$11+1,1))-AVERAGE(OFFSET($H$3,0,0,'Données projet'!$E$11+1,1))</f>
        <v>209.40885738157152</v>
      </c>
      <c r="BJ69" s="59">
        <f t="shared" ref="BJ69:BJ132" si="92">$BJ$3</f>
        <v>230.15385333954697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1.3354918496483776</v>
      </c>
      <c r="BQ69" s="21">
        <f>EXP(-LN(2)/25)*BQ68+(1-EXP(-LN(2)/25))/(LN(2)/25)*Calculateur!BL69*Calculateur!BN69*VLOOKUP('Données projet'!$B$11,Paramètres!$A$1:$I$89,3,0)*0.475*44/12</f>
        <v>12.279917504913024</v>
      </c>
      <c r="BR69" s="21">
        <f>EXP(-LN(2)/2)*BR68+(1-EXP(-LN(2)/2))/(LN(2)/2)*BL69*BO69*VLOOKUP('Données projet'!$B$11,Paramètres!$A$1:$I$89,3,0)*0.475*44/12</f>
        <v>3.5678206671783936</v>
      </c>
      <c r="BS69" s="22">
        <f t="shared" si="63"/>
        <v>17.183230021739796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8.1001602564102626</v>
      </c>
      <c r="BY69" s="12">
        <f>IF('Données projet'!$A$114&gt;35,BY68+BX69-CG68,IF(A69&lt;'Données projet'!$A$114,$BV$205^A69,IF(A69='Données projet'!$A$114,'Données projet'!$B$114,BY68+BX69-CG68)))</f>
        <v>202.86458333333348</v>
      </c>
      <c r="BZ69" s="13">
        <f>BY69*VLOOKUP('Données projet'!$B$12,Paramètres!$A$1:$I$89,3,0)*VLOOKUP('Données projet'!$B$12,Paramètres!$A$1:$I$89,5,0)</f>
        <v>183.55187500000014</v>
      </c>
      <c r="CA69" s="13">
        <f t="shared" ref="CA69:CA132" si="93">EXP(-1.0587+0.8836*LN(BZ69)+0.284)</f>
        <v>46.11151198237242</v>
      </c>
      <c r="CB69" s="20">
        <f t="shared" si="64"/>
        <v>399.99706566096552</v>
      </c>
      <c r="CC69" s="59">
        <f t="shared" si="65"/>
        <v>693.33039899429878</v>
      </c>
      <c r="CD69" s="59">
        <f ca="1">AVERAGE(OFFSET($CC$3,0,0,'Données projet'!$E$12+1,1))-AVERAGE(OFFSET($H$3,0,0,'Données projet'!$E$12+1,1))</f>
        <v>270.87836509222456</v>
      </c>
      <c r="CE69" s="59">
        <f t="shared" ref="CE69:CE132" si="94">$CE$3</f>
        <v>205.24998237949734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11.837317599123653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11.837317599123653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4.2</v>
      </c>
      <c r="CT69" s="12">
        <f>IF('Données projet'!$A$140&gt;35,CT68+CS69-DB68,IF(A69&lt;'Données projet'!$A$140,$CQ$205^A69,IF(A69='Données projet'!$A$140,'Données projet'!$B$140,CT68+CS69-DB68)))</f>
        <v>184.2</v>
      </c>
      <c r="CU69" s="17">
        <f>CT69*VLOOKUP('Données projet'!$B$13,Paramètres!$A$1:$I$89,3,0)*VLOOKUP('Données projet'!$B$13,Paramètres!$A$1:$I$89,5,0)</f>
        <v>160.91712000000001</v>
      </c>
      <c r="CV69" s="13">
        <f t="shared" ref="CV69:CV132" si="95">EXP(-1.0587+0.8836*LN(CU69)+0.284)</f>
        <v>41.049305520788089</v>
      </c>
      <c r="CW69" s="20">
        <f t="shared" si="67"/>
        <v>351.75819111537254</v>
      </c>
      <c r="CX69" s="59">
        <f t="shared" si="68"/>
        <v>645.09152444870585</v>
      </c>
      <c r="CY69" s="59">
        <f ca="1">AVERAGE(OFFSET($CX$3,0,0,'Données projet'!$E$13+1,1))-AVERAGE(OFFSET($H$3,0,0,'Données projet'!$E$13+1,1))</f>
        <v>207.4513063267579</v>
      </c>
      <c r="CZ69" s="59">
        <f t="shared" ref="CZ69:CZ132" si="96">$CZ$3</f>
        <v>191.63513530247218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7.0737538738642032</v>
      </c>
      <c r="DG69" s="21">
        <f>EXP(-LN(2)/25)*DG68+(1-EXP(-LN(2)/25))/(LN(2)/25)*Calculateur!DB69*Calculateur!DD69*VLOOKUP('Données projet'!$B$13,Paramètres!$A$1:$I$89,3,0)*0.475*44/12</f>
        <v>13.324523003156463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20.398276877020667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66.814714696519275</v>
      </c>
      <c r="T70" s="59">
        <f t="shared" si="88"/>
        <v>199.56746335788068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18.652217100801614</v>
      </c>
      <c r="AA70" s="21">
        <f>EXP(-LN(2)/25)*AA69+(1-EXP(-LN(2)/25))/(LN(2)/25)*Calculateur!V70*Calculateur!X70*VLOOKUP('Données projet'!$B$9,Paramètres!$A$1:$I$89,3,0)*0.475*44/12</f>
        <v>2.7435584098777523</v>
      </c>
      <c r="AB70" s="21">
        <f>EXP(-LN(2)/2)*AB69+(1-EXP(-LN(2)/2))/(LN(2)/2)*V70*Y70*VLOOKUP('Données projet'!$B$9,Paramètres!$A$1:$I$89,3,0)*0.475*44/12</f>
        <v>1.2156680280823718E-6</v>
      </c>
      <c r="AC70" s="22">
        <f t="shared" si="57"/>
        <v>21.395776726347396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5.2</v>
      </c>
      <c r="AI70" s="13">
        <f>IF('Données projet'!$A$62&gt;35,AI69+AH70-AQ69,IF(A70&lt;'Données projet'!$A$62,$AF$205^A70,IF(A70='Données projet'!$A$62,'Données projet'!$B$62,AI69+AH70-AQ69)))</f>
        <v>350.39999999999969</v>
      </c>
      <c r="AJ70" s="13">
        <f>AI70*VLOOKUP('Données projet'!$B$10,Paramètres!$A$1:$I$89,3,0)*VLOOKUP('Données projet'!$B$10,Paramètres!$A$1:$I$89,5,0)</f>
        <v>278.77823999999976</v>
      </c>
      <c r="AK70" s="13">
        <f t="shared" si="89"/>
        <v>66.70875019643654</v>
      </c>
      <c r="AL70" s="20">
        <f t="shared" si="58"/>
        <v>601.7231745921265</v>
      </c>
      <c r="AM70" s="59">
        <f t="shared" si="59"/>
        <v>895.05650792545975</v>
      </c>
      <c r="AN70" s="59">
        <f ca="1">AVERAGE(OFFSET($AM$3,0,0,'Données projet'!$E$10+1,1))-AVERAGE(OFFSET($H$3,0,0,'Données projet'!$E$10+1,1))</f>
        <v>325.72928944930294</v>
      </c>
      <c r="AO70" s="59">
        <f t="shared" si="90"/>
        <v>318.38876834819752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56.352988984716447</v>
      </c>
      <c r="AV70" s="21">
        <f>EXP(-LN(2)/25)*AV69+(1-EXP(-LN(2)/25))/(LN(2)/25)*Calculateur!AQ70*Calculateur!AS70*VLOOKUP('Données projet'!$B$10,Paramètres!$A$1:$I$89,3,0)*0.475*44/12</f>
        <v>9.1720388777547637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65.525027862471205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5.4</v>
      </c>
      <c r="BD70" s="12">
        <f>IF('Données projet'!$A$88&gt;35,BD69+BC70-BL69,IF(A70&lt;'Données projet'!$A$88,$BA$205^A70,IF(A70='Données projet'!$A$88,'Données projet'!$B$88,BD69+BC70-BL69)))</f>
        <v>253.8000000000001</v>
      </c>
      <c r="BE70" s="13">
        <f>BD70*VLOOKUP('Données projet'!$B$11,Paramètres!$A$1:$I$89,3,0)*VLOOKUP('Données projet'!$B$11,Paramètres!$A$1:$I$89,5,0)</f>
        <v>166.28976000000006</v>
      </c>
      <c r="BF70" s="13">
        <f t="shared" si="91"/>
        <v>42.257989067732332</v>
      </c>
      <c r="BG70" s="20">
        <f t="shared" si="61"/>
        <v>363.2206629596339</v>
      </c>
      <c r="BH70" s="59">
        <f t="shared" si="62"/>
        <v>656.55399629296721</v>
      </c>
      <c r="BI70" s="59">
        <f ca="1">AVERAGE(OFFSET($BH$3,0,0,'Données projet'!$E$11+1,1))-AVERAGE(OFFSET($H$3,0,0,'Données projet'!$E$11+1,1))</f>
        <v>209.40885738157152</v>
      </c>
      <c r="BJ70" s="59">
        <f t="shared" si="92"/>
        <v>230.15385333954697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1.3093036690463691</v>
      </c>
      <c r="BQ70" s="21">
        <f>EXP(-LN(2)/25)*BQ69+(1-EXP(-LN(2)/25))/(LN(2)/25)*Calculateur!BL70*Calculateur!BN70*VLOOKUP('Données projet'!$B$11,Paramètres!$A$1:$I$89,3,0)*0.475*44/12</f>
        <v>11.944122514968383</v>
      </c>
      <c r="BR70" s="21">
        <f>EXP(-LN(2)/2)*BR69+(1-EXP(-LN(2)/2))/(LN(2)/2)*BL70*BO70*VLOOKUP('Données projet'!$B$11,Paramètres!$A$1:$I$89,3,0)*0.475*44/12</f>
        <v>2.5228301878193546</v>
      </c>
      <c r="BS70" s="22">
        <f t="shared" si="63"/>
        <v>15.776256371834105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8.1001602564102626</v>
      </c>
      <c r="BY70" s="12">
        <f>IF('Données projet'!$A$114&gt;35,BY69+BX70-CG69,IF(A70&lt;'Données projet'!$A$114,$BV$205^A70,IF(A70='Données projet'!$A$114,'Données projet'!$B$114,BY69+BX70-CG69)))</f>
        <v>210.96474358974376</v>
      </c>
      <c r="BZ70" s="13">
        <f>BY70*VLOOKUP('Données projet'!$B$12,Paramètres!$A$1:$I$89,3,0)*VLOOKUP('Données projet'!$B$12,Paramètres!$A$1:$I$89,5,0)</f>
        <v>190.88090000000014</v>
      </c>
      <c r="CA70" s="13">
        <f t="shared" si="93"/>
        <v>47.734654873168694</v>
      </c>
      <c r="CB70" s="20">
        <f t="shared" si="64"/>
        <v>415.58875807076902</v>
      </c>
      <c r="CC70" s="59">
        <f t="shared" si="65"/>
        <v>708.92209140410228</v>
      </c>
      <c r="CD70" s="59">
        <f ca="1">AVERAGE(OFFSET($CC$3,0,0,'Données projet'!$E$12+1,1))-AVERAGE(OFFSET($H$3,0,0,'Données projet'!$E$12+1,1))</f>
        <v>270.87836509222456</v>
      </c>
      <c r="CE70" s="59">
        <f t="shared" si="94"/>
        <v>205.24998237949734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11.605195021055652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11.605195021055652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4.2</v>
      </c>
      <c r="CT70" s="12">
        <f>IF('Données projet'!$A$140&gt;35,CT69+CS70-DB69,IF(A70&lt;'Données projet'!$A$140,$CQ$205^A70,IF(A70='Données projet'!$A$140,'Données projet'!$B$140,CT69+CS70-DB69)))</f>
        <v>188.39999999999998</v>
      </c>
      <c r="CU70" s="17">
        <f>CT70*VLOOKUP('Données projet'!$B$13,Paramètres!$A$1:$I$89,3,0)*VLOOKUP('Données projet'!$B$13,Paramètres!$A$1:$I$89,5,0)</f>
        <v>164.58624</v>
      </c>
      <c r="CV70" s="13">
        <f t="shared" si="95"/>
        <v>41.875247075991886</v>
      </c>
      <c r="CW70" s="20">
        <f t="shared" si="67"/>
        <v>359.58708999068585</v>
      </c>
      <c r="CX70" s="59">
        <f t="shared" si="68"/>
        <v>652.92042332401911</v>
      </c>
      <c r="CY70" s="59">
        <f ca="1">AVERAGE(OFFSET($CX$3,0,0,'Données projet'!$E$13+1,1))-AVERAGE(OFFSET($H$3,0,0,'Données projet'!$E$13+1,1))</f>
        <v>207.4513063267579</v>
      </c>
      <c r="CZ70" s="59">
        <f t="shared" si="96"/>
        <v>191.63513530247218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6.935041874961561</v>
      </c>
      <c r="DG70" s="21">
        <f>EXP(-LN(2)/25)*DG69+(1-EXP(-LN(2)/25))/(LN(2)/25)*Calculateur!DB70*Calculateur!DD70*VLOOKUP('Données projet'!$B$13,Paramètres!$A$1:$I$89,3,0)*0.475*44/12</f>
        <v>12.960163220928939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19.8952050958905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66.814714696519275</v>
      </c>
      <c r="T71" s="59">
        <f t="shared" si="88"/>
        <v>199.56746335788068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18.286458500183969</v>
      </c>
      <c r="AA71" s="21">
        <f>EXP(-LN(2)/25)*AA70+(1-EXP(-LN(2)/25))/(LN(2)/25)*Calculateur!V71*Calculateur!X71*VLOOKUP('Données projet'!$B$9,Paramètres!$A$1:$I$89,3,0)*0.475*44/12</f>
        <v>2.6685356608821791</v>
      </c>
      <c r="AB71" s="21">
        <f>EXP(-LN(2)/2)*AB70+(1-EXP(-LN(2)/2))/(LN(2)/2)*V71*Y71*VLOOKUP('Données projet'!$B$9,Paramètres!$A$1:$I$89,3,0)*0.475*44/12</f>
        <v>8.5960710632872337E-7</v>
      </c>
      <c r="AC71" s="22">
        <f t="shared" si="57"/>
        <v>20.954995020673252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5.2</v>
      </c>
      <c r="AI71" s="13">
        <f>IF('Données projet'!$A$62&gt;35,AI70+AH71-AQ70,IF(A71&lt;'Données projet'!$A$62,$AF$205^A71,IF(A71='Données projet'!$A$62,'Données projet'!$B$62,AI70+AH71-AQ70)))</f>
        <v>355.59999999999968</v>
      </c>
      <c r="AJ71" s="13">
        <f>AI71*VLOOKUP('Données projet'!$B$10,Paramètres!$A$1:$I$89,3,0)*VLOOKUP('Données projet'!$B$10,Paramètres!$A$1:$I$89,5,0)</f>
        <v>282.91535999999979</v>
      </c>
      <c r="AK71" s="13">
        <f t="shared" si="89"/>
        <v>67.582736351531807</v>
      </c>
      <c r="AL71" s="20">
        <f t="shared" si="58"/>
        <v>610.45085114558412</v>
      </c>
      <c r="AM71" s="59">
        <f t="shared" si="59"/>
        <v>903.7841844789175</v>
      </c>
      <c r="AN71" s="59">
        <f ca="1">AVERAGE(OFFSET($AM$3,0,0,'Données projet'!$E$10+1,1))-AVERAGE(OFFSET($H$3,0,0,'Données projet'!$E$10+1,1))</f>
        <v>325.72928944930294</v>
      </c>
      <c r="AO71" s="59">
        <f t="shared" si="90"/>
        <v>318.38876834819752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55.247941242655493</v>
      </c>
      <c r="AV71" s="21">
        <f>EXP(-LN(2)/25)*AV70+(1-EXP(-LN(2)/25))/(LN(2)/25)*Calculateur!AQ71*Calculateur!AS71*VLOOKUP('Données projet'!$B$10,Paramètres!$A$1:$I$89,3,0)*0.475*44/12</f>
        <v>8.9212289923059984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64.169170234961484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5.4</v>
      </c>
      <c r="BD71" s="12">
        <f>IF('Données projet'!$A$88&gt;35,BD70+BC71-BL70,IF(A71&lt;'Données projet'!$A$88,$BA$205^A71,IF(A71='Données projet'!$A$88,'Données projet'!$B$88,BD70+BC71-BL70)))</f>
        <v>259.2000000000001</v>
      </c>
      <c r="BE71" s="13">
        <f>BD71*VLOOKUP('Données projet'!$B$11,Paramètres!$A$1:$I$89,3,0)*VLOOKUP('Données projet'!$B$11,Paramètres!$A$1:$I$89,5,0)</f>
        <v>169.82784000000007</v>
      </c>
      <c r="BF71" s="13">
        <f t="shared" si="91"/>
        <v>43.051463198873812</v>
      </c>
      <c r="BG71" s="20">
        <f t="shared" si="61"/>
        <v>370.76478640470532</v>
      </c>
      <c r="BH71" s="59">
        <f t="shared" si="62"/>
        <v>664.09811973803858</v>
      </c>
      <c r="BI71" s="59">
        <f ca="1">AVERAGE(OFFSET($BH$3,0,0,'Données projet'!$E$11+1,1))-AVERAGE(OFFSET($H$3,0,0,'Données projet'!$E$11+1,1))</f>
        <v>209.40885738157152</v>
      </c>
      <c r="BJ71" s="59">
        <f t="shared" si="92"/>
        <v>230.15385333954697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1.2836290226927531</v>
      </c>
      <c r="BQ71" s="21">
        <f>EXP(-LN(2)/25)*BQ70+(1-EXP(-LN(2)/25))/(LN(2)/25)*Calculateur!BL71*Calculateur!BN71*VLOOKUP('Données projet'!$B$11,Paramètres!$A$1:$I$89,3,0)*0.475*44/12</f>
        <v>11.617509856682467</v>
      </c>
      <c r="BR71" s="21">
        <f>EXP(-LN(2)/2)*BR70+(1-EXP(-LN(2)/2))/(LN(2)/2)*BL71*BO71*VLOOKUP('Données projet'!$B$11,Paramètres!$A$1:$I$89,3,0)*0.475*44/12</f>
        <v>1.783910333589197</v>
      </c>
      <c r="BS71" s="22">
        <f t="shared" si="63"/>
        <v>14.685049212964419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8.1001602564102626</v>
      </c>
      <c r="BY71" s="12">
        <f>IF('Données projet'!$A$114&gt;35,BY70+BX71-CG70,IF(A71&lt;'Données projet'!$A$114,$BV$205^A71,IF(A71='Données projet'!$A$114,'Données projet'!$B$114,BY70+BX71-CG70)))</f>
        <v>219.06490384615404</v>
      </c>
      <c r="BZ71" s="13">
        <f>BY71*VLOOKUP('Données projet'!$B$12,Paramètres!$A$1:$I$89,3,0)*VLOOKUP('Données projet'!$B$12,Paramètres!$A$1:$I$89,5,0)</f>
        <v>198.20992500000017</v>
      </c>
      <c r="CA71" s="13">
        <f t="shared" si="93"/>
        <v>49.350557805795496</v>
      </c>
      <c r="CB71" s="20">
        <f t="shared" si="64"/>
        <v>431.16784088676076</v>
      </c>
      <c r="CC71" s="59">
        <f t="shared" si="65"/>
        <v>724.50117422009407</v>
      </c>
      <c r="CD71" s="59">
        <f ca="1">AVERAGE(OFFSET($CC$3,0,0,'Données projet'!$E$12+1,1))-AVERAGE(OFFSET($H$3,0,0,'Données projet'!$E$12+1,1))</f>
        <v>270.87836509222456</v>
      </c>
      <c r="CE71" s="59">
        <f t="shared" si="94"/>
        <v>205.24998237949734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11.377624225162773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11.377624225162773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4.2</v>
      </c>
      <c r="CT71" s="12">
        <f>IF('Données projet'!$A$140&gt;35,CT70+CS71-DB70,IF(A71&lt;'Données projet'!$A$140,$CQ$205^A71,IF(A71='Données projet'!$A$140,'Données projet'!$B$140,CT70+CS71-DB70)))</f>
        <v>192.59999999999997</v>
      </c>
      <c r="CU71" s="17">
        <f>CT71*VLOOKUP('Données projet'!$B$13,Paramètres!$A$1:$I$89,3,0)*VLOOKUP('Données projet'!$B$13,Paramètres!$A$1:$I$89,5,0)</f>
        <v>168.25536</v>
      </c>
      <c r="CV71" s="13">
        <f t="shared" si="95"/>
        <v>42.699047982710887</v>
      </c>
      <c r="CW71" s="20">
        <f t="shared" si="67"/>
        <v>367.41226056988808</v>
      </c>
      <c r="CX71" s="59">
        <f t="shared" si="68"/>
        <v>660.74559390322133</v>
      </c>
      <c r="CY71" s="59">
        <f ca="1">AVERAGE(OFFSET($CX$3,0,0,'Données projet'!$E$13+1,1))-AVERAGE(OFFSET($H$3,0,0,'Données projet'!$E$13+1,1))</f>
        <v>207.4513063267579</v>
      </c>
      <c r="CZ71" s="59">
        <f t="shared" si="96"/>
        <v>191.63513530247218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6.7990499337514345</v>
      </c>
      <c r="DG71" s="21">
        <f>EXP(-LN(2)/25)*DG70+(1-EXP(-LN(2)/25))/(LN(2)/25)*Calculateur!DB71*Calculateur!DD71*VLOOKUP('Données projet'!$B$13,Paramètres!$A$1:$I$89,3,0)*0.475*44/12</f>
        <v>12.605766876107275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19.404816809858708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66.814714696519275</v>
      </c>
      <c r="T72" s="59">
        <f t="shared" si="88"/>
        <v>199.56746335788068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17.927872202633715</v>
      </c>
      <c r="AA72" s="21">
        <f>EXP(-LN(2)/25)*AA71+(1-EXP(-LN(2)/25))/(LN(2)/25)*Calculateur!V72*Calculateur!X72*VLOOKUP('Données projet'!$B$9,Paramètres!$A$1:$I$89,3,0)*0.475*44/12</f>
        <v>2.5955644129031645</v>
      </c>
      <c r="AB72" s="21">
        <f>EXP(-LN(2)/2)*AB71+(1-EXP(-LN(2)/2))/(LN(2)/2)*V72*Y72*VLOOKUP('Données projet'!$B$9,Paramètres!$A$1:$I$89,3,0)*0.475*44/12</f>
        <v>6.0783401404118588E-7</v>
      </c>
      <c r="AC72" s="22">
        <f t="shared" si="57"/>
        <v>20.523437223370895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5.2</v>
      </c>
      <c r="AI72" s="13">
        <f>IF('Données projet'!$A$62&gt;35,AI71+AH72-AQ71,IF(A72&lt;'Données projet'!$A$62,$AF$205^A72,IF(A72='Données projet'!$A$62,'Données projet'!$B$62,AI71+AH72-AQ71)))</f>
        <v>360.79999999999967</v>
      </c>
      <c r="AJ72" s="13">
        <f>AI72*VLOOKUP('Données projet'!$B$10,Paramètres!$A$1:$I$89,3,0)*VLOOKUP('Données projet'!$B$10,Paramètres!$A$1:$I$89,5,0)</f>
        <v>287.05247999999978</v>
      </c>
      <c r="AK72" s="13">
        <f t="shared" si="89"/>
        <v>68.455236071606535</v>
      </c>
      <c r="AL72" s="20">
        <f t="shared" si="58"/>
        <v>619.17593882471431</v>
      </c>
      <c r="AM72" s="59">
        <f t="shared" si="59"/>
        <v>912.50927215804768</v>
      </c>
      <c r="AN72" s="59">
        <f ca="1">AVERAGE(OFFSET($AM$3,0,0,'Données projet'!$E$10+1,1))-AVERAGE(OFFSET($H$3,0,0,'Données projet'!$E$10+1,1))</f>
        <v>325.72928944930294</v>
      </c>
      <c r="AO72" s="59">
        <f t="shared" si="90"/>
        <v>318.38876834819752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54.164562812803787</v>
      </c>
      <c r="AV72" s="21">
        <f>EXP(-LN(2)/25)*AV71+(1-EXP(-LN(2)/25))/(LN(2)/25)*Calculateur!AQ72*Calculateur!AS72*VLOOKUP('Données projet'!$B$10,Paramètres!$A$1:$I$89,3,0)*0.475*44/12</f>
        <v>8.6772775163643487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62.841840329168136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5.4</v>
      </c>
      <c r="BD72" s="12">
        <f>IF('Données projet'!$A$88&gt;35,BD71+BC72-BL71,IF(A72&lt;'Données projet'!$A$88,$BA$205^A72,IF(A72='Données projet'!$A$88,'Données projet'!$B$88,BD71+BC72-BL71)))</f>
        <v>264.60000000000008</v>
      </c>
      <c r="BE72" s="13">
        <f>BD72*VLOOKUP('Données projet'!$B$11,Paramètres!$A$1:$I$89,3,0)*VLOOKUP('Données projet'!$B$11,Paramètres!$A$1:$I$89,5,0)</f>
        <v>173.36592000000005</v>
      </c>
      <c r="BF72" s="13">
        <f t="shared" si="91"/>
        <v>43.843015339462696</v>
      </c>
      <c r="BG72" s="20">
        <f t="shared" si="61"/>
        <v>378.30556238289756</v>
      </c>
      <c r="BH72" s="59">
        <f t="shared" si="62"/>
        <v>671.63889571623088</v>
      </c>
      <c r="BI72" s="59">
        <f ca="1">AVERAGE(OFFSET($BH$3,0,0,'Données projet'!$E$11+1,1))-AVERAGE(OFFSET($H$3,0,0,'Données projet'!$E$11+1,1))</f>
        <v>209.40885738157152</v>
      </c>
      <c r="BJ72" s="59">
        <f t="shared" si="92"/>
        <v>230.15385333954697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1.2584578404941436</v>
      </c>
      <c r="BQ72" s="21">
        <f>EXP(-LN(2)/25)*BQ71+(1-EXP(-LN(2)/25))/(LN(2)/25)*Calculateur!BL72*Calculateur!BN72*VLOOKUP('Données projet'!$B$11,Paramètres!$A$1:$I$89,3,0)*0.475*44/12</f>
        <v>11.299828438713194</v>
      </c>
      <c r="BR72" s="21">
        <f>EXP(-LN(2)/2)*BR71+(1-EXP(-LN(2)/2))/(LN(2)/2)*BL72*BO72*VLOOKUP('Données projet'!$B$11,Paramètres!$A$1:$I$89,3,0)*0.475*44/12</f>
        <v>1.2614150939096775</v>
      </c>
      <c r="BS72" s="22">
        <f t="shared" si="63"/>
        <v>13.819701373117015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8.1001602564102626</v>
      </c>
      <c r="BY72" s="12">
        <f>IF('Données projet'!$A$114&gt;35,BY71+BX72-CG71,IF(A72&lt;'Données projet'!$A$114,$BV$205^A72,IF(A72='Données projet'!$A$114,'Données projet'!$B$114,BY71+BX72-CG71)))</f>
        <v>227.16506410256432</v>
      </c>
      <c r="BZ72" s="13">
        <f>BY72*VLOOKUP('Données projet'!$B$12,Paramètres!$A$1:$I$89,3,0)*VLOOKUP('Données projet'!$B$12,Paramètres!$A$1:$I$89,5,0)</f>
        <v>205.53895000000017</v>
      </c>
      <c r="CA72" s="13">
        <f t="shared" si="93"/>
        <v>50.959519142478193</v>
      </c>
      <c r="CB72" s="20">
        <f t="shared" si="64"/>
        <v>446.73483375648311</v>
      </c>
      <c r="CC72" s="59">
        <f t="shared" si="65"/>
        <v>740.06816708981637</v>
      </c>
      <c r="CD72" s="59">
        <f ca="1">AVERAGE(OFFSET($CC$3,0,0,'Données projet'!$E$12+1,1))-AVERAGE(OFFSET($H$3,0,0,'Données projet'!$E$12+1,1))</f>
        <v>270.87836509222456</v>
      </c>
      <c r="CE72" s="59">
        <f t="shared" si="94"/>
        <v>205.24998237949734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11.154515953772874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11.154515953772874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4.2</v>
      </c>
      <c r="CT72" s="12">
        <f>IF('Données projet'!$A$140&gt;35,CT71+CS72-DB71,IF(A72&lt;'Données projet'!$A$140,$CQ$205^A72,IF(A72='Données projet'!$A$140,'Données projet'!$B$140,CT71+CS72-DB71)))</f>
        <v>196.79999999999995</v>
      </c>
      <c r="CU72" s="17">
        <f>CT72*VLOOKUP('Données projet'!$B$13,Paramètres!$A$1:$I$89,3,0)*VLOOKUP('Données projet'!$B$13,Paramètres!$A$1:$I$89,5,0)</f>
        <v>171.92447999999999</v>
      </c>
      <c r="CV72" s="13">
        <f t="shared" si="95"/>
        <v>43.520760297647755</v>
      </c>
      <c r="CW72" s="20">
        <f t="shared" si="67"/>
        <v>375.23379351840316</v>
      </c>
      <c r="CX72" s="59">
        <f t="shared" si="68"/>
        <v>668.56712685173648</v>
      </c>
      <c r="CY72" s="59">
        <f ca="1">AVERAGE(OFFSET($CX$3,0,0,'Données projet'!$E$13+1,1))-AVERAGE(OFFSET($H$3,0,0,'Données projet'!$E$13+1,1))</f>
        <v>207.4513063267579</v>
      </c>
      <c r="CZ72" s="59">
        <f t="shared" si="96"/>
        <v>191.63513530247218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6.6657247115615448</v>
      </c>
      <c r="DG72" s="21">
        <f>EXP(-LN(2)/25)*DG71+(1-EXP(-LN(2)/25))/(LN(2)/25)*Calculateur!DB72*Calculateur!DD72*VLOOKUP('Données projet'!$B$13,Paramètres!$A$1:$I$89,3,0)*0.475*44/12</f>
        <v>12.261061517971653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18.926786229533199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66.814714696519275</v>
      </c>
      <c r="T73" s="59">
        <f t="shared" si="88"/>
        <v>199.56746335788068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17.576317563662379</v>
      </c>
      <c r="AA73" s="21">
        <f>EXP(-LN(2)/25)*AA72+(1-EXP(-LN(2)/25))/(LN(2)/25)*Calculateur!V73*Calculateur!X73*VLOOKUP('Données projet'!$B$9,Paramètres!$A$1:$I$89,3,0)*0.475*44/12</f>
        <v>2.5245885675375273</v>
      </c>
      <c r="AB73" s="21">
        <f>EXP(-LN(2)/2)*AB72+(1-EXP(-LN(2)/2))/(LN(2)/2)*V73*Y73*VLOOKUP('Données projet'!$B$9,Paramètres!$A$1:$I$89,3,0)*0.475*44/12</f>
        <v>4.2980355316436168E-7</v>
      </c>
      <c r="AC73" s="22">
        <f t="shared" si="57"/>
        <v>20.100906561003459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366</v>
      </c>
      <c r="AG73" s="12">
        <f>VLOOKUP(A73,'Données projet'!$A$61:$I$81,9,0)</f>
        <v>5.2</v>
      </c>
      <c r="AH73" s="12">
        <f t="array" ref="AH73">INDEX(AG:AG,MIN(IF(ISNUMBER(AG73:AG269),ROW(AG73:AG269),"")))</f>
        <v>5.2</v>
      </c>
      <c r="AI73" s="13">
        <f>IF('Données projet'!$A$62&gt;35,AI72+AH73-AQ72,IF(A73&lt;'Données projet'!$A$62,$AF$205^A73,IF(A73='Données projet'!$A$62,'Données projet'!$B$62,AI72+AH73-AQ72)))</f>
        <v>365.99999999999966</v>
      </c>
      <c r="AJ73" s="13">
        <f>AI73*VLOOKUP('Données projet'!$B$10,Paramètres!$A$1:$I$89,3,0)*VLOOKUP('Données projet'!$B$10,Paramètres!$A$1:$I$89,5,0)</f>
        <v>291.18959999999976</v>
      </c>
      <c r="AK73" s="13">
        <f t="shared" si="89"/>
        <v>69.326273255048633</v>
      </c>
      <c r="AL73" s="20">
        <f t="shared" si="58"/>
        <v>627.89847925254264</v>
      </c>
      <c r="AM73" s="59">
        <f t="shared" si="59"/>
        <v>921.23181258587601</v>
      </c>
      <c r="AN73" s="59">
        <f ca="1">AVERAGE(OFFSET($AM$3,0,0,'Données projet'!$E$10+1,1))-AVERAGE(OFFSET($H$3,0,0,'Données projet'!$E$10+1,1))</f>
        <v>325.72928944930294</v>
      </c>
      <c r="AO73" s="59">
        <f t="shared" si="90"/>
        <v>318.38876834819752</v>
      </c>
      <c r="AP73" s="15">
        <f>IF(ISNA(VLOOKUP(A73,'Données projet'!$A$61:$I$81,3,0)),0,VLOOKUP(A73,'Données projet'!$A$61:$I$81,3,0))</f>
        <v>13</v>
      </c>
      <c r="AQ73" s="15">
        <f>IF(ISNA(VLOOKUP(A73,'Données projet'!$A$61:$I$81,4,0)),0,VLOOKUP(A73,'Données projet'!$A$61:$I$81,4,0))</f>
        <v>15</v>
      </c>
      <c r="AR73" s="16">
        <f>IF(ISNA(VLOOKUP(A73,'Données projet'!$A$61:$I$81,5,0)),0%,VLOOKUP(A73,'Données projet'!$A$61:$I$81,5,0)*VLOOKUP('Données projet'!$B$10,Paramètres!$A$1:$I$89,7,0))</f>
        <v>0.49290000000000006</v>
      </c>
      <c r="AS73" s="16">
        <f>IF(ISNA(VLOOKUP(A73,'Données projet'!$A$61:$I$81,6,0)),0%,VLOOKUP(A73,'Données projet'!$A$61:$I$81,6,0)*VLOOKUP('Données projet'!$B$10,Paramètres!$A$1:$I$89,7,0))</f>
        <v>3.7100000000000008E-2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59.605102474922631</v>
      </c>
      <c r="AV73" s="21">
        <f>EXP(-LN(2)/25)*AV72+(1-EXP(-LN(2)/25))/(LN(2)/25)*Calculateur!AQ73*Calculateur!AS73*VLOOKUP('Données projet'!$B$10,Paramètres!$A$1:$I$89,3,0)*0.475*44/12</f>
        <v>8.927518319089776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68.532620794012402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270</v>
      </c>
      <c r="BB73" s="12">
        <f>VLOOKUP(A73,'Données projet'!$A$87:$I$107,9,0)</f>
        <v>5.4</v>
      </c>
      <c r="BC73" s="12">
        <f t="array" ref="BC73">INDEX(BB:BB,MIN(IF(ISNUMBER(BB73:BB269),ROW(BB73:BB269),"")))</f>
        <v>5.4</v>
      </c>
      <c r="BD73" s="12">
        <f>IF('Données projet'!$A$88&gt;35,BD72+BC73-BL72,IF(A73&lt;'Données projet'!$A$88,$BA$205^A73,IF(A73='Données projet'!$A$88,'Données projet'!$B$88,BD72+BC73-BL72)))</f>
        <v>270.00000000000006</v>
      </c>
      <c r="BE73" s="13">
        <f>BD73*VLOOKUP('Données projet'!$B$11,Paramètres!$A$1:$I$89,3,0)*VLOOKUP('Données projet'!$B$11,Paramètres!$A$1:$I$89,5,0)</f>
        <v>176.90400000000002</v>
      </c>
      <c r="BF73" s="13">
        <f t="shared" si="91"/>
        <v>44.632689233663157</v>
      </c>
      <c r="BG73" s="20">
        <f t="shared" si="61"/>
        <v>385.8430670819634</v>
      </c>
      <c r="BH73" s="59">
        <f t="shared" si="62"/>
        <v>679.17640041529671</v>
      </c>
      <c r="BI73" s="59">
        <f ca="1">AVERAGE(OFFSET($BH$3,0,0,'Données projet'!$E$11+1,1))-AVERAGE(OFFSET($H$3,0,0,'Données projet'!$E$11+1,1))</f>
        <v>209.40885738157152</v>
      </c>
      <c r="BJ73" s="59">
        <f t="shared" si="92"/>
        <v>230.15385333954697</v>
      </c>
      <c r="BK73" s="15">
        <f>IF(ISNA(VLOOKUP(A73,'Données projet'!$A$87:$I$107,3,0)),0,VLOOKUP(A73,'Données projet'!$A$87:$I$107,3,0))</f>
        <v>13</v>
      </c>
      <c r="BL73" s="15" t="str">
        <f>IF(ISNA(VLOOKUP(A73,'Données projet'!$A$87:$I$107,4,0)),0,VLOOKUP(A73,'Données projet'!$A$87:$I$107,4,0))</f>
        <v>21</v>
      </c>
      <c r="BM73" s="16">
        <f>IF(ISNA(VLOOKUP(A73,'Données projet'!$A$87:$I$107,5,0)),0%,VLOOKUP(A73,'Données projet'!$A$87:$I$107,5,0)*VLOOKUP('Données projet'!$B$11,Paramètres!$A$1:$I$89,7,0))</f>
        <v>4.3000000000000003E-2</v>
      </c>
      <c r="BN73" s="16">
        <f>IF(ISNA(VLOOKUP(A73,'Données projet'!$A$87:$I$107,6,0)),0%,VLOOKUP(A73,'Données projet'!$A$87:$I$107,6,0)*VLOOKUP('Données projet'!$B$11,Paramètres!$A$1:$I$89,7,0))</f>
        <v>0.17200000000000001</v>
      </c>
      <c r="BO73" s="16">
        <f>IF(ISNA(VLOOKUP(A73,'Données projet'!$A$87:$I$107,7,0)),0%,VLOOKUP(A73,'Données projet'!$A$87:$I$107,7,0))</f>
        <v>0.3</v>
      </c>
      <c r="BP73" s="21">
        <f>EXP(-LN(2)/35)*BP72+(1-EXP(-LN(2)/35))/(LN(2)/35)*BL73*BM73*VLOOKUP('Données projet'!$B$11,Paramètres!$A$1:$I$89,3,0)*0.475*44/12</f>
        <v>1.8878269358065436</v>
      </c>
      <c r="BQ73" s="21">
        <f>EXP(-LN(2)/25)*BQ72+(1-EXP(-LN(2)/25))/(LN(2)/25)*Calculateur!BL73*Calculateur!BN73*VLOOKUP('Données projet'!$B$11,Paramètres!$A$1:$I$89,3,0)*0.475*44/12</f>
        <v>13.596719855692299</v>
      </c>
      <c r="BR73" s="21">
        <f>EXP(-LN(2)/2)*BR72+(1-EXP(-LN(2)/2))/(LN(2)/2)*BL73*BO73*VLOOKUP('Données projet'!$B$11,Paramètres!$A$1:$I$89,3,0)*0.475*44/12</f>
        <v>4.7866078238261354</v>
      </c>
      <c r="BS73" s="22">
        <f t="shared" si="63"/>
        <v>20.271154615324978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8.1001602564102626</v>
      </c>
      <c r="BY73" s="12">
        <f>IF('Données projet'!$A$114&gt;35,BY72+BX73-CG72,IF(A73&lt;'Données projet'!$A$114,$BV$205^A73,IF(A73='Données projet'!$A$114,'Données projet'!$B$114,BY72+BX73-CG72)))</f>
        <v>235.26522435897459</v>
      </c>
      <c r="BZ73" s="13">
        <f>BY73*VLOOKUP('Données projet'!$B$12,Paramètres!$A$1:$I$89,3,0)*VLOOKUP('Données projet'!$B$12,Paramètres!$A$1:$I$89,5,0)</f>
        <v>212.8679750000002</v>
      </c>
      <c r="CA73" s="13">
        <f t="shared" si="93"/>
        <v>52.561814761455608</v>
      </c>
      <c r="CB73" s="20">
        <f t="shared" si="64"/>
        <v>462.29021716786883</v>
      </c>
      <c r="CC73" s="59">
        <f t="shared" si="65"/>
        <v>755.62355050120209</v>
      </c>
      <c r="CD73" s="59">
        <f ca="1">AVERAGE(OFFSET($CC$3,0,0,'Données projet'!$E$12+1,1))-AVERAGE(OFFSET($H$3,0,0,'Données projet'!$E$12+1,1))</f>
        <v>270.87836509222456</v>
      </c>
      <c r="CE73" s="59">
        <f t="shared" si="94"/>
        <v>205.24998237949734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10.935782699502322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10.935782699502322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201</v>
      </c>
      <c r="CR73" s="12">
        <f>VLOOKUP(A73,'Données projet'!$A$139:$I$159,9,0)</f>
        <v>4.2</v>
      </c>
      <c r="CS73" s="12">
        <f t="array" ref="CS73">INDEX(CR:CR,MIN(IF(ISNUMBER(CR73:CR269),ROW(CR73:CR269),"")))</f>
        <v>4.2</v>
      </c>
      <c r="CT73" s="12">
        <f>IF('Données projet'!$A$140&gt;35,CT72+CS73-DB72,IF(A73&lt;'Données projet'!$A$140,$CQ$205^A73,IF(A73='Données projet'!$A$140,'Données projet'!$B$140,CT72+CS73-DB72)))</f>
        <v>200.99999999999994</v>
      </c>
      <c r="CU73" s="17">
        <f>CT73*VLOOKUP('Données projet'!$B$13,Paramètres!$A$1:$I$89,3,0)*VLOOKUP('Données projet'!$B$13,Paramètres!$A$1:$I$89,5,0)</f>
        <v>175.59359999999995</v>
      </c>
      <c r="CV73" s="13">
        <f t="shared" si="95"/>
        <v>44.340433728638573</v>
      </c>
      <c r="CW73" s="20">
        <f t="shared" si="67"/>
        <v>383.05177541071203</v>
      </c>
      <c r="CX73" s="59">
        <f t="shared" si="68"/>
        <v>676.38510874404528</v>
      </c>
      <c r="CY73" s="59">
        <f ca="1">AVERAGE(OFFSET($CX$3,0,0,'Données projet'!$E$13+1,1))-AVERAGE(OFFSET($H$3,0,0,'Données projet'!$E$13+1,1))</f>
        <v>207.4513063267579</v>
      </c>
      <c r="CZ73" s="59">
        <f t="shared" si="96"/>
        <v>191.63513530247218</v>
      </c>
      <c r="DA73" s="15">
        <f>IF(ISNA(VLOOKUP(A73,'Données projet'!$A$139:$I$159,3,0)),0,VLOOKUP(A73,'Données projet'!$A$139:$I$159,3,0))</f>
        <v>11</v>
      </c>
      <c r="DB73" s="15" t="str">
        <f>IF(ISNA(VLOOKUP(A73,'Données projet'!$A$139:$I$159,4,0)),0,VLOOKUP(A73,'Données projet'!$A$139:$I$159,4,0))</f>
        <v>14</v>
      </c>
      <c r="DC73" s="16">
        <f>IF(ISNA(VLOOKUP(A73,'Données projet'!$A$139:$I$159,5,0)),0%,VLOOKUP(A73,'Données projet'!$A$139:$I$159,5,0)*VLOOKUP('Données projet'!$B$13,Paramètres!$A$1:$I$89,7,0))</f>
        <v>0.17200000000000001</v>
      </c>
      <c r="DD73" s="16">
        <f>IF(ISNA(VLOOKUP(A73,'Données projet'!$A$139:$I$159,6,0)),0%,VLOOKUP(A73,'Données projet'!$A$139:$I$159,6,0)*VLOOKUP('Données projet'!$B$13,Paramètres!$A$1:$I$89,7,0))</f>
        <v>0.17200000000000001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8.8605132435908889</v>
      </c>
      <c r="DG73" s="21">
        <f>EXP(-LN(2)/25)*DG72+(1-EXP(-LN(2)/25))/(LN(2)/25)*Calculateur!DB73*Calculateur!DD73*VLOOKUP('Données projet'!$B$13,Paramètres!$A$1:$I$89,3,0)*0.475*44/12</f>
        <v>14.24212509697518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23.102638340566067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66.814714696519275</v>
      </c>
      <c r="T74" s="59">
        <f t="shared" si="88"/>
        <v>199.56746335788068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17.231656696734113</v>
      </c>
      <c r="AA74" s="21">
        <f>EXP(-LN(2)/25)*AA73+(1-EXP(-LN(2)/25))/(LN(2)/25)*Calculateur!V74*Calculateur!X74*VLOOKUP('Données projet'!$B$9,Paramètres!$A$1:$I$89,3,0)*0.475*44/12</f>
        <v>2.4555535603958707</v>
      </c>
      <c r="AB74" s="21">
        <f>EXP(-LN(2)/2)*AB73+(1-EXP(-LN(2)/2))/(LN(2)/2)*V74*Y74*VLOOKUP('Données projet'!$B$9,Paramètres!$A$1:$I$89,3,0)*0.475*44/12</f>
        <v>3.0391700702059294E-7</v>
      </c>
      <c r="AC74" s="22">
        <f t="shared" si="57"/>
        <v>19.687210561046989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4.8</v>
      </c>
      <c r="AI74" s="13">
        <f>IF('Données projet'!$A$62&gt;35,AI73+AH74-AQ73,IF(A74&lt;'Données projet'!$A$62,$AF$205^A74,IF(A74='Données projet'!$A$62,'Données projet'!$B$62,AI73+AH74-AQ73)))</f>
        <v>355.79999999999967</v>
      </c>
      <c r="AJ74" s="13">
        <f>AI74*VLOOKUP('Données projet'!$B$10,Paramètres!$A$1:$I$89,3,0)*VLOOKUP('Données projet'!$B$10,Paramètres!$A$1:$I$89,5,0)</f>
        <v>283.07447999999977</v>
      </c>
      <c r="AK74" s="13">
        <f t="shared" si="89"/>
        <v>67.616321363645156</v>
      </c>
      <c r="AL74" s="20">
        <f t="shared" si="58"/>
        <v>610.78647904168156</v>
      </c>
      <c r="AM74" s="59">
        <f t="shared" si="59"/>
        <v>904.11981237501482</v>
      </c>
      <c r="AN74" s="59">
        <f ca="1">AVERAGE(OFFSET($AM$3,0,0,'Données projet'!$E$10+1,1))-AVERAGE(OFFSET($H$3,0,0,'Données projet'!$E$10+1,1))</f>
        <v>325.72928944930294</v>
      </c>
      <c r="AO74" s="59">
        <f t="shared" si="90"/>
        <v>318.38876834819752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58.436282770912101</v>
      </c>
      <c r="AV74" s="21">
        <f>EXP(-LN(2)/25)*AV73+(1-EXP(-LN(2)/25))/(LN(2)/25)*Calculateur!AQ74*Calculateur!AS74*VLOOKUP('Données projet'!$B$10,Paramètres!$A$1:$I$89,3,0)*0.475*44/12</f>
        <v>8.6833948611764811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67.119677632088582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4.8</v>
      </c>
      <c r="BD74" s="12">
        <f>IF('Données projet'!$A$88&gt;35,BD73+BC74-BL73,IF(A74&lt;'Données projet'!$A$88,$BA$205^A74,IF(A74='Données projet'!$A$88,'Données projet'!$B$88,BD73+BC74-BL73)))</f>
        <v>253.80000000000007</v>
      </c>
      <c r="BE74" s="13">
        <f>BD74*VLOOKUP('Données projet'!$B$11,Paramètres!$A$1:$I$89,3,0)*VLOOKUP('Données projet'!$B$11,Paramètres!$A$1:$I$89,5,0)</f>
        <v>166.28976000000003</v>
      </c>
      <c r="BF74" s="13">
        <f t="shared" si="91"/>
        <v>42.257989067732332</v>
      </c>
      <c r="BG74" s="20">
        <f t="shared" si="61"/>
        <v>363.2206629596339</v>
      </c>
      <c r="BH74" s="59">
        <f t="shared" si="62"/>
        <v>656.55399629296721</v>
      </c>
      <c r="BI74" s="59">
        <f ca="1">AVERAGE(OFFSET($BH$3,0,0,'Données projet'!$E$11+1,1))-AVERAGE(OFFSET($H$3,0,0,'Données projet'!$E$11+1,1))</f>
        <v>209.40885738157152</v>
      </c>
      <c r="BJ74" s="59">
        <f t="shared" si="92"/>
        <v>230.15385333954697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1.8508078010561109</v>
      </c>
      <c r="BQ74" s="21">
        <f>EXP(-LN(2)/25)*BQ73+(1-EXP(-LN(2)/25))/(LN(2)/25)*Calculateur!BL74*Calculateur!BN74*VLOOKUP('Données projet'!$B$11,Paramètres!$A$1:$I$89,3,0)*0.475*44/12</f>
        <v>13.224916836217972</v>
      </c>
      <c r="BR74" s="21">
        <f>EXP(-LN(2)/2)*BR73+(1-EXP(-LN(2)/2))/(LN(2)/2)*BL74*BO74*VLOOKUP('Données projet'!$B$11,Paramètres!$A$1:$I$89,3,0)*0.475*44/12</f>
        <v>3.384642851108044</v>
      </c>
      <c r="BS74" s="22">
        <f t="shared" si="63"/>
        <v>18.460367488382126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>
        <f>VLOOKUP(A74,'Données projet'!$A$113:$I$133,2,0)</f>
        <v>243.36538461538464</v>
      </c>
      <c r="BW74" s="12">
        <f>VLOOKUP(A74,'Données projet'!$A$113:$I$133,9,0)</f>
        <v>8.1001602564102626</v>
      </c>
      <c r="BX74" s="12">
        <f t="array" ref="BX74">INDEX(BW:BW,MIN(IF(ISNUMBER(BW74:BW270),ROW(BW74:BW270),"")))</f>
        <v>8.1001602564102626</v>
      </c>
      <c r="BY74" s="12">
        <f>IF('Données projet'!$A$114&gt;35,BY73+BX74-CG73,IF(A74&lt;'Données projet'!$A$114,$BV$205^A74,IF(A74='Données projet'!$A$114,'Données projet'!$B$114,BY73+BX74-CG73)))</f>
        <v>243.36538461538487</v>
      </c>
      <c r="BZ74" s="13">
        <f>BY74*VLOOKUP('Données projet'!$B$12,Paramètres!$A$1:$I$89,3,0)*VLOOKUP('Données projet'!$B$12,Paramètres!$A$1:$I$89,5,0)</f>
        <v>220.19700000000023</v>
      </c>
      <c r="CA74" s="13">
        <f t="shared" si="93"/>
        <v>54.157700466574305</v>
      </c>
      <c r="CB74" s="20">
        <f t="shared" si="64"/>
        <v>477.83443664595069</v>
      </c>
      <c r="CC74" s="59">
        <f t="shared" si="65"/>
        <v>771.167769979284</v>
      </c>
      <c r="CD74" s="59">
        <f ca="1">AVERAGE(OFFSET($CC$3,0,0,'Données projet'!$E$12+1,1))-AVERAGE(OFFSET($H$3,0,0,'Données projet'!$E$12+1,1))</f>
        <v>270.87836509222456</v>
      </c>
      <c r="CE74" s="59">
        <f t="shared" si="94"/>
        <v>205.24998237949734</v>
      </c>
      <c r="CF74" s="15">
        <f>IF(ISNA(VLOOKUP(A74,'Données projet'!$A$113:$I$133,3,0)),0,VLOOKUP(A74,'Données projet'!$A$113:$I$133,3,0))</f>
        <v>6</v>
      </c>
      <c r="CG74" s="15">
        <f>IF(ISNA(VLOOKUP(A74,'Données projet'!$A$113:$I$133,4,0)),0,VLOOKUP(A74,'Données projet'!$A$113:$I$133,4,0))</f>
        <v>39.935897435897431</v>
      </c>
      <c r="CH74" s="16">
        <f>IF(ISNA(VLOOKUP(A74,'Données projet'!$A$113:$I$133,5,0)),0%,VLOOKUP(A74,'Données projet'!$A$113:$I$133,5,0)*VLOOKUP('Données projet'!$B$12,Paramètres!$A$1:$I$89,7,0))</f>
        <v>0.30099999999999999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22.744803745841033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22.744803745841033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3.4</v>
      </c>
      <c r="CT74" s="12">
        <f>IF('Données projet'!$A$140&gt;35,CT73+CS74-DB73,IF(A74&lt;'Données projet'!$A$140,$CQ$205^A74,IF(A74='Données projet'!$A$140,'Données projet'!$B$140,CT73+CS74-DB73)))</f>
        <v>190.39999999999995</v>
      </c>
      <c r="CU74" s="17">
        <f>CT74*VLOOKUP('Données projet'!$B$13,Paramètres!$A$1:$I$89,3,0)*VLOOKUP('Données projet'!$B$13,Paramètres!$A$1:$I$89,5,0)</f>
        <v>166.33343999999997</v>
      </c>
      <c r="CV74" s="13">
        <f t="shared" si="95"/>
        <v>42.267796944897761</v>
      </c>
      <c r="CW74" s="20">
        <f t="shared" si="67"/>
        <v>363.31382101236346</v>
      </c>
      <c r="CX74" s="59">
        <f t="shared" si="68"/>
        <v>656.64715434569678</v>
      </c>
      <c r="CY74" s="59">
        <f ca="1">AVERAGE(OFFSET($CX$3,0,0,'Données projet'!$E$13+1,1))-AVERAGE(OFFSET($H$3,0,0,'Données projet'!$E$13+1,1))</f>
        <v>207.4513063267579</v>
      </c>
      <c r="CZ74" s="59">
        <f t="shared" si="96"/>
        <v>191.63513530247218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8.6867639832635124</v>
      </c>
      <c r="DG74" s="21">
        <f>EXP(-LN(2)/25)*DG73+(1-EXP(-LN(2)/25))/(LN(2)/25)*Calculateur!DB74*Calculateur!DD74*VLOOKUP('Données projet'!$B$13,Paramètres!$A$1:$I$89,3,0)*0.475*44/12</f>
        <v>13.852673437237586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22.539437420501098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66.814714696519275</v>
      </c>
      <c r="T75" s="59">
        <f t="shared" si="88"/>
        <v>199.56746335788068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16.893754419183939</v>
      </c>
      <c r="AA75" s="21">
        <f>EXP(-LN(2)/25)*AA74+(1-EXP(-LN(2)/25))/(LN(2)/25)*Calculateur!V75*Calculateur!X75*VLOOKUP('Données projet'!$B$9,Paramètres!$A$1:$I$89,3,0)*0.475*44/12</f>
        <v>2.3884063191548961</v>
      </c>
      <c r="AB75" s="21">
        <f>EXP(-LN(2)/2)*AB74+(1-EXP(-LN(2)/2))/(LN(2)/2)*V75*Y75*VLOOKUP('Données projet'!$B$9,Paramètres!$A$1:$I$89,3,0)*0.475*44/12</f>
        <v>2.1490177658218084E-7</v>
      </c>
      <c r="AC75" s="22">
        <f t="shared" si="57"/>
        <v>19.282160953240613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4.8</v>
      </c>
      <c r="AI75" s="13">
        <f>IF('Données projet'!$A$62&gt;35,AI74+AH75-AQ74,IF(A75&lt;'Données projet'!$A$62,$AF$205^A75,IF(A75='Données projet'!$A$62,'Données projet'!$B$62,AI74+AH75-AQ74)))</f>
        <v>360.59999999999968</v>
      </c>
      <c r="AJ75" s="13">
        <f>AI75*VLOOKUP('Données projet'!$B$10,Paramètres!$A$1:$I$89,3,0)*VLOOKUP('Données projet'!$B$10,Paramètres!$A$1:$I$89,5,0)</f>
        <v>286.89335999999975</v>
      </c>
      <c r="AK75" s="13">
        <f t="shared" si="89"/>
        <v>68.421705584684744</v>
      </c>
      <c r="AL75" s="20">
        <f t="shared" si="58"/>
        <v>618.84040589332551</v>
      </c>
      <c r="AM75" s="59">
        <f t="shared" si="59"/>
        <v>912.17373922665888</v>
      </c>
      <c r="AN75" s="59">
        <f ca="1">AVERAGE(OFFSET($AM$3,0,0,'Données projet'!$E$10+1,1))-AVERAGE(OFFSET($H$3,0,0,'Données projet'!$E$10+1,1))</f>
        <v>325.72928944930294</v>
      </c>
      <c r="AO75" s="59">
        <f t="shared" si="90"/>
        <v>318.38876834819752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57.290382908387592</v>
      </c>
      <c r="AV75" s="21">
        <f>EXP(-LN(2)/25)*AV74+(1-EXP(-LN(2)/25))/(LN(2)/25)*Calculateur!AQ75*Calculateur!AS75*VLOOKUP('Données projet'!$B$10,Paramètres!$A$1:$I$89,3,0)*0.475*44/12</f>
        <v>8.4459469720577207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65.736329880445311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4.8</v>
      </c>
      <c r="BD75" s="12">
        <f>IF('Données projet'!$A$88&gt;35,BD74+BC75-BL74,IF(A75&lt;'Données projet'!$A$88,$BA$205^A75,IF(A75='Données projet'!$A$88,'Données projet'!$B$88,BD74+BC75-BL74)))</f>
        <v>258.60000000000008</v>
      </c>
      <c r="BE75" s="13">
        <f>BD75*VLOOKUP('Données projet'!$B$11,Paramètres!$A$1:$I$89,3,0)*VLOOKUP('Données projet'!$B$11,Paramètres!$A$1:$I$89,5,0)</f>
        <v>169.43472000000006</v>
      </c>
      <c r="BF75" s="13">
        <f t="shared" si="91"/>
        <v>42.963395138288874</v>
      </c>
      <c r="BG75" s="20">
        <f t="shared" si="61"/>
        <v>369.9267171991865</v>
      </c>
      <c r="BH75" s="59">
        <f t="shared" si="62"/>
        <v>663.26005053251981</v>
      </c>
      <c r="BI75" s="59">
        <f ca="1">AVERAGE(OFFSET($BH$3,0,0,'Données projet'!$E$11+1,1))-AVERAGE(OFFSET($H$3,0,0,'Données projet'!$E$11+1,1))</f>
        <v>209.40885738157152</v>
      </c>
      <c r="BJ75" s="59">
        <f t="shared" si="92"/>
        <v>230.15385333954697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1.8145145889586913</v>
      </c>
      <c r="BQ75" s="21">
        <f>EXP(-LN(2)/25)*BQ74+(1-EXP(-LN(2)/25))/(LN(2)/25)*Calculateur!BL75*Calculateur!BN75*VLOOKUP('Données projet'!$B$11,Paramètres!$A$1:$I$89,3,0)*0.475*44/12</f>
        <v>12.86328078986344</v>
      </c>
      <c r="BR75" s="21">
        <f>EXP(-LN(2)/2)*BR74+(1-EXP(-LN(2)/2))/(LN(2)/2)*BL75*BO75*VLOOKUP('Données projet'!$B$11,Paramètres!$A$1:$I$89,3,0)*0.475*44/12</f>
        <v>2.3933039119130681</v>
      </c>
      <c r="BS75" s="22">
        <f t="shared" si="63"/>
        <v>17.071099290735198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7.8425925925925934</v>
      </c>
      <c r="BY75" s="12">
        <f>IF('Données projet'!$A$114&gt;35,BY74+BX75-CG74,IF(A75&lt;'Données projet'!$A$114,$BV$205^A75,IF(A75='Données projet'!$A$114,'Données projet'!$B$114,BY74+BX75-CG74)))</f>
        <v>211.27207977208002</v>
      </c>
      <c r="BZ75" s="13">
        <f>BY75*VLOOKUP('Données projet'!$B$12,Paramètres!$A$1:$I$89,3,0)*VLOOKUP('Données projet'!$B$12,Paramètres!$A$1:$I$89,5,0)</f>
        <v>191.15897777777801</v>
      </c>
      <c r="CA75" s="13">
        <f t="shared" si="93"/>
        <v>47.796095622022989</v>
      </c>
      <c r="CB75" s="20">
        <f t="shared" si="64"/>
        <v>416.18008617132006</v>
      </c>
      <c r="CC75" s="59">
        <f t="shared" si="65"/>
        <v>709.51341950465337</v>
      </c>
      <c r="CD75" s="59">
        <f ca="1">AVERAGE(OFFSET($CC$3,0,0,'Données projet'!$E$12+1,1))-AVERAGE(OFFSET($H$3,0,0,'Données projet'!$E$12+1,1))</f>
        <v>270.87836509222456</v>
      </c>
      <c r="CE75" s="59">
        <f t="shared" si="94"/>
        <v>205.24998237949734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22.298792017345534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22.298792017345534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3.4</v>
      </c>
      <c r="CT75" s="12">
        <f>IF('Données projet'!$A$140&gt;35,CT74+CS75-DB74,IF(A75&lt;'Données projet'!$A$140,$CQ$205^A75,IF(A75='Données projet'!$A$140,'Données projet'!$B$140,CT74+CS75-DB74)))</f>
        <v>193.79999999999995</v>
      </c>
      <c r="CU75" s="17">
        <f>CT75*VLOOKUP('Données projet'!$B$13,Paramètres!$A$1:$I$89,3,0)*VLOOKUP('Données projet'!$B$13,Paramètres!$A$1:$I$89,5,0)</f>
        <v>169.30367999999999</v>
      </c>
      <c r="CV75" s="13">
        <f t="shared" si="95"/>
        <v>42.934033834973214</v>
      </c>
      <c r="CW75" s="20">
        <f t="shared" si="67"/>
        <v>369.64735159591163</v>
      </c>
      <c r="CX75" s="59">
        <f t="shared" si="68"/>
        <v>662.98068492924494</v>
      </c>
      <c r="CY75" s="59">
        <f ca="1">AVERAGE(OFFSET($CX$3,0,0,'Données projet'!$E$13+1,1))-AVERAGE(OFFSET($H$3,0,0,'Données projet'!$E$13+1,1))</f>
        <v>207.4513063267579</v>
      </c>
      <c r="CZ75" s="59">
        <f t="shared" si="96"/>
        <v>191.63513530247218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8.516421839954571</v>
      </c>
      <c r="DG75" s="21">
        <f>EXP(-LN(2)/25)*DG74+(1-EXP(-LN(2)/25))/(LN(2)/25)*Calculateur!DB75*Calculateur!DD75*VLOOKUP('Données projet'!$B$13,Paramètres!$A$1:$I$89,3,0)*0.475*44/12</f>
        <v>13.473871353615889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21.990293193570459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66.814714696519275</v>
      </c>
      <c r="T76" s="59">
        <f t="shared" si="88"/>
        <v>199.56746335788068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16.562478199196484</v>
      </c>
      <c r="AA76" s="21">
        <f>EXP(-LN(2)/25)*AA75+(1-EXP(-LN(2)/25))/(LN(2)/25)*Calculateur!V76*Calculateur!X76*VLOOKUP('Données projet'!$B$9,Paramètres!$A$1:$I$89,3,0)*0.475*44/12</f>
        <v>2.323095222756776</v>
      </c>
      <c r="AB76" s="21">
        <f>EXP(-LN(2)/2)*AB75+(1-EXP(-LN(2)/2))/(LN(2)/2)*V76*Y76*VLOOKUP('Données projet'!$B$9,Paramètres!$A$1:$I$89,3,0)*0.475*44/12</f>
        <v>1.5195850351029647E-7</v>
      </c>
      <c r="AC76" s="22">
        <f t="shared" si="57"/>
        <v>18.885573573911763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4.8</v>
      </c>
      <c r="AI76" s="13">
        <f>IF('Données projet'!$A$62&gt;35,AI75+AH76-AQ75,IF(A76&lt;'Données projet'!$A$62,$AF$205^A76,IF(A76='Données projet'!$A$62,'Données projet'!$B$62,AI75+AH76-AQ75)))</f>
        <v>365.39999999999969</v>
      </c>
      <c r="AJ76" s="13">
        <f>AI76*VLOOKUP('Données projet'!$B$10,Paramètres!$A$1:$I$89,3,0)*VLOOKUP('Données projet'!$B$10,Paramètres!$A$1:$I$89,5,0)</f>
        <v>290.71223999999978</v>
      </c>
      <c r="AK76" s="13">
        <f t="shared" si="89"/>
        <v>69.225842856510994</v>
      </c>
      <c r="AL76" s="20">
        <f t="shared" si="58"/>
        <v>626.89216097508961</v>
      </c>
      <c r="AM76" s="59">
        <f t="shared" si="59"/>
        <v>920.22549430842287</v>
      </c>
      <c r="AN76" s="59">
        <f ca="1">AVERAGE(OFFSET($AM$3,0,0,'Données projet'!$E$10+1,1))-AVERAGE(OFFSET($H$3,0,0,'Données projet'!$E$10+1,1))</f>
        <v>325.72928944930294</v>
      </c>
      <c r="AO76" s="59">
        <f t="shared" si="90"/>
        <v>318.38876834819752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56.166953443237283</v>
      </c>
      <c r="AV76" s="21">
        <f>EXP(-LN(2)/25)*AV75+(1-EXP(-LN(2)/25))/(LN(2)/25)*Calculateur!AQ76*Calculateur!AS76*VLOOKUP('Données projet'!$B$10,Paramètres!$A$1:$I$89,3,0)*0.475*44/12</f>
        <v>8.2149921079537549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64.381945551191038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4.8</v>
      </c>
      <c r="BD76" s="12">
        <f>IF('Données projet'!$A$88&gt;35,BD75+BC76-BL75,IF(A76&lt;'Données projet'!$A$88,$BA$205^A76,IF(A76='Données projet'!$A$88,'Données projet'!$B$88,BD75+BC76-BL75)))</f>
        <v>263.40000000000009</v>
      </c>
      <c r="BE76" s="13">
        <f>BD76*VLOOKUP('Données projet'!$B$11,Paramètres!$A$1:$I$89,3,0)*VLOOKUP('Données projet'!$B$11,Paramètres!$A$1:$I$89,5,0)</f>
        <v>172.57968000000005</v>
      </c>
      <c r="BF76" s="13">
        <f t="shared" si="91"/>
        <v>43.667278691745118</v>
      </c>
      <c r="BG76" s="20">
        <f t="shared" si="61"/>
        <v>376.63011972145614</v>
      </c>
      <c r="BH76" s="59">
        <f t="shared" si="62"/>
        <v>669.9634530547894</v>
      </c>
      <c r="BI76" s="59">
        <f ca="1">AVERAGE(OFFSET($BH$3,0,0,'Données projet'!$E$11+1,1))-AVERAGE(OFFSET($H$3,0,0,'Données projet'!$E$11+1,1))</f>
        <v>209.40885738157152</v>
      </c>
      <c r="BJ76" s="59">
        <f t="shared" si="92"/>
        <v>230.15385333954697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1.7789330646138286</v>
      </c>
      <c r="BQ76" s="21">
        <f>EXP(-LN(2)/25)*BQ75+(1-EXP(-LN(2)/25))/(LN(2)/25)*Calculateur!BL76*Calculateur!BN76*VLOOKUP('Données projet'!$B$11,Paramètres!$A$1:$I$89,3,0)*0.475*44/12</f>
        <v>12.511533700214088</v>
      </c>
      <c r="BR76" s="21">
        <f>EXP(-LN(2)/2)*BR75+(1-EXP(-LN(2)/2))/(LN(2)/2)*BL76*BO76*VLOOKUP('Données projet'!$B$11,Paramètres!$A$1:$I$89,3,0)*0.475*44/12</f>
        <v>1.6923214255540222</v>
      </c>
      <c r="BS76" s="22">
        <f t="shared" si="63"/>
        <v>15.982788190381939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7.8425925925925934</v>
      </c>
      <c r="BY76" s="12">
        <f>IF('Données projet'!$A$114&gt;35,BY75+BX76-CG75,IF(A76&lt;'Données projet'!$A$114,$BV$205^A76,IF(A76='Données projet'!$A$114,'Données projet'!$B$114,BY75+BX76-CG75)))</f>
        <v>219.1146723646726</v>
      </c>
      <c r="BZ76" s="13">
        <f>BY76*VLOOKUP('Données projet'!$B$12,Paramètres!$A$1:$I$89,3,0)*VLOOKUP('Données projet'!$B$12,Paramètres!$A$1:$I$89,5,0)</f>
        <v>198.25495555555577</v>
      </c>
      <c r="CA76" s="13">
        <f t="shared" si="93"/>
        <v>49.360464390082804</v>
      </c>
      <c r="CB76" s="20">
        <f t="shared" si="64"/>
        <v>431.26352307198721</v>
      </c>
      <c r="CC76" s="59">
        <f t="shared" si="65"/>
        <v>724.59685640532052</v>
      </c>
      <c r="CD76" s="59">
        <f ca="1">AVERAGE(OFFSET($CC$3,0,0,'Données projet'!$E$12+1,1))-AVERAGE(OFFSET($H$3,0,0,'Données projet'!$E$12+1,1))</f>
        <v>270.87836509222456</v>
      </c>
      <c r="CE76" s="59">
        <f t="shared" si="94"/>
        <v>205.24998237949734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21.861526306805541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21.861526306805541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3.4</v>
      </c>
      <c r="CT76" s="12">
        <f>IF('Données projet'!$A$140&gt;35,CT75+CS76-DB75,IF(A76&lt;'Données projet'!$A$140,$CQ$205^A76,IF(A76='Données projet'!$A$140,'Données projet'!$B$140,CT75+CS76-DB75)))</f>
        <v>197.19999999999996</v>
      </c>
      <c r="CU76" s="17">
        <f>CT76*VLOOKUP('Données projet'!$B$13,Paramètres!$A$1:$I$89,3,0)*VLOOKUP('Données projet'!$B$13,Paramètres!$A$1:$I$89,5,0)</f>
        <v>172.27391999999998</v>
      </c>
      <c r="CV76" s="13">
        <f t="shared" si="95"/>
        <v>43.598911513699605</v>
      </c>
      <c r="CW76" s="20">
        <f t="shared" si="67"/>
        <v>375.97851488636002</v>
      </c>
      <c r="CX76" s="59">
        <f t="shared" si="68"/>
        <v>669.31184821969327</v>
      </c>
      <c r="CY76" s="59">
        <f ca="1">AVERAGE(OFFSET($CX$3,0,0,'Données projet'!$E$13+1,1))-AVERAGE(OFFSET($H$3,0,0,'Données projet'!$E$13+1,1))</f>
        <v>207.4513063267579</v>
      </c>
      <c r="CZ76" s="59">
        <f t="shared" si="96"/>
        <v>191.63513530247218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8.3494200021774692</v>
      </c>
      <c r="DG76" s="21">
        <f>EXP(-LN(2)/25)*DG75+(1-EXP(-LN(2)/25))/(LN(2)/25)*Calculateur!DB76*Calculateur!DD76*VLOOKUP('Données projet'!$B$13,Paramètres!$A$1:$I$89,3,0)*0.475*44/12</f>
        <v>13.105427632891164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21.454847635068631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66.814714696519275</v>
      </c>
      <c r="T77" s="59">
        <f t="shared" si="88"/>
        <v>199.56746335788068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16.237698103824442</v>
      </c>
      <c r="AA77" s="21">
        <f>EXP(-LN(2)/25)*AA76+(1-EXP(-LN(2)/25))/(LN(2)/25)*Calculateur!V77*Calculateur!X77*VLOOKUP('Données projet'!$B$9,Paramètres!$A$1:$I$89,3,0)*0.475*44/12</f>
        <v>2.2595700617242236</v>
      </c>
      <c r="AB77" s="21">
        <f>EXP(-LN(2)/2)*AB76+(1-EXP(-LN(2)/2))/(LN(2)/2)*V77*Y77*VLOOKUP('Données projet'!$B$9,Paramètres!$A$1:$I$89,3,0)*0.475*44/12</f>
        <v>1.0745088829109042E-7</v>
      </c>
      <c r="AC77" s="22">
        <f t="shared" si="57"/>
        <v>18.497268272999552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4.8</v>
      </c>
      <c r="AI77" s="13">
        <f>IF('Données projet'!$A$62&gt;35,AI76+AH77-AQ76,IF(A77&lt;'Données projet'!$A$62,$AF$205^A77,IF(A77='Données projet'!$A$62,'Données projet'!$B$62,AI76+AH77-AQ76)))</f>
        <v>370.1999999999997</v>
      </c>
      <c r="AJ77" s="13">
        <f>AI77*VLOOKUP('Données projet'!$B$10,Paramètres!$A$1:$I$89,3,0)*VLOOKUP('Données projet'!$B$10,Paramètres!$A$1:$I$89,5,0)</f>
        <v>294.53111999999976</v>
      </c>
      <c r="AK77" s="13">
        <f t="shared" si="89"/>
        <v>70.028751453157682</v>
      </c>
      <c r="AL77" s="20">
        <f t="shared" si="58"/>
        <v>634.94177611424914</v>
      </c>
      <c r="AM77" s="59">
        <f t="shared" si="59"/>
        <v>928.27510944758251</v>
      </c>
      <c r="AN77" s="59">
        <f ca="1">AVERAGE(OFFSET($AM$3,0,0,'Données projet'!$E$10+1,1))-AVERAGE(OFFSET($H$3,0,0,'Données projet'!$E$10+1,1))</f>
        <v>325.72928944930294</v>
      </c>
      <c r="AO77" s="59">
        <f t="shared" si="90"/>
        <v>318.38876834819752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55.065553744674261</v>
      </c>
      <c r="AV77" s="21">
        <f>EXP(-LN(2)/25)*AV76+(1-EXP(-LN(2)/25))/(LN(2)/25)*Calculateur!AQ77*Calculateur!AS77*VLOOKUP('Données projet'!$B$10,Paramètres!$A$1:$I$89,3,0)*0.475*44/12</f>
        <v>7.9903527167541002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63.055906461428364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4.8</v>
      </c>
      <c r="BD77" s="12">
        <f>IF('Données projet'!$A$88&gt;35,BD76+BC77-BL76,IF(A77&lt;'Données projet'!$A$88,$BA$205^A77,IF(A77='Données projet'!$A$88,'Données projet'!$B$88,BD76+BC77-BL76)))</f>
        <v>268.2000000000001</v>
      </c>
      <c r="BE77" s="13">
        <f>BD77*VLOOKUP('Données projet'!$B$11,Paramètres!$A$1:$I$89,3,0)*VLOOKUP('Données projet'!$B$11,Paramètres!$A$1:$I$89,5,0)</f>
        <v>175.72464000000005</v>
      </c>
      <c r="BF77" s="13">
        <f t="shared" si="91"/>
        <v>44.369670673452703</v>
      </c>
      <c r="BG77" s="20">
        <f t="shared" si="61"/>
        <v>383.3309244229302</v>
      </c>
      <c r="BH77" s="59">
        <f t="shared" si="62"/>
        <v>676.66425775626351</v>
      </c>
      <c r="BI77" s="59">
        <f ca="1">AVERAGE(OFFSET($BH$3,0,0,'Données projet'!$E$11+1,1))-AVERAGE(OFFSET($H$3,0,0,'Données projet'!$E$11+1,1))</f>
        <v>209.40885738157152</v>
      </c>
      <c r="BJ77" s="59">
        <f t="shared" si="92"/>
        <v>230.15385333954697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1.7440492722587819</v>
      </c>
      <c r="BQ77" s="21">
        <f>EXP(-LN(2)/25)*BQ76+(1-EXP(-LN(2)/25))/(LN(2)/25)*Calculateur!BL77*Calculateur!BN77*VLOOKUP('Données projet'!$B$11,Paramètres!$A$1:$I$89,3,0)*0.475*44/12</f>
        <v>12.169405153228771</v>
      </c>
      <c r="BR77" s="21">
        <f>EXP(-LN(2)/2)*BR76+(1-EXP(-LN(2)/2))/(LN(2)/2)*BL77*BO77*VLOOKUP('Données projet'!$B$11,Paramètres!$A$1:$I$89,3,0)*0.475*44/12</f>
        <v>1.1966519559565343</v>
      </c>
      <c r="BS77" s="22">
        <f t="shared" si="63"/>
        <v>15.110106381444087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7.8425925925925934</v>
      </c>
      <c r="BY77" s="12">
        <f>IF('Données projet'!$A$114&gt;35,BY76+BX77-CG76,IF(A77&lt;'Données projet'!$A$114,$BV$205^A77,IF(A77='Données projet'!$A$114,'Données projet'!$B$114,BY76+BX77-CG76)))</f>
        <v>226.95726495726518</v>
      </c>
      <c r="BZ77" s="13">
        <f>BY77*VLOOKUP('Données projet'!$B$12,Paramètres!$A$1:$I$89,3,0)*VLOOKUP('Données projet'!$B$12,Paramètres!$A$1:$I$89,5,0)</f>
        <v>205.35093333333353</v>
      </c>
      <c r="CA77" s="13">
        <f t="shared" si="93"/>
        <v>50.91832775961656</v>
      </c>
      <c r="CB77" s="20">
        <f t="shared" si="64"/>
        <v>446.33562973688805</v>
      </c>
      <c r="CC77" s="59">
        <f t="shared" si="65"/>
        <v>739.66896307022137</v>
      </c>
      <c r="CD77" s="59">
        <f ca="1">AVERAGE(OFFSET($CC$3,0,0,'Données projet'!$E$12+1,1))-AVERAGE(OFFSET($H$3,0,0,'Données projet'!$E$12+1,1))</f>
        <v>270.87836509222456</v>
      </c>
      <c r="CE77" s="59">
        <f t="shared" si="94"/>
        <v>205.24998237949734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21.432835110143486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21.432835110143486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3.4</v>
      </c>
      <c r="CT77" s="12">
        <f>IF('Données projet'!$A$140&gt;35,CT76+CS77-DB76,IF(A77&lt;'Données projet'!$A$140,$CQ$205^A77,IF(A77='Données projet'!$A$140,'Données projet'!$B$140,CT76+CS77-DB76)))</f>
        <v>200.59999999999997</v>
      </c>
      <c r="CU77" s="17">
        <f>CT77*VLOOKUP('Données projet'!$B$13,Paramètres!$A$1:$I$89,3,0)*VLOOKUP('Données projet'!$B$13,Paramètres!$A$1:$I$89,5,0)</f>
        <v>175.24415999999999</v>
      </c>
      <c r="CV77" s="13">
        <f t="shared" si="95"/>
        <v>44.262456119927037</v>
      </c>
      <c r="CW77" s="20">
        <f t="shared" si="67"/>
        <v>382.30735640887292</v>
      </c>
      <c r="CX77" s="59">
        <f t="shared" si="68"/>
        <v>675.64068974220618</v>
      </c>
      <c r="CY77" s="59">
        <f ca="1">AVERAGE(OFFSET($CX$3,0,0,'Données projet'!$E$13+1,1))-AVERAGE(OFFSET($H$3,0,0,'Données projet'!$E$13+1,1))</f>
        <v>207.4513063267579</v>
      </c>
      <c r="CZ77" s="59">
        <f t="shared" si="96"/>
        <v>191.63513530247218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8.1856929685781132</v>
      </c>
      <c r="DG77" s="21">
        <f>EXP(-LN(2)/25)*DG76+(1-EXP(-LN(2)/25))/(LN(2)/25)*Calculateur!DB77*Calculateur!DD77*VLOOKUP('Données projet'!$B$13,Paramètres!$A$1:$I$89,3,0)*0.475*44/12</f>
        <v>12.747059025085269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20.932751993663381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66.814714696519275</v>
      </c>
      <c r="T78" s="59">
        <f t="shared" si="88"/>
        <v>199.56746335788068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15.919286748026348</v>
      </c>
      <c r="AA78" s="21">
        <f>EXP(-LN(2)/25)*AA77+(1-EXP(-LN(2)/25))/(LN(2)/25)*Calculateur!V78*Calculateur!X78*VLOOKUP('Données projet'!$B$9,Paramètres!$A$1:$I$89,3,0)*0.475*44/12</f>
        <v>2.1977819995607493</v>
      </c>
      <c r="AB78" s="21">
        <f>EXP(-LN(2)/2)*AB77+(1-EXP(-LN(2)/2))/(LN(2)/2)*V78*Y78*VLOOKUP('Données projet'!$B$9,Paramètres!$A$1:$I$89,3,0)*0.475*44/12</f>
        <v>7.5979251755148235E-8</v>
      </c>
      <c r="AC78" s="22">
        <f t="shared" si="57"/>
        <v>18.117068823566349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375</v>
      </c>
      <c r="AG78" s="12">
        <f>VLOOKUP(A78,'Données projet'!$A$61:$I$81,9,0)</f>
        <v>4.8</v>
      </c>
      <c r="AH78" s="12">
        <f t="array" ref="AH78">INDEX(AG:AG,MIN(IF(ISNUMBER(AG78:AG274),ROW(AG78:AG274),"")))</f>
        <v>4.8</v>
      </c>
      <c r="AI78" s="13">
        <f>IF('Données projet'!$A$62&gt;35,AI77+AH78-AQ77,IF(A78&lt;'Données projet'!$A$62,$AF$205^A78,IF(A78='Données projet'!$A$62,'Données projet'!$B$62,AI77+AH78-AQ77)))</f>
        <v>374.99999999999972</v>
      </c>
      <c r="AJ78" s="13">
        <f>AI78*VLOOKUP('Données projet'!$B$10,Paramètres!$A$1:$I$89,3,0)*VLOOKUP('Données projet'!$B$10,Paramètres!$A$1:$I$89,5,0)</f>
        <v>298.3499999999998</v>
      </c>
      <c r="AK78" s="13">
        <f t="shared" si="89"/>
        <v>70.83044914753448</v>
      </c>
      <c r="AL78" s="20">
        <f t="shared" si="58"/>
        <v>642.98928226528881</v>
      </c>
      <c r="AM78" s="59">
        <f t="shared" si="59"/>
        <v>936.32261559862218</v>
      </c>
      <c r="AN78" s="59">
        <f ca="1">AVERAGE(OFFSET($AM$3,0,0,'Données projet'!$E$10+1,1))-AVERAGE(OFFSET($H$3,0,0,'Données projet'!$E$10+1,1))</f>
        <v>325.72928944930294</v>
      </c>
      <c r="AO78" s="59">
        <f t="shared" si="90"/>
        <v>318.38876834819752</v>
      </c>
      <c r="AP78" s="15">
        <f>IF(ISNA(VLOOKUP(A78,'Données projet'!$A$61:$I$81,3,0)),0,VLOOKUP(A78,'Données projet'!$A$61:$I$81,3,0))</f>
        <v>14</v>
      </c>
      <c r="AQ78" s="15">
        <f>IF(ISNA(VLOOKUP(A78,'Données projet'!$A$61:$I$81,4,0)),0,VLOOKUP(A78,'Données projet'!$A$61:$I$81,4,0))</f>
        <v>14</v>
      </c>
      <c r="AR78" s="16">
        <f>IF(ISNA(VLOOKUP(A78,'Données projet'!$A$61:$I$81,5,0)),0%,VLOOKUP(A78,'Données projet'!$A$61:$I$81,5,0)*VLOOKUP('Données projet'!$B$10,Paramètres!$A$1:$I$89,7,0))</f>
        <v>0.49290000000000006</v>
      </c>
      <c r="AS78" s="16">
        <f>IF(ISNA(VLOOKUP(A78,'Données projet'!$A$61:$I$81,6,0)),0%,VLOOKUP(A78,'Données projet'!$A$61:$I$81,6,0)*VLOOKUP('Données projet'!$B$10,Paramètres!$A$1:$I$89,7,0))</f>
        <v>3.7100000000000008E-2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60.05491394405221</v>
      </c>
      <c r="AV78" s="21">
        <f>EXP(-LN(2)/25)*AV77+(1-EXP(-LN(2)/25))/(LN(2)/25)*Calculateur!AQ78*Calculateur!AS78*VLOOKUP('Données projet'!$B$10,Paramètres!$A$1:$I$89,3,0)*0.475*44/12</f>
        <v>8.2268760867334354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68.281790030785643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273</v>
      </c>
      <c r="BB78" s="12">
        <f>VLOOKUP(A78,'Données projet'!$A$87:$I$107,9,0)</f>
        <v>4.8</v>
      </c>
      <c r="BC78" s="12">
        <f t="array" ref="BC78">INDEX(BB:BB,MIN(IF(ISNUMBER(BB78:BB274),ROW(BB78:BB274),"")))</f>
        <v>4.8</v>
      </c>
      <c r="BD78" s="12">
        <f>IF('Données projet'!$A$88&gt;35,BD77+BC78-BL77,IF(A78&lt;'Données projet'!$A$88,$BA$205^A78,IF(A78='Données projet'!$A$88,'Données projet'!$B$88,BD77+BC78-BL77)))</f>
        <v>273.00000000000011</v>
      </c>
      <c r="BE78" s="13">
        <f>BD78*VLOOKUP('Données projet'!$B$11,Paramètres!$A$1:$I$89,3,0)*VLOOKUP('Données projet'!$B$11,Paramètres!$A$1:$I$89,5,0)</f>
        <v>178.86960000000008</v>
      </c>
      <c r="BF78" s="13">
        <f t="shared" si="91"/>
        <v>45.07060085766652</v>
      </c>
      <c r="BG78" s="20">
        <f t="shared" si="61"/>
        <v>390.02918316043593</v>
      </c>
      <c r="BH78" s="59">
        <f t="shared" si="62"/>
        <v>683.36251649376925</v>
      </c>
      <c r="BI78" s="59">
        <f ca="1">AVERAGE(OFFSET($BH$3,0,0,'Données projet'!$E$11+1,1))-AVERAGE(OFFSET($H$3,0,0,'Données projet'!$E$11+1,1))</f>
        <v>209.40885738157152</v>
      </c>
      <c r="BJ78" s="59">
        <f t="shared" si="92"/>
        <v>230.15385333954697</v>
      </c>
      <c r="BK78" s="15">
        <f>IF(ISNA(VLOOKUP(A78,'Données projet'!$A$87:$I$107,3,0)),0,VLOOKUP(A78,'Données projet'!$A$87:$I$107,3,0))</f>
        <v>14</v>
      </c>
      <c r="BL78" s="15" t="str">
        <f>IF(ISNA(VLOOKUP(A78,'Données projet'!$A$87:$I$107,4,0)),0,VLOOKUP(A78,'Données projet'!$A$87:$I$107,4,0))</f>
        <v>19</v>
      </c>
      <c r="BM78" s="16">
        <f>IF(ISNA(VLOOKUP(A78,'Données projet'!$A$87:$I$107,5,0)),0%,VLOOKUP(A78,'Données projet'!$A$87:$I$107,5,0)*VLOOKUP('Données projet'!$B$11,Paramètres!$A$1:$I$89,7,0))</f>
        <v>8.6000000000000007E-2</v>
      </c>
      <c r="BN78" s="16">
        <f>IF(ISNA(VLOOKUP(A78,'Données projet'!$A$87:$I$107,6,0)),0%,VLOOKUP(A78,'Données projet'!$A$87:$I$107,6,0)*VLOOKUP('Données projet'!$B$11,Paramètres!$A$1:$I$89,7,0))</f>
        <v>0.215</v>
      </c>
      <c r="BO78" s="16">
        <f>IF(ISNA(VLOOKUP(A78,'Données projet'!$A$87:$I$107,7,0)),0%,VLOOKUP(A78,'Données projet'!$A$87:$I$107,7,0))</f>
        <v>0.2</v>
      </c>
      <c r="BP78" s="21">
        <f>EXP(-LN(2)/35)*BP77+(1-EXP(-LN(2)/35))/(LN(2)/35)*BL78*BM78*VLOOKUP('Données projet'!$B$11,Paramètres!$A$1:$I$89,3,0)*0.475*44/12</f>
        <v>2.8933625806175671</v>
      </c>
      <c r="BQ78" s="21">
        <f>EXP(-LN(2)/25)*BQ77+(1-EXP(-LN(2)/25))/(LN(2)/25)*Calculateur!BL78*Calculateur!BN78*VLOOKUP('Données projet'!$B$11,Paramètres!$A$1:$I$89,3,0)*0.475*44/12</f>
        <v>14.783764901822142</v>
      </c>
      <c r="BR78" s="21">
        <f>EXP(-LN(2)/2)*BR77+(1-EXP(-LN(2)/2))/(LN(2)/2)*BL78*BO78*VLOOKUP('Données projet'!$B$11,Paramètres!$A$1:$I$89,3,0)*0.475*44/12</f>
        <v>3.1953162836849227</v>
      </c>
      <c r="BS78" s="22">
        <f t="shared" si="63"/>
        <v>20.872443766124633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7.8425925925925934</v>
      </c>
      <c r="BY78" s="12">
        <f>IF('Données projet'!$A$114&gt;35,BY77+BX78-CG77,IF(A78&lt;'Données projet'!$A$114,$BV$205^A78,IF(A78='Données projet'!$A$114,'Données projet'!$B$114,BY77+BX78-CG77)))</f>
        <v>234.79985754985776</v>
      </c>
      <c r="BZ78" s="13">
        <f>BY78*VLOOKUP('Données projet'!$B$12,Paramètres!$A$1:$I$89,3,0)*VLOOKUP('Données projet'!$B$12,Paramètres!$A$1:$I$89,5,0)</f>
        <v>212.44691111111132</v>
      </c>
      <c r="CA78" s="13">
        <f t="shared" si="93"/>
        <v>52.469936290697497</v>
      </c>
      <c r="CB78" s="20">
        <f t="shared" si="64"/>
        <v>461.39684255815035</v>
      </c>
      <c r="CC78" s="59">
        <f t="shared" si="65"/>
        <v>754.73017589148367</v>
      </c>
      <c r="CD78" s="59">
        <f ca="1">AVERAGE(OFFSET($CC$3,0,0,'Données projet'!$E$12+1,1))-AVERAGE(OFFSET($H$3,0,0,'Données projet'!$E$12+1,1))</f>
        <v>270.87836509222456</v>
      </c>
      <c r="CE78" s="59">
        <f t="shared" si="94"/>
        <v>205.24998237949734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21.012550286372164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21.012550286372164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204</v>
      </c>
      <c r="CR78" s="12">
        <f>VLOOKUP(A78,'Données projet'!$A$139:$I$159,9,0)</f>
        <v>3.4</v>
      </c>
      <c r="CS78" s="12">
        <f t="array" ref="CS78">INDEX(CR:CR,MIN(IF(ISNUMBER(CR78:CR274),ROW(CR78:CR274),"")))</f>
        <v>3.4</v>
      </c>
      <c r="CT78" s="12">
        <f>IF('Données projet'!$A$140&gt;35,CT77+CS78-DB77,IF(A78&lt;'Données projet'!$A$140,$CQ$205^A78,IF(A78='Données projet'!$A$140,'Données projet'!$B$140,CT77+CS78-DB77)))</f>
        <v>203.99999999999997</v>
      </c>
      <c r="CU78" s="17">
        <f>CT78*VLOOKUP('Données projet'!$B$13,Paramètres!$A$1:$I$89,3,0)*VLOOKUP('Données projet'!$B$13,Paramètres!$A$1:$I$89,5,0)</f>
        <v>178.21440000000001</v>
      </c>
      <c r="CV78" s="13">
        <f t="shared" si="95"/>
        <v>44.924692855664368</v>
      </c>
      <c r="CW78" s="20">
        <f t="shared" si="67"/>
        <v>388.63392005694874</v>
      </c>
      <c r="CX78" s="59">
        <f t="shared" si="68"/>
        <v>681.96725339028205</v>
      </c>
      <c r="CY78" s="59">
        <f ca="1">AVERAGE(OFFSET($CX$3,0,0,'Données projet'!$E$13+1,1))-AVERAGE(OFFSET($H$3,0,0,'Données projet'!$E$13+1,1))</f>
        <v>207.4513063267579</v>
      </c>
      <c r="CZ78" s="59">
        <f t="shared" si="96"/>
        <v>191.63513530247218</v>
      </c>
      <c r="DA78" s="15">
        <f>IF(ISNA(VLOOKUP(A78,'Données projet'!$A$139:$I$159,3,0)),0,VLOOKUP(A78,'Données projet'!$A$139:$I$159,3,0))</f>
        <v>12</v>
      </c>
      <c r="DB78" s="15" t="str">
        <f>IF(ISNA(VLOOKUP(A78,'Données projet'!$A$139:$I$159,4,0)),0,VLOOKUP(A78,'Données projet'!$A$139:$I$159,4,0))</f>
        <v>12</v>
      </c>
      <c r="DC78" s="16">
        <f>IF(ISNA(VLOOKUP(A78,'Données projet'!$A$139:$I$159,5,0)),0%,VLOOKUP(A78,'Données projet'!$A$139:$I$159,5,0)*VLOOKUP('Données projet'!$B$13,Paramètres!$A$1:$I$89,7,0))</f>
        <v>0.17200000000000001</v>
      </c>
      <c r="DD78" s="16">
        <f>IF(ISNA(VLOOKUP(A78,'Données projet'!$A$139:$I$159,6,0)),0%,VLOOKUP(A78,'Données projet'!$A$139:$I$159,6,0)*VLOOKUP('Données projet'!$B$13,Paramètres!$A$1:$I$89,7,0))</f>
        <v>0.17200000000000001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10.018461660471822</v>
      </c>
      <c r="DG78" s="21">
        <f>EXP(-LN(2)/25)*DG77+(1-EXP(-LN(2)/25))/(LN(2)/25)*Calculateur!DB78*Calculateur!DD78*VLOOKUP('Données projet'!$B$13,Paramètres!$A$1:$I$89,3,0)*0.475*44/12</f>
        <v>14.383926840843039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24.40238850131486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66.814714696519275</v>
      </c>
      <c r="T79" s="59">
        <f t="shared" si="88"/>
        <v>199.56746335788068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15.607119244703703</v>
      </c>
      <c r="AA79" s="21">
        <f>EXP(-LN(2)/25)*AA78+(1-EXP(-LN(2)/25))/(LN(2)/25)*Calculateur!V79*Calculateur!X79*VLOOKUP('Données projet'!$B$9,Paramètres!$A$1:$I$89,3,0)*0.475*44/12</f>
        <v>2.1376835352064285</v>
      </c>
      <c r="AB79" s="21">
        <f>EXP(-LN(2)/2)*AB78+(1-EXP(-LN(2)/2))/(LN(2)/2)*V79*Y79*VLOOKUP('Données projet'!$B$9,Paramètres!$A$1:$I$89,3,0)*0.475*44/12</f>
        <v>5.372544414554521E-8</v>
      </c>
      <c r="AC79" s="22">
        <f t="shared" si="57"/>
        <v>17.744802833635575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4</v>
      </c>
      <c r="AI79" s="13">
        <f>IF('Données projet'!$A$62&gt;35,AI78+AH79-AQ78,IF(A79&lt;'Données projet'!$A$62,$AF$205^A79,IF(A79='Données projet'!$A$62,'Données projet'!$B$62,AI78+AH79-AQ78)))</f>
        <v>364.99999999999972</v>
      </c>
      <c r="AJ79" s="13">
        <f>AI79*VLOOKUP('Données projet'!$B$10,Paramètres!$A$1:$I$89,3,0)*VLOOKUP('Données projet'!$B$10,Paramètres!$A$1:$I$89,5,0)</f>
        <v>290.39399999999978</v>
      </c>
      <c r="AK79" s="13">
        <f t="shared" si="89"/>
        <v>69.158878594433091</v>
      </c>
      <c r="AL79" s="20">
        <f t="shared" si="58"/>
        <v>626.22126355197054</v>
      </c>
      <c r="AM79" s="59">
        <f t="shared" si="59"/>
        <v>919.55459688530391</v>
      </c>
      <c r="AN79" s="59">
        <f ca="1">AVERAGE(OFFSET($AM$3,0,0,'Données projet'!$E$10+1,1))-AVERAGE(OFFSET($H$3,0,0,'Données projet'!$E$10+1,1))</f>
        <v>325.72928944930294</v>
      </c>
      <c r="AO79" s="59">
        <f t="shared" si="90"/>
        <v>318.38876834819752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58.877273711489948</v>
      </c>
      <c r="AV79" s="21">
        <f>EXP(-LN(2)/25)*AV78+(1-EXP(-LN(2)/25))/(LN(2)/25)*Calculateur!AQ79*Calculateur!AS79*VLOOKUP('Données projet'!$B$10,Paramètres!$A$1:$I$89,3,0)*0.475*44/12</f>
        <v>8.0019117275090998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66.879185438999045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4.5999999999999996</v>
      </c>
      <c r="BD79" s="12">
        <f>IF('Données projet'!$A$88&gt;35,BD78+BC79-BL78,IF(A79&lt;'Données projet'!$A$88,$BA$205^A79,IF(A79='Données projet'!$A$88,'Données projet'!$B$88,BD78+BC79-BL78)))</f>
        <v>258.60000000000014</v>
      </c>
      <c r="BE79" s="13">
        <f>BD79*VLOOKUP('Données projet'!$B$11,Paramètres!$A$1:$I$89,3,0)*VLOOKUP('Données projet'!$B$11,Paramètres!$A$1:$I$89,5,0)</f>
        <v>169.43472000000008</v>
      </c>
      <c r="BF79" s="13">
        <f t="shared" si="91"/>
        <v>42.963395138288874</v>
      </c>
      <c r="BG79" s="20">
        <f t="shared" si="61"/>
        <v>369.92671719918661</v>
      </c>
      <c r="BH79" s="59">
        <f t="shared" si="62"/>
        <v>663.26005053251993</v>
      </c>
      <c r="BI79" s="59">
        <f ca="1">AVERAGE(OFFSET($BH$3,0,0,'Données projet'!$E$11+1,1))-AVERAGE(OFFSET($H$3,0,0,'Données projet'!$E$11+1,1))</f>
        <v>209.40885738157152</v>
      </c>
      <c r="BJ79" s="59">
        <f t="shared" si="92"/>
        <v>230.15385333954697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2.8366255051885734</v>
      </c>
      <c r="BQ79" s="21">
        <f>EXP(-LN(2)/25)*BQ78+(1-EXP(-LN(2)/25))/(LN(2)/25)*Calculateur!BL79*Calculateur!BN79*VLOOKUP('Données projet'!$B$11,Paramètres!$A$1:$I$89,3,0)*0.475*44/12</f>
        <v>14.379502073137408</v>
      </c>
      <c r="BR79" s="21">
        <f>EXP(-LN(2)/2)*BR78+(1-EXP(-LN(2)/2))/(LN(2)/2)*BL79*BO79*VLOOKUP('Données projet'!$B$11,Paramètres!$A$1:$I$89,3,0)*0.475*44/12</f>
        <v>2.2594298122294072</v>
      </c>
      <c r="BS79" s="22">
        <f t="shared" si="63"/>
        <v>19.475557390555387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7.8425925925925934</v>
      </c>
      <c r="BY79" s="12">
        <f>IF('Données projet'!$A$114&gt;35,BY78+BX79-CG78,IF(A79&lt;'Données projet'!$A$114,$BV$205^A79,IF(A79='Données projet'!$A$114,'Données projet'!$B$114,BY78+BX79-CG78)))</f>
        <v>242.64245014245034</v>
      </c>
      <c r="BZ79" s="13">
        <f>BY79*VLOOKUP('Données projet'!$B$12,Paramètres!$A$1:$I$89,3,0)*VLOOKUP('Données projet'!$B$12,Paramètres!$A$1:$I$89,5,0)</f>
        <v>219.54288888888908</v>
      </c>
      <c r="CA79" s="13">
        <f t="shared" si="93"/>
        <v>54.015522855627488</v>
      </c>
      <c r="CB79" s="20">
        <f t="shared" si="64"/>
        <v>476.44756712169959</v>
      </c>
      <c r="CC79" s="59">
        <f t="shared" si="65"/>
        <v>769.78090045503291</v>
      </c>
      <c r="CD79" s="59">
        <f ca="1">AVERAGE(OFFSET($CC$3,0,0,'Données projet'!$E$12+1,1))-AVERAGE(OFFSET($H$3,0,0,'Données projet'!$E$12+1,1))</f>
        <v>270.87836509222456</v>
      </c>
      <c r="CE79" s="59">
        <f t="shared" si="94"/>
        <v>205.24998237949734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20.600506991646569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20.600506991646569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3.2</v>
      </c>
      <c r="CT79" s="12">
        <f>IF('Données projet'!$A$140&gt;35,CT78+CS79-DB78,IF(A79&lt;'Données projet'!$A$140,$CQ$205^A79,IF(A79='Données projet'!$A$140,'Données projet'!$B$140,CT78+CS79-DB78)))</f>
        <v>195.19999999999996</v>
      </c>
      <c r="CU79" s="17">
        <f>CT79*VLOOKUP('Données projet'!$B$13,Paramètres!$A$1:$I$89,3,0)*VLOOKUP('Données projet'!$B$13,Paramètres!$A$1:$I$89,5,0)</f>
        <v>170.52671999999998</v>
      </c>
      <c r="CV79" s="13">
        <f t="shared" si="95"/>
        <v>43.207970095682747</v>
      </c>
      <c r="CW79" s="20">
        <f t="shared" si="67"/>
        <v>372.25458524998072</v>
      </c>
      <c r="CX79" s="59">
        <f t="shared" si="68"/>
        <v>665.58791858331404</v>
      </c>
      <c r="CY79" s="59">
        <f ca="1">AVERAGE(OFFSET($CX$3,0,0,'Données projet'!$E$13+1,1))-AVERAGE(OFFSET($H$3,0,0,'Données projet'!$E$13+1,1))</f>
        <v>207.4513063267579</v>
      </c>
      <c r="CZ79" s="59">
        <f t="shared" si="96"/>
        <v>191.63513530247218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9.8220057379682046</v>
      </c>
      <c r="DG79" s="21">
        <f>EXP(-LN(2)/25)*DG78+(1-EXP(-LN(2)/25))/(LN(2)/25)*Calculateur!DB79*Calculateur!DD79*VLOOKUP('Données projet'!$B$13,Paramètres!$A$1:$I$89,3,0)*0.475*44/12</f>
        <v>13.990597604962348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23.812603342930551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66.814714696519275</v>
      </c>
      <c r="T80" s="59">
        <f t="shared" si="88"/>
        <v>199.56746335788068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15.301073155717841</v>
      </c>
      <c r="AA80" s="21">
        <f>EXP(-LN(2)/25)*AA79+(1-EXP(-LN(2)/25))/(LN(2)/25)*Calculateur!V80*Calculateur!X80*VLOOKUP('Données projet'!$B$9,Paramètres!$A$1:$I$89,3,0)*0.475*44/12</f>
        <v>2.0792284665203176</v>
      </c>
      <c r="AB80" s="21">
        <f>EXP(-LN(2)/2)*AB79+(1-EXP(-LN(2)/2))/(LN(2)/2)*V80*Y80*VLOOKUP('Données projet'!$B$9,Paramètres!$A$1:$I$89,3,0)*0.475*44/12</f>
        <v>3.7989625877574117E-8</v>
      </c>
      <c r="AC80" s="22">
        <f t="shared" si="57"/>
        <v>17.380301660227783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4</v>
      </c>
      <c r="AI80" s="13">
        <f>IF('Données projet'!$A$62&gt;35,AI79+AH80-AQ79,IF(A80&lt;'Données projet'!$A$62,$AF$205^A80,IF(A80='Données projet'!$A$62,'Données projet'!$B$62,AI79+AH80-AQ79)))</f>
        <v>368.99999999999972</v>
      </c>
      <c r="AJ80" s="13">
        <f>AI80*VLOOKUP('Données projet'!$B$10,Paramètres!$A$1:$I$89,3,0)*VLOOKUP('Données projet'!$B$10,Paramètres!$A$1:$I$89,5,0)</f>
        <v>293.57639999999981</v>
      </c>
      <c r="AK80" s="13">
        <f t="shared" si="89"/>
        <v>69.828138511965548</v>
      </c>
      <c r="AL80" s="20">
        <f t="shared" si="58"/>
        <v>632.92957124167299</v>
      </c>
      <c r="AM80" s="59">
        <f t="shared" si="59"/>
        <v>926.26290457500636</v>
      </c>
      <c r="AN80" s="59">
        <f ca="1">AVERAGE(OFFSET($AM$3,0,0,'Données projet'!$E$10+1,1))-AVERAGE(OFFSET($H$3,0,0,'Données projet'!$E$10+1,1))</f>
        <v>325.72928944930294</v>
      </c>
      <c r="AO80" s="59">
        <f t="shared" si="90"/>
        <v>318.38876834819752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57.722726285598618</v>
      </c>
      <c r="AV80" s="21">
        <f>EXP(-LN(2)/25)*AV79+(1-EXP(-LN(2)/25))/(LN(2)/25)*Calculateur!AQ80*Calculateur!AS80*VLOOKUP('Données projet'!$B$10,Paramètres!$A$1:$I$89,3,0)*0.475*44/12</f>
        <v>7.7830990305181142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65.505825316116727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4.5999999999999996</v>
      </c>
      <c r="BD80" s="12">
        <f>IF('Données projet'!$A$88&gt;35,BD79+BC80-BL79,IF(A80&lt;'Données projet'!$A$88,$BA$205^A80,IF(A80='Données projet'!$A$88,'Données projet'!$B$88,BD79+BC80-BL79)))</f>
        <v>263.20000000000016</v>
      </c>
      <c r="BE80" s="13">
        <f>BD80*VLOOKUP('Données projet'!$B$11,Paramètres!$A$1:$I$89,3,0)*VLOOKUP('Données projet'!$B$11,Paramètres!$A$1:$I$89,5,0)</f>
        <v>172.44864000000013</v>
      </c>
      <c r="BF80" s="13">
        <f t="shared" si="91"/>
        <v>43.637980200453718</v>
      </c>
      <c r="BG80" s="20">
        <f t="shared" si="61"/>
        <v>376.35086351579042</v>
      </c>
      <c r="BH80" s="59">
        <f t="shared" si="62"/>
        <v>669.68419684912374</v>
      </c>
      <c r="BI80" s="59">
        <f ca="1">AVERAGE(OFFSET($BH$3,0,0,'Données projet'!$E$11+1,1))-AVERAGE(OFFSET($H$3,0,0,'Données projet'!$E$11+1,1))</f>
        <v>209.40885738157152</v>
      </c>
      <c r="BJ80" s="59">
        <f t="shared" si="92"/>
        <v>230.15385333954697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2.7810010092025435</v>
      </c>
      <c r="BQ80" s="21">
        <f>EXP(-LN(2)/25)*BQ79+(1-EXP(-LN(2)/25))/(LN(2)/25)*Calculateur!BL80*Calculateur!BN80*VLOOKUP('Données projet'!$B$11,Paramètres!$A$1:$I$89,3,0)*0.475*44/12</f>
        <v>13.986293832762316</v>
      </c>
      <c r="BR80" s="21">
        <f>EXP(-LN(2)/2)*BR79+(1-EXP(-LN(2)/2))/(LN(2)/2)*BL80*BO80*VLOOKUP('Données projet'!$B$11,Paramètres!$A$1:$I$89,3,0)*0.475*44/12</f>
        <v>1.5976581418424618</v>
      </c>
      <c r="BS80" s="22">
        <f t="shared" si="63"/>
        <v>18.364952983807321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7.8425925925925934</v>
      </c>
      <c r="BY80" s="12">
        <f>IF('Données projet'!$A$114&gt;35,BY79+BX80-CG79,IF(A80&lt;'Données projet'!$A$114,$BV$205^A80,IF(A80='Données projet'!$A$114,'Données projet'!$B$114,BY79+BX80-CG79)))</f>
        <v>250.48504273504292</v>
      </c>
      <c r="BZ80" s="13">
        <f>BY80*VLOOKUP('Données projet'!$B$12,Paramètres!$A$1:$I$89,3,0)*VLOOKUP('Données projet'!$B$12,Paramètres!$A$1:$I$89,5,0)</f>
        <v>226.63886666666684</v>
      </c>
      <c r="CA80" s="13">
        <f t="shared" si="93"/>
        <v>55.555304418491261</v>
      </c>
      <c r="CB80" s="20">
        <f t="shared" si="64"/>
        <v>491.4881813066504</v>
      </c>
      <c r="CC80" s="59">
        <f t="shared" si="65"/>
        <v>784.82151463998366</v>
      </c>
      <c r="CD80" s="59">
        <f ca="1">AVERAGE(OFFSET($CC$3,0,0,'Données projet'!$E$12+1,1))-AVERAGE(OFFSET($H$3,0,0,'Données projet'!$E$12+1,1))</f>
        <v>270.87836509222456</v>
      </c>
      <c r="CE80" s="59">
        <f t="shared" si="94"/>
        <v>205.24998237949734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20.196543614608945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20.196543614608945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3.2</v>
      </c>
      <c r="CT80" s="12">
        <f>IF('Données projet'!$A$140&gt;35,CT79+CS80-DB79,IF(A80&lt;'Données projet'!$A$140,$CQ$205^A80,IF(A80='Données projet'!$A$140,'Données projet'!$B$140,CT79+CS80-DB79)))</f>
        <v>198.39999999999995</v>
      </c>
      <c r="CU80" s="17">
        <f>CT80*VLOOKUP('Données projet'!$B$13,Paramètres!$A$1:$I$89,3,0)*VLOOKUP('Données projet'!$B$13,Paramètres!$A$1:$I$89,5,0)</f>
        <v>173.32223999999999</v>
      </c>
      <c r="CV80" s="13">
        <f t="shared" si="95"/>
        <v>43.833254629845122</v>
      </c>
      <c r="CW80" s="20">
        <f t="shared" si="67"/>
        <v>378.2124864803136</v>
      </c>
      <c r="CX80" s="59">
        <f t="shared" si="68"/>
        <v>671.54581981364686</v>
      </c>
      <c r="CY80" s="59">
        <f ca="1">AVERAGE(OFFSET($CX$3,0,0,'Données projet'!$E$13+1,1))-AVERAGE(OFFSET($H$3,0,0,'Données projet'!$E$13+1,1))</f>
        <v>207.4513063267579</v>
      </c>
      <c r="CZ80" s="59">
        <f t="shared" si="96"/>
        <v>191.63513530247218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9.6294021962786029</v>
      </c>
      <c r="DG80" s="21">
        <f>EXP(-LN(2)/25)*DG79+(1-EXP(-LN(2)/25))/(LN(2)/25)*Calculateur!DB80*Calculateur!DD80*VLOOKUP('Données projet'!$B$13,Paramètres!$A$1:$I$89,3,0)*0.475*44/12</f>
        <v>13.6080239777211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23.237426173999701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66.814714696519275</v>
      </c>
      <c r="T81" s="59">
        <f t="shared" si="88"/>
        <v>199.56746335788068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15.001028443867309</v>
      </c>
      <c r="AA81" s="21">
        <f>EXP(-LN(2)/25)*AA80+(1-EXP(-LN(2)/25))/(LN(2)/25)*Calculateur!V81*Calculateur!X81*VLOOKUP('Données projet'!$B$9,Paramètres!$A$1:$I$89,3,0)*0.475*44/12</f>
        <v>2.0223718547614467</v>
      </c>
      <c r="AB81" s="21">
        <f>EXP(-LN(2)/2)*AB80+(1-EXP(-LN(2)/2))/(LN(2)/2)*V81*Y81*VLOOKUP('Données projet'!$B$9,Paramètres!$A$1:$I$89,3,0)*0.475*44/12</f>
        <v>2.6862722072772605E-8</v>
      </c>
      <c r="AC81" s="22">
        <f t="shared" si="57"/>
        <v>17.023400325491476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4</v>
      </c>
      <c r="AI81" s="13">
        <f>IF('Données projet'!$A$62&gt;35,AI80+AH81-AQ80,IF(A81&lt;'Données projet'!$A$62,$AF$205^A81,IF(A81='Données projet'!$A$62,'Données projet'!$B$62,AI80+AH81-AQ80)))</f>
        <v>372.99999999999972</v>
      </c>
      <c r="AJ81" s="13">
        <f>AI81*VLOOKUP('Données projet'!$B$10,Paramètres!$A$1:$I$89,3,0)*VLOOKUP('Données projet'!$B$10,Paramètres!$A$1:$I$89,5,0)</f>
        <v>296.75879999999978</v>
      </c>
      <c r="AK81" s="13">
        <f t="shared" si="89"/>
        <v>70.496554480015604</v>
      </c>
      <c r="AL81" s="20">
        <f t="shared" si="58"/>
        <v>639.63640905269347</v>
      </c>
      <c r="AM81" s="59">
        <f t="shared" si="59"/>
        <v>932.96974238602684</v>
      </c>
      <c r="AN81" s="59">
        <f ca="1">AVERAGE(OFFSET($AM$3,0,0,'Données projet'!$E$10+1,1))-AVERAGE(OFFSET($H$3,0,0,'Données projet'!$E$10+1,1))</f>
        <v>325.72928944930294</v>
      </c>
      <c r="AO81" s="59">
        <f t="shared" si="90"/>
        <v>318.38876834819752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56.590818830524626</v>
      </c>
      <c r="AV81" s="21">
        <f>EXP(-LN(2)/25)*AV80+(1-EXP(-LN(2)/25))/(LN(2)/25)*Calculateur!AQ81*Calculateur!AS81*VLOOKUP('Données projet'!$B$10,Paramètres!$A$1:$I$89,3,0)*0.475*44/12</f>
        <v>7.5702697782332073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64.161088608757836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4.5999999999999996</v>
      </c>
      <c r="BD81" s="12">
        <f>IF('Données projet'!$A$88&gt;35,BD80+BC81-BL80,IF(A81&lt;'Données projet'!$A$88,$BA$205^A81,IF(A81='Données projet'!$A$88,'Données projet'!$B$88,BD80+BC81-BL80)))</f>
        <v>267.80000000000018</v>
      </c>
      <c r="BE81" s="13">
        <f>BD81*VLOOKUP('Données projet'!$B$11,Paramètres!$A$1:$I$89,3,0)*VLOOKUP('Données projet'!$B$11,Paramètres!$A$1:$I$89,5,0)</f>
        <v>175.46256000000011</v>
      </c>
      <c r="BF81" s="13">
        <f t="shared" si="91"/>
        <v>44.311194244027092</v>
      </c>
      <c r="BG81" s="20">
        <f t="shared" si="61"/>
        <v>382.77262197501403</v>
      </c>
      <c r="BH81" s="59">
        <f t="shared" si="62"/>
        <v>676.10595530834735</v>
      </c>
      <c r="BI81" s="59">
        <f ca="1">AVERAGE(OFFSET($BH$3,0,0,'Données projet'!$E$11+1,1))-AVERAGE(OFFSET($H$3,0,0,'Données projet'!$E$11+1,1))</f>
        <v>209.40885738157152</v>
      </c>
      <c r="BJ81" s="59">
        <f t="shared" si="92"/>
        <v>230.15385333954697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2.7264672756552071</v>
      </c>
      <c r="BQ81" s="21">
        <f>EXP(-LN(2)/25)*BQ80+(1-EXP(-LN(2)/25))/(LN(2)/25)*Calculateur!BL81*Calculateur!BN81*VLOOKUP('Données projet'!$B$11,Paramètres!$A$1:$I$89,3,0)*0.475*44/12</f>
        <v>13.603837892398204</v>
      </c>
      <c r="BR81" s="21">
        <f>EXP(-LN(2)/2)*BR80+(1-EXP(-LN(2)/2))/(LN(2)/2)*BL81*BO81*VLOOKUP('Données projet'!$B$11,Paramètres!$A$1:$I$89,3,0)*0.475*44/12</f>
        <v>1.1297149061147038</v>
      </c>
      <c r="BS81" s="22">
        <f t="shared" si="63"/>
        <v>17.460020074168114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7.8425925925925934</v>
      </c>
      <c r="BY81" s="12">
        <f>IF('Données projet'!$A$114&gt;35,BY80+BX81-CG80,IF(A81&lt;'Données projet'!$A$114,$BV$205^A81,IF(A81='Données projet'!$A$114,'Données projet'!$B$114,BY80+BX81-CG80)))</f>
        <v>258.32763532763551</v>
      </c>
      <c r="BZ81" s="13">
        <f>BY81*VLOOKUP('Données projet'!$B$12,Paramètres!$A$1:$I$89,3,0)*VLOOKUP('Données projet'!$B$12,Paramètres!$A$1:$I$89,5,0)</f>
        <v>233.7348444444446</v>
      </c>
      <c r="CA81" s="13">
        <f t="shared" si="93"/>
        <v>57.089483585580787</v>
      </c>
      <c r="CB81" s="20">
        <f t="shared" si="64"/>
        <v>506.51903798562756</v>
      </c>
      <c r="CC81" s="59">
        <f t="shared" si="65"/>
        <v>799.85237131896088</v>
      </c>
      <c r="CD81" s="59">
        <f ca="1">AVERAGE(OFFSET($CC$3,0,0,'Données projet'!$E$12+1,1))-AVERAGE(OFFSET($H$3,0,0,'Données projet'!$E$12+1,1))</f>
        <v>270.87836509222456</v>
      </c>
      <c r="CE81" s="59">
        <f t="shared" si="94"/>
        <v>205.24998237949734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19.800501713001701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19.800501713001701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3.2</v>
      </c>
      <c r="CT81" s="12">
        <f>IF('Données projet'!$A$140&gt;35,CT80+CS81-DB80,IF(A81&lt;'Données projet'!$A$140,$CQ$205^A81,IF(A81='Données projet'!$A$140,'Données projet'!$B$140,CT80+CS81-DB80)))</f>
        <v>201.59999999999994</v>
      </c>
      <c r="CU81" s="17">
        <f>CT81*VLOOKUP('Données projet'!$B$13,Paramètres!$A$1:$I$89,3,0)*VLOOKUP('Données projet'!$B$13,Paramètres!$A$1:$I$89,5,0)</f>
        <v>176.11775999999998</v>
      </c>
      <c r="CV81" s="13">
        <f t="shared" si="95"/>
        <v>44.457366290237204</v>
      </c>
      <c r="CW81" s="20">
        <f t="shared" si="67"/>
        <v>384.16834495549637</v>
      </c>
      <c r="CX81" s="59">
        <f t="shared" si="68"/>
        <v>677.50167828882968</v>
      </c>
      <c r="CY81" s="59">
        <f ca="1">AVERAGE(OFFSET($CX$3,0,0,'Données projet'!$E$13+1,1))-AVERAGE(OFFSET($H$3,0,0,'Données projet'!$E$13+1,1))</f>
        <v>207.4513063267579</v>
      </c>
      <c r="CZ81" s="59">
        <f t="shared" si="96"/>
        <v>191.63513530247218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9.4405754925649727</v>
      </c>
      <c r="DG81" s="21">
        <f>EXP(-LN(2)/25)*DG80+(1-EXP(-LN(2)/25))/(LN(2)/25)*Calculateur!DB81*Calculateur!DD81*VLOOKUP('Données projet'!$B$13,Paramètres!$A$1:$I$89,3,0)*0.475*44/12</f>
        <v>13.235911846435437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22.67648733900041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66.814714696519275</v>
      </c>
      <c r="T82" s="59">
        <f t="shared" si="88"/>
        <v>199.56746335788068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14.706867425806962</v>
      </c>
      <c r="AA82" s="21">
        <f>EXP(-LN(2)/25)*AA81+(1-EXP(-LN(2)/25))/(LN(2)/25)*Calculateur!V82*Calculateur!X82*VLOOKUP('Données projet'!$B$9,Paramètres!$A$1:$I$89,3,0)*0.475*44/12</f>
        <v>1.9670699900410813</v>
      </c>
      <c r="AB82" s="21">
        <f>EXP(-LN(2)/2)*AB81+(1-EXP(-LN(2)/2))/(LN(2)/2)*V82*Y82*VLOOKUP('Données projet'!$B$9,Paramètres!$A$1:$I$89,3,0)*0.475*44/12</f>
        <v>1.8994812938787059E-8</v>
      </c>
      <c r="AC82" s="22">
        <f t="shared" si="57"/>
        <v>16.673937434842859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4</v>
      </c>
      <c r="AI82" s="13">
        <f>IF('Données projet'!$A$62&gt;35,AI81+AH82-AQ81,IF(A82&lt;'Données projet'!$A$62,$AF$205^A82,IF(A82='Données projet'!$A$62,'Données projet'!$B$62,AI81+AH82-AQ81)))</f>
        <v>376.99999999999972</v>
      </c>
      <c r="AJ82" s="13">
        <f>AI82*VLOOKUP('Données projet'!$B$10,Paramètres!$A$1:$I$89,3,0)*VLOOKUP('Données projet'!$B$10,Paramètres!$A$1:$I$89,5,0)</f>
        <v>299.94119999999981</v>
      </c>
      <c r="AK82" s="13">
        <f t="shared" si="89"/>
        <v>71.164136596531506</v>
      </c>
      <c r="AL82" s="20">
        <f t="shared" si="58"/>
        <v>646.34179457229197</v>
      </c>
      <c r="AM82" s="59">
        <f t="shared" si="59"/>
        <v>939.67512790562523</v>
      </c>
      <c r="AN82" s="59">
        <f ca="1">AVERAGE(OFFSET($AM$3,0,0,'Données projet'!$E$10+1,1))-AVERAGE(OFFSET($H$3,0,0,'Données projet'!$E$10+1,1))</f>
        <v>325.72928944930294</v>
      </c>
      <c r="AO82" s="59">
        <f t="shared" si="90"/>
        <v>318.38876834819752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55.481107390249257</v>
      </c>
      <c r="AV82" s="21">
        <f>EXP(-LN(2)/25)*AV81+(1-EXP(-LN(2)/25))/(LN(2)/25)*Calculateur!AQ82*Calculateur!AS82*VLOOKUP('Données projet'!$B$10,Paramètres!$A$1:$I$89,3,0)*0.475*44/12</f>
        <v>7.3632603530442351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62.844367743293489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4.5999999999999996</v>
      </c>
      <c r="BD82" s="12">
        <f>IF('Données projet'!$A$88&gt;35,BD81+BC82-BL81,IF(A82&lt;'Données projet'!$A$88,$BA$205^A82,IF(A82='Données projet'!$A$88,'Données projet'!$B$88,BD81+BC82-BL81)))</f>
        <v>272.4000000000002</v>
      </c>
      <c r="BE82" s="13">
        <f>BD82*VLOOKUP('Données projet'!$B$11,Paramètres!$A$1:$I$89,3,0)*VLOOKUP('Données projet'!$B$11,Paramètres!$A$1:$I$89,5,0)</f>
        <v>178.47648000000015</v>
      </c>
      <c r="BF82" s="13">
        <f t="shared" si="91"/>
        <v>44.983063536547988</v>
      </c>
      <c r="BG82" s="20">
        <f t="shared" si="61"/>
        <v>389.19203832615466</v>
      </c>
      <c r="BH82" s="59">
        <f t="shared" si="62"/>
        <v>682.52537165948797</v>
      </c>
      <c r="BI82" s="59">
        <f ca="1">AVERAGE(OFFSET($BH$3,0,0,'Données projet'!$E$11+1,1))-AVERAGE(OFFSET($H$3,0,0,'Données projet'!$E$11+1,1))</f>
        <v>209.40885738157152</v>
      </c>
      <c r="BJ82" s="59">
        <f t="shared" si="92"/>
        <v>230.15385333954697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2.6730029153604411</v>
      </c>
      <c r="BQ82" s="21">
        <f>EXP(-LN(2)/25)*BQ81+(1-EXP(-LN(2)/25))/(LN(2)/25)*Calculateur!BL82*Calculateur!BN82*VLOOKUP('Données projet'!$B$11,Paramètres!$A$1:$I$89,3,0)*0.475*44/12</f>
        <v>13.231840229835832</v>
      </c>
      <c r="BR82" s="21">
        <f>EXP(-LN(2)/2)*BR81+(1-EXP(-LN(2)/2))/(LN(2)/2)*BL82*BO82*VLOOKUP('Données projet'!$B$11,Paramètres!$A$1:$I$89,3,0)*0.475*44/12</f>
        <v>0.79882907092123101</v>
      </c>
      <c r="BS82" s="22">
        <f t="shared" si="63"/>
        <v>16.703672216117504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7.8425925925925934</v>
      </c>
      <c r="BY82" s="12">
        <f>IF('Données projet'!$A$114&gt;35,BY81+BX82-CG81,IF(A82&lt;'Données projet'!$A$114,$BV$205^A82,IF(A82='Données projet'!$A$114,'Données projet'!$B$114,BY81+BX82-CG81)))</f>
        <v>266.17022792022811</v>
      </c>
      <c r="BZ82" s="13">
        <f>BY82*VLOOKUP('Données projet'!$B$12,Paramètres!$A$1:$I$89,3,0)*VLOOKUP('Données projet'!$B$12,Paramètres!$A$1:$I$89,5,0)</f>
        <v>240.83082222222239</v>
      </c>
      <c r="CA82" s="13">
        <f t="shared" si="93"/>
        <v>58.618249962252264</v>
      </c>
      <c r="CB82" s="20">
        <f t="shared" si="64"/>
        <v>521.54046738795989</v>
      </c>
      <c r="CC82" s="59">
        <f t="shared" si="65"/>
        <v>814.87380072129326</v>
      </c>
      <c r="CD82" s="59">
        <f ca="1">AVERAGE(OFFSET($CC$3,0,0,'Données projet'!$E$12+1,1))-AVERAGE(OFFSET($H$3,0,0,'Données projet'!$E$12+1,1))</f>
        <v>270.87836509222456</v>
      </c>
      <c r="CE82" s="59">
        <f t="shared" si="94"/>
        <v>205.24998237949734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19.412225951523265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19.412225951523265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3.2</v>
      </c>
      <c r="CT82" s="12">
        <f>IF('Données projet'!$A$140&gt;35,CT81+CS82-DB81,IF(A82&lt;'Données projet'!$A$140,$CQ$205^A82,IF(A82='Données projet'!$A$140,'Données projet'!$B$140,CT81+CS82-DB81)))</f>
        <v>204.79999999999993</v>
      </c>
      <c r="CU82" s="17">
        <f>CT82*VLOOKUP('Données projet'!$B$13,Paramètres!$A$1:$I$89,3,0)*VLOOKUP('Données projet'!$B$13,Paramètres!$A$1:$I$89,5,0)</f>
        <v>178.91327999999996</v>
      </c>
      <c r="CV82" s="13">
        <f t="shared" si="95"/>
        <v>45.080325843494805</v>
      </c>
      <c r="CW82" s="20">
        <f t="shared" si="67"/>
        <v>390.12219684408677</v>
      </c>
      <c r="CX82" s="59">
        <f t="shared" si="68"/>
        <v>683.45553017742009</v>
      </c>
      <c r="CY82" s="59">
        <f ca="1">AVERAGE(OFFSET($CX$3,0,0,'Données projet'!$E$13+1,1))-AVERAGE(OFFSET($H$3,0,0,'Données projet'!$E$13+1,1))</f>
        <v>207.4513063267579</v>
      </c>
      <c r="CZ82" s="59">
        <f t="shared" si="96"/>
        <v>191.63513530247218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9.2554515653382516</v>
      </c>
      <c r="DG82" s="21">
        <f>EXP(-LN(2)/25)*DG81+(1-EXP(-LN(2)/25))/(LN(2)/25)*Calculateur!DB82*Calculateur!DD82*VLOOKUP('Données projet'!$B$13,Paramètres!$A$1:$I$89,3,0)*0.475*44/12</f>
        <v>12.873975140948307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22.129426706286559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66.814714696519275</v>
      </c>
      <c r="T83" s="59">
        <f t="shared" si="88"/>
        <v>199.56746335788068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14.418474725890274</v>
      </c>
      <c r="AA83" s="21">
        <f>EXP(-LN(2)/25)*AA82+(1-EXP(-LN(2)/25))/(LN(2)/25)*Calculateur!V83*Calculateur!X83*VLOOKUP('Données projet'!$B$9,Paramètres!$A$1:$I$89,3,0)*0.475*44/12</f>
        <v>1.9132803577196928</v>
      </c>
      <c r="AB83" s="21">
        <f>EXP(-LN(2)/2)*AB82+(1-EXP(-LN(2)/2))/(LN(2)/2)*V83*Y83*VLOOKUP('Données projet'!$B$9,Paramètres!$A$1:$I$89,3,0)*0.475*44/12</f>
        <v>1.3431361036386303E-8</v>
      </c>
      <c r="AC83" s="22">
        <f t="shared" si="57"/>
        <v>16.331755097041327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381</v>
      </c>
      <c r="AG83" s="12">
        <f>VLOOKUP(A83,'Données projet'!$A$61:$I$81,9,0)</f>
        <v>4</v>
      </c>
      <c r="AH83" s="12">
        <f t="array" ref="AH83">INDEX(AG:AG,MIN(IF(ISNUMBER(AG83:AG279),ROW(AG83:AG279),"")))</f>
        <v>4</v>
      </c>
      <c r="AI83" s="13">
        <f>IF('Données projet'!$A$62&gt;35,AI82+AH83-AQ82,IF(A83&lt;'Données projet'!$A$62,$AF$205^A83,IF(A83='Données projet'!$A$62,'Données projet'!$B$62,AI82+AH83-AQ82)))</f>
        <v>380.99999999999972</v>
      </c>
      <c r="AJ83" s="13">
        <f>AI83*VLOOKUP('Données projet'!$B$10,Paramètres!$A$1:$I$89,3,0)*VLOOKUP('Données projet'!$B$10,Paramètres!$A$1:$I$89,5,0)</f>
        <v>303.12359999999978</v>
      </c>
      <c r="AK83" s="13">
        <f t="shared" si="89"/>
        <v>71.830894732837621</v>
      </c>
      <c r="AL83" s="20">
        <f t="shared" si="58"/>
        <v>653.0457449930251</v>
      </c>
      <c r="AM83" s="59">
        <f t="shared" si="59"/>
        <v>946.37907832635847</v>
      </c>
      <c r="AN83" s="59">
        <f ca="1">AVERAGE(OFFSET($AM$3,0,0,'Données projet'!$E$10+1,1))-AVERAGE(OFFSET($H$3,0,0,'Données projet'!$E$10+1,1))</f>
        <v>325.72928944930294</v>
      </c>
      <c r="AO83" s="59">
        <f t="shared" si="90"/>
        <v>318.38876834819752</v>
      </c>
      <c r="AP83" s="15">
        <f>IF(ISNA(VLOOKUP(A83,'Données projet'!$A$61:$I$81,3,0)),0,VLOOKUP(A83,'Données projet'!$A$61:$I$81,3,0))</f>
        <v>15</v>
      </c>
      <c r="AQ83" s="15">
        <f>IF(ISNA(VLOOKUP(A83,'Données projet'!$A$61:$I$81,4,0)),0,VLOOKUP(A83,'Données projet'!$A$61:$I$81,4,0))</f>
        <v>13</v>
      </c>
      <c r="AR83" s="16">
        <f>IF(ISNA(VLOOKUP(A83,'Données projet'!$A$61:$I$81,5,0)),0%,VLOOKUP(A83,'Données projet'!$A$61:$I$81,5,0)*VLOOKUP('Données projet'!$B$10,Paramètres!$A$1:$I$89,7,0))</f>
        <v>0.53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60.452996006420236</v>
      </c>
      <c r="AV83" s="21">
        <f>EXP(-LN(2)/25)*AV82+(1-EXP(-LN(2)/25))/(LN(2)/25)*Calculateur!AQ83*Calculateur!AS83*VLOOKUP('Données projet'!$B$10,Paramètres!$A$1:$I$89,3,0)*0.475*44/12</f>
        <v>7.1619116114732071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67.614907617893437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277</v>
      </c>
      <c r="BB83" s="12">
        <f>VLOOKUP(A83,'Données projet'!$A$87:$I$107,9,0)</f>
        <v>4.5999999999999996</v>
      </c>
      <c r="BC83" s="12">
        <f t="array" ref="BC83">INDEX(BB:BB,MIN(IF(ISNUMBER(BB83:BB279),ROW(BB83:BB279),"")))</f>
        <v>4.5999999999999996</v>
      </c>
      <c r="BD83" s="12">
        <f>IF('Données projet'!$A$88&gt;35,BD82+BC83-BL82,IF(A83&lt;'Données projet'!$A$88,$BA$205^A83,IF(A83='Données projet'!$A$88,'Données projet'!$B$88,BD82+BC83-BL82)))</f>
        <v>277.00000000000023</v>
      </c>
      <c r="BE83" s="13">
        <f>BD83*VLOOKUP('Données projet'!$B$11,Paramètres!$A$1:$I$89,3,0)*VLOOKUP('Données projet'!$B$11,Paramètres!$A$1:$I$89,5,0)</f>
        <v>181.49040000000014</v>
      </c>
      <c r="BF83" s="13">
        <f t="shared" si="91"/>
        <v>45.653613407555532</v>
      </c>
      <c r="BG83" s="20">
        <f t="shared" si="61"/>
        <v>395.60915668482608</v>
      </c>
      <c r="BH83" s="59">
        <f t="shared" si="62"/>
        <v>688.94249001815933</v>
      </c>
      <c r="BI83" s="59">
        <f ca="1">AVERAGE(OFFSET($BH$3,0,0,'Données projet'!$E$11+1,1))-AVERAGE(OFFSET($H$3,0,0,'Données projet'!$E$11+1,1))</f>
        <v>209.40885738157152</v>
      </c>
      <c r="BJ83" s="59">
        <f t="shared" si="92"/>
        <v>230.15385333954697</v>
      </c>
      <c r="BK83" s="15">
        <f>IF(ISNA(VLOOKUP(A83,'Données projet'!$A$87:$I$107,3,0)),0,VLOOKUP(A83,'Données projet'!$A$87:$I$107,3,0))</f>
        <v>15</v>
      </c>
      <c r="BL83" s="21" t="str">
        <f>IF(ISNA(VLOOKUP(A83,'Données projet'!$A$87:$I$107,4,0)),0,VLOOKUP(A83,'Données projet'!$A$87:$I$107,4,0))</f>
        <v>18</v>
      </c>
      <c r="BM83" s="16">
        <f>IF(ISNA(VLOOKUP(A83,'Données projet'!$A$87:$I$107,5,0)),0%,VLOOKUP(A83,'Données projet'!$A$87:$I$107,5,0)*VLOOKUP('Données projet'!$B$11,Paramètres!$A$1:$I$89,7,0))</f>
        <v>8.6000000000000007E-2</v>
      </c>
      <c r="BN83" s="16">
        <f>IF(ISNA(VLOOKUP(A83,'Données projet'!$A$87:$I$107,6,0)),0%,VLOOKUP(A83,'Données projet'!$A$87:$I$107,6,0)*VLOOKUP('Données projet'!$B$11,Paramètres!$A$1:$I$89,7,0))</f>
        <v>0.215</v>
      </c>
      <c r="BO83" s="16">
        <f>IF(ISNA(VLOOKUP(A83,'Données projet'!$A$87:$I$107,7,0)),0%,VLOOKUP(A83,'Données projet'!$A$87:$I$107,7,0))</f>
        <v>0.2</v>
      </c>
      <c r="BP83" s="21">
        <f>EXP(-LN(2)/35)*BP82+(1-EXP(-LN(2)/35))/(LN(2)/35)*BL83*BM83*VLOOKUP('Données projet'!$B$11,Paramètres!$A$1:$I$89,3,0)*0.475*44/12</f>
        <v>3.7418098488141585</v>
      </c>
      <c r="BQ83" s="21">
        <f>EXP(-LN(2)/25)*BQ82+(1-EXP(-LN(2)/25))/(LN(2)/25)*Calculateur!BL83*Calculateur!BN83*VLOOKUP('Données projet'!$B$11,Paramètres!$A$1:$I$89,3,0)*0.475*44/12</f>
        <v>15.662035384205739</v>
      </c>
      <c r="BR83" s="21">
        <f>EXP(-LN(2)/2)*BR82+(1-EXP(-LN(2)/2))/(LN(2)/2)*BL83*BO83*VLOOKUP('Données projet'!$B$11,Paramètres!$A$1:$I$89,3,0)*0.475*44/12</f>
        <v>2.7903732570753732</v>
      </c>
      <c r="BS83" s="22">
        <f t="shared" si="63"/>
        <v>22.19421849009527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274.01282051282055</v>
      </c>
      <c r="BW83" s="12">
        <f>VLOOKUP(A83,'Données projet'!$A$113:$I$133,9,0)</f>
        <v>7.8425925925925934</v>
      </c>
      <c r="BX83" s="12">
        <f t="array" ref="BX83">INDEX(BW:BW,MIN(IF(ISNUMBER(BW83:BW279),ROW(BW83:BW279),"")))</f>
        <v>7.8425925925925934</v>
      </c>
      <c r="BY83" s="12">
        <f>IF('Données projet'!$A$114&gt;35,BY82+BX83-CG82,IF(A83&lt;'Données projet'!$A$114,$BV$205^A83,IF(A83='Données projet'!$A$114,'Données projet'!$B$114,BY82+BX83-CG82)))</f>
        <v>274.01282051282072</v>
      </c>
      <c r="BZ83" s="13">
        <f>BY83*VLOOKUP('Données projet'!$B$12,Paramètres!$A$1:$I$89,3,0)*VLOOKUP('Données projet'!$B$12,Paramètres!$A$1:$I$89,5,0)</f>
        <v>247.92680000000016</v>
      </c>
      <c r="CA83" s="13">
        <f t="shared" si="93"/>
        <v>60.141781345371967</v>
      </c>
      <c r="CB83" s="20">
        <f t="shared" si="64"/>
        <v>536.55277917652313</v>
      </c>
      <c r="CC83" s="59">
        <f t="shared" si="65"/>
        <v>829.8861125098565</v>
      </c>
      <c r="CD83" s="59">
        <f ca="1">AVERAGE(OFFSET($CC$3,0,0,'Données projet'!$E$12+1,1))-AVERAGE(OFFSET($H$3,0,0,'Données projet'!$E$12+1,1))</f>
        <v>270.87836509222456</v>
      </c>
      <c r="CE83" s="59">
        <f t="shared" si="94"/>
        <v>205.24998237949734</v>
      </c>
      <c r="CF83" s="15">
        <f>IF(ISNA(VLOOKUP(A83,'Données projet'!$A$113:$I$133,3,0)),0,VLOOKUP(A83,'Données projet'!$A$113:$I$133,3,0))</f>
        <v>7</v>
      </c>
      <c r="CG83" s="15">
        <f>IF(ISNA(VLOOKUP(A83,'Données projet'!$A$113:$I$133,4,0)),0,VLOOKUP(A83,'Données projet'!$A$113:$I$133,4,0))</f>
        <v>45.608974358974358</v>
      </c>
      <c r="CH83" s="16">
        <f>IF(ISNA(VLOOKUP(A83,'Données projet'!$A$113:$I$133,5,0)),0%,VLOOKUP(A83,'Données projet'!$A$113:$I$133,5,0)*VLOOKUP('Données projet'!$B$12,Paramètres!$A$1:$I$89,7,0))</f>
        <v>0.30099999999999999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32.763017332710646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32.763017332710646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208</v>
      </c>
      <c r="CR83" s="12">
        <f>VLOOKUP(A83,'Données projet'!$A$139:$I$159,9,0)</f>
        <v>3.2</v>
      </c>
      <c r="CS83" s="12">
        <f t="array" ref="CS83">INDEX(CR:CR,MIN(IF(ISNUMBER(CR83:CR279),ROW(CR83:CR279),"")))</f>
        <v>3.2</v>
      </c>
      <c r="CT83" s="12">
        <f>IF('Données projet'!$A$140&gt;35,CT82+CS83-DB82,IF(A83&lt;'Données projet'!$A$140,$CQ$205^A83,IF(A83='Données projet'!$A$140,'Données projet'!$B$140,CT82+CS83-DB82)))</f>
        <v>207.99999999999991</v>
      </c>
      <c r="CU83" s="17">
        <f>CT83*VLOOKUP('Données projet'!$B$13,Paramètres!$A$1:$I$89,3,0)*VLOOKUP('Données projet'!$B$13,Paramètres!$A$1:$I$89,5,0)</f>
        <v>181.70879999999994</v>
      </c>
      <c r="CV83" s="13">
        <f t="shared" si="95"/>
        <v>45.702153370067769</v>
      </c>
      <c r="CW83" s="20">
        <f t="shared" si="67"/>
        <v>396.07407711953459</v>
      </c>
      <c r="CX83" s="59">
        <f t="shared" si="68"/>
        <v>689.40741045286791</v>
      </c>
      <c r="CY83" s="59">
        <f ca="1">AVERAGE(OFFSET($CX$3,0,0,'Données projet'!$E$13+1,1))-AVERAGE(OFFSET($H$3,0,0,'Données projet'!$E$13+1,1))</f>
        <v>207.4513063267579</v>
      </c>
      <c r="CZ83" s="59">
        <f t="shared" si="96"/>
        <v>191.63513530247218</v>
      </c>
      <c r="DA83" s="15">
        <f>IF(ISNA(VLOOKUP(A83,'Données projet'!$A$139:$I$159,3,0)),0,VLOOKUP(A83,'Données projet'!$A$139:$I$159,3,0))</f>
        <v>13</v>
      </c>
      <c r="DB83" s="15" t="str">
        <f>IF(ISNA(VLOOKUP(A83,'Données projet'!$A$139:$I$159,4,0)),0,VLOOKUP(A83,'Données projet'!$A$139:$I$159,4,0))</f>
        <v>11</v>
      </c>
      <c r="DC83" s="16">
        <f>IF(ISNA(VLOOKUP(A83,'Données projet'!$A$139:$I$159,5,0)),0%,VLOOKUP(A83,'Données projet'!$A$139:$I$159,5,0)*VLOOKUP('Données projet'!$B$13,Paramètres!$A$1:$I$89,7,0))</f>
        <v>0.17200000000000001</v>
      </c>
      <c r="DD83" s="16">
        <f>IF(ISNA(VLOOKUP(A83,'Données projet'!$A$139:$I$159,6,0)),0%,VLOOKUP(A83,'Données projet'!$A$139:$I$159,6,0)*VLOOKUP('Données projet'!$B$13,Paramètres!$A$1:$I$89,7,0))</f>
        <v>0.17200000000000001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10.901135848785492</v>
      </c>
      <c r="DG83" s="21">
        <f>EXP(-LN(2)/25)*DG82+(1-EXP(-LN(2)/25))/(LN(2)/25)*Calculateur!DB83*Calculateur!DD83*VLOOKUP('Données projet'!$B$13,Paramètres!$A$1:$I$89,3,0)*0.475*44/12</f>
        <v>14.341919360915453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25.243055209700945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66.814714696519275</v>
      </c>
      <c r="T84" s="59">
        <f t="shared" si="88"/>
        <v>199.56746335788068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14.135737230916773</v>
      </c>
      <c r="AA84" s="21">
        <f>EXP(-LN(2)/25)*AA83+(1-EXP(-LN(2)/25))/(LN(2)/25)*Calculateur!V84*Calculateur!X84*VLOOKUP('Données projet'!$B$9,Paramètres!$A$1:$I$89,3,0)*0.475*44/12</f>
        <v>1.8609616057228067</v>
      </c>
      <c r="AB84" s="21">
        <f>EXP(-LN(2)/2)*AB83+(1-EXP(-LN(2)/2))/(LN(2)/2)*V84*Y84*VLOOKUP('Données projet'!$B$9,Paramètres!$A$1:$I$89,3,0)*0.475*44/12</f>
        <v>9.4974064693935293E-9</v>
      </c>
      <c r="AC84" s="22">
        <f t="shared" si="57"/>
        <v>15.996698846136987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367.99999999999972</v>
      </c>
      <c r="AJ84" s="13">
        <f>AI84*VLOOKUP('Données projet'!$B$10,Paramètres!$A$1:$I$89,3,0)*VLOOKUP('Données projet'!$B$10,Paramètres!$A$1:$I$89,5,0)</f>
        <v>292.78079999999977</v>
      </c>
      <c r="AK84" s="13">
        <f t="shared" si="89"/>
        <v>69.660903052386217</v>
      </c>
      <c r="AL84" s="20">
        <f t="shared" si="58"/>
        <v>631.25263281623893</v>
      </c>
      <c r="AM84" s="59">
        <f t="shared" si="59"/>
        <v>924.58596614957219</v>
      </c>
      <c r="AN84" s="59">
        <f ca="1">AVERAGE(OFFSET($AM$3,0,0,'Données projet'!$E$10+1,1))-AVERAGE(OFFSET($H$3,0,0,'Données projet'!$E$10+1,1))</f>
        <v>325.72928944930294</v>
      </c>
      <c r="AO84" s="59">
        <f t="shared" si="90"/>
        <v>318.38876834819752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59.267549627421026</v>
      </c>
      <c r="AV84" s="21">
        <f>EXP(-LN(2)/25)*AV83+(1-EXP(-LN(2)/25))/(LN(2)/25)*Calculateur!AQ84*Calculateur!AS84*VLOOKUP('Données projet'!$B$10,Paramètres!$A$1:$I$89,3,0)*0.475*44/12</f>
        <v>6.9660687618289092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66.233618389249941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4.2</v>
      </c>
      <c r="BD84" s="12">
        <f>IF('Données projet'!$A$88&gt;35,BD83+BC84-BL83,IF(A84&lt;'Données projet'!$A$88,$BA$205^A84,IF(A84='Données projet'!$A$88,'Données projet'!$B$88,BD83+BC84-BL83)))</f>
        <v>263.20000000000022</v>
      </c>
      <c r="BE84" s="13">
        <f>BD84*VLOOKUP('Données projet'!$B$11,Paramètres!$A$1:$I$89,3,0)*VLOOKUP('Données projet'!$B$11,Paramètres!$A$1:$I$89,5,0)</f>
        <v>172.44864000000013</v>
      </c>
      <c r="BF84" s="13">
        <f t="shared" si="91"/>
        <v>43.637980200453718</v>
      </c>
      <c r="BG84" s="20">
        <f t="shared" si="61"/>
        <v>376.35086351579042</v>
      </c>
      <c r="BH84" s="59">
        <f t="shared" si="62"/>
        <v>669.68419684912374</v>
      </c>
      <c r="BI84" s="59">
        <f ca="1">AVERAGE(OFFSET($BH$3,0,0,'Données projet'!$E$11+1,1))-AVERAGE(OFFSET($H$3,0,0,'Données projet'!$E$11+1,1))</f>
        <v>209.40885738157152</v>
      </c>
      <c r="BJ84" s="59">
        <f t="shared" si="92"/>
        <v>230.15385333954697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3.6684352399575642</v>
      </c>
      <c r="BQ84" s="21">
        <f>EXP(-LN(2)/25)*BQ83+(1-EXP(-LN(2)/25))/(LN(2)/25)*Calculateur!BL84*Calculateur!BN84*VLOOKUP('Données projet'!$B$11,Paramètres!$A$1:$I$89,3,0)*0.475*44/12</f>
        <v>15.233756202993987</v>
      </c>
      <c r="BR84" s="21">
        <f>EXP(-LN(2)/2)*BR83+(1-EXP(-LN(2)/2))/(LN(2)/2)*BL84*BO84*VLOOKUP('Données projet'!$B$11,Paramètres!$A$1:$I$89,3,0)*0.475*44/12</f>
        <v>1.9730918521195899</v>
      </c>
      <c r="BS84" s="22">
        <f t="shared" si="63"/>
        <v>20.875283295071142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7.4950142450142421</v>
      </c>
      <c r="BY84" s="12">
        <f>IF('Données projet'!$A$114&gt;35,BY83+BX84-CG83,IF(A84&lt;'Données projet'!$A$114,$BV$205^A84,IF(A84='Données projet'!$A$114,'Données projet'!$B$114,BY83+BX84-CG83)))</f>
        <v>235.89886039886062</v>
      </c>
      <c r="BZ84" s="13">
        <f>BY84*VLOOKUP('Données projet'!$B$12,Paramètres!$A$1:$I$89,3,0)*VLOOKUP('Données projet'!$B$12,Paramètres!$A$1:$I$89,5,0)</f>
        <v>213.44128888888909</v>
      </c>
      <c r="CA84" s="13">
        <f t="shared" si="93"/>
        <v>52.686881026481977</v>
      </c>
      <c r="CB84" s="20">
        <f t="shared" si="64"/>
        <v>463.50656260260456</v>
      </c>
      <c r="CC84" s="59">
        <f t="shared" si="65"/>
        <v>756.83989593593788</v>
      </c>
      <c r="CD84" s="59">
        <f ca="1">AVERAGE(OFFSET($CC$3,0,0,'Données projet'!$E$12+1,1))-AVERAGE(OFFSET($H$3,0,0,'Données projet'!$E$12+1,1))</f>
        <v>270.87836509222456</v>
      </c>
      <c r="CE84" s="59">
        <f t="shared" si="94"/>
        <v>205.24998237949734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32.120554546283557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32.120554546283557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2.8</v>
      </c>
      <c r="CT84" s="12">
        <f>IF('Données projet'!$A$140&gt;35,CT83+CS84-DB83,IF(A84&lt;'Données projet'!$A$140,$CQ$205^A84,IF(A84='Données projet'!$A$140,'Données projet'!$B$140,CT83+CS84-DB83)))</f>
        <v>199.79999999999993</v>
      </c>
      <c r="CU84" s="17">
        <f>CT84*VLOOKUP('Données projet'!$B$13,Paramètres!$A$1:$I$89,3,0)*VLOOKUP('Données projet'!$B$13,Paramètres!$A$1:$I$89,5,0)</f>
        <v>174.54527999999993</v>
      </c>
      <c r="CV84" s="13">
        <f t="shared" si="95"/>
        <v>44.106446559111959</v>
      </c>
      <c r="CW84" s="20">
        <f t="shared" si="67"/>
        <v>380.81842375711989</v>
      </c>
      <c r="CX84" s="59">
        <f t="shared" si="68"/>
        <v>674.1517570904532</v>
      </c>
      <c r="CY84" s="59">
        <f ca="1">AVERAGE(OFFSET($CX$3,0,0,'Données projet'!$E$13+1,1))-AVERAGE(OFFSET($H$3,0,0,'Données projet'!$E$13+1,1))</f>
        <v>207.4513063267579</v>
      </c>
      <c r="CZ84" s="59">
        <f t="shared" si="96"/>
        <v>191.63513530247218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10.687371223827139</v>
      </c>
      <c r="DG84" s="21">
        <f>EXP(-LN(2)/25)*DG83+(1-EXP(-LN(2)/25))/(LN(2)/25)*Calculateur!DB84*Calculateur!DD84*VLOOKUP('Données projet'!$B$13,Paramètres!$A$1:$I$89,3,0)*0.475*44/12</f>
        <v>13.949738821782459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24.637110045609596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66.814714696519275</v>
      </c>
      <c r="T85" s="59">
        <f t="shared" si="88"/>
        <v>199.56746335788068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13.858544045766859</v>
      </c>
      <c r="AA85" s="21">
        <f>EXP(-LN(2)/25)*AA84+(1-EXP(-LN(2)/25))/(LN(2)/25)*Calculateur!V85*Calculateur!X85*VLOOKUP('Données projet'!$B$9,Paramètres!$A$1:$I$89,3,0)*0.475*44/12</f>
        <v>1.8100735127505989</v>
      </c>
      <c r="AB85" s="21">
        <f>EXP(-LN(2)/2)*AB84+(1-EXP(-LN(2)/2))/(LN(2)/2)*V85*Y85*VLOOKUP('Données projet'!$B$9,Paramètres!$A$1:$I$89,3,0)*0.475*44/12</f>
        <v>6.7156805181931513E-9</v>
      </c>
      <c r="AC85" s="22">
        <f t="shared" si="57"/>
        <v>15.668617565233138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367.99999999999972</v>
      </c>
      <c r="AJ85" s="13">
        <f>AI85*VLOOKUP('Données projet'!$B$10,Paramètres!$A$1:$I$89,3,0)*VLOOKUP('Données projet'!$B$10,Paramètres!$A$1:$I$89,5,0)</f>
        <v>292.78079999999977</v>
      </c>
      <c r="AK85" s="13">
        <f t="shared" si="89"/>
        <v>69.660903052386217</v>
      </c>
      <c r="AL85" s="20">
        <f t="shared" si="58"/>
        <v>631.25263281623893</v>
      </c>
      <c r="AM85" s="59">
        <f t="shared" si="59"/>
        <v>924.58596614957219</v>
      </c>
      <c r="AN85" s="59">
        <f ca="1">AVERAGE(OFFSET($AM$3,0,0,'Données projet'!$E$10+1,1))-AVERAGE(OFFSET($H$3,0,0,'Données projet'!$E$10+1,1))</f>
        <v>325.72928944930294</v>
      </c>
      <c r="AO85" s="59">
        <f t="shared" si="90"/>
        <v>318.38876834819752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58.105349128863089</v>
      </c>
      <c r="AV85" s="21">
        <f>EXP(-LN(2)/25)*AV84+(1-EXP(-LN(2)/25))/(LN(2)/25)*Calculateur!AQ85*Calculateur!AS85*VLOOKUP('Données projet'!$B$10,Paramètres!$A$1:$I$89,3,0)*0.475*44/12</f>
        <v>6.7755812452070625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64.880930374070147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4.2</v>
      </c>
      <c r="BD85" s="12">
        <f>IF('Données projet'!$A$88&gt;35,BD84+BC85-BL84,IF(A85&lt;'Données projet'!$A$88,$BA$205^A85,IF(A85='Données projet'!$A$88,'Données projet'!$B$88,BD84+BC85-BL84)))</f>
        <v>267.4000000000002</v>
      </c>
      <c r="BE85" s="13">
        <f>BD85*VLOOKUP('Données projet'!$B$11,Paramètres!$A$1:$I$89,3,0)*VLOOKUP('Données projet'!$B$11,Paramètres!$A$1:$I$89,5,0)</f>
        <v>175.20048000000014</v>
      </c>
      <c r="BF85" s="13">
        <f t="shared" si="91"/>
        <v>44.252707646937758</v>
      </c>
      <c r="BG85" s="20">
        <f t="shared" si="61"/>
        <v>382.2143018184168</v>
      </c>
      <c r="BH85" s="59">
        <f t="shared" si="62"/>
        <v>675.54763515175011</v>
      </c>
      <c r="BI85" s="59">
        <f ca="1">AVERAGE(OFFSET($BH$3,0,0,'Données projet'!$E$11+1,1))-AVERAGE(OFFSET($H$3,0,0,'Données projet'!$E$11+1,1))</f>
        <v>209.40885738157152</v>
      </c>
      <c r="BJ85" s="59">
        <f t="shared" si="92"/>
        <v>230.15385333954697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3.5964994624265554</v>
      </c>
      <c r="BQ85" s="21">
        <f>EXP(-LN(2)/25)*BQ84+(1-EXP(-LN(2)/25))/(LN(2)/25)*Calculateur!BL85*Calculateur!BN85*VLOOKUP('Données projet'!$B$11,Paramètres!$A$1:$I$89,3,0)*0.475*44/12</f>
        <v>14.817188338514695</v>
      </c>
      <c r="BR85" s="21">
        <f>EXP(-LN(2)/2)*BR84+(1-EXP(-LN(2)/2))/(LN(2)/2)*BL85*BO85*VLOOKUP('Données projet'!$B$11,Paramètres!$A$1:$I$89,3,0)*0.475*44/12</f>
        <v>1.3951866285376868</v>
      </c>
      <c r="BS85" s="22">
        <f t="shared" si="63"/>
        <v>19.808874429478937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7.4950142450142421</v>
      </c>
      <c r="BY85" s="12">
        <f>IF('Données projet'!$A$114&gt;35,BY84+BX85-CG84,IF(A85&lt;'Données projet'!$A$114,$BV$205^A85,IF(A85='Données projet'!$A$114,'Données projet'!$B$114,BY84+BX85-CG84)))</f>
        <v>243.39387464387485</v>
      </c>
      <c r="BZ85" s="13">
        <f>BY85*VLOOKUP('Données projet'!$B$12,Paramètres!$A$1:$I$89,3,0)*VLOOKUP('Données projet'!$B$12,Paramètres!$A$1:$I$89,5,0)</f>
        <v>220.22277777777796</v>
      </c>
      <c r="CA85" s="13">
        <f t="shared" si="93"/>
        <v>54.163302517364365</v>
      </c>
      <c r="CB85" s="20">
        <f t="shared" si="64"/>
        <v>477.88908984737282</v>
      </c>
      <c r="CC85" s="59">
        <f t="shared" si="65"/>
        <v>771.22242318070607</v>
      </c>
      <c r="CD85" s="59">
        <f ca="1">AVERAGE(OFFSET($CC$3,0,0,'Données projet'!$E$12+1,1))-AVERAGE(OFFSET($H$3,0,0,'Données projet'!$E$12+1,1))</f>
        <v>270.87836509222456</v>
      </c>
      <c r="CE85" s="59">
        <f t="shared" si="94"/>
        <v>205.24998237949734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31.490690063234698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31.490690063234698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2.8</v>
      </c>
      <c r="CT85" s="12">
        <f>IF('Données projet'!$A$140&gt;35,CT84+CS85-DB84,IF(A85&lt;'Données projet'!$A$140,$CQ$205^A85,IF(A85='Données projet'!$A$140,'Données projet'!$B$140,CT84+CS85-DB84)))</f>
        <v>202.59999999999994</v>
      </c>
      <c r="CU85" s="17">
        <f>CT85*VLOOKUP('Données projet'!$B$13,Paramètres!$A$1:$I$89,3,0)*VLOOKUP('Données projet'!$B$13,Paramètres!$A$1:$I$89,5,0)</f>
        <v>176.99135999999996</v>
      </c>
      <c r="CV85" s="13">
        <f t="shared" si="95"/>
        <v>44.65216395512175</v>
      </c>
      <c r="CW85" s="20">
        <f t="shared" si="67"/>
        <v>386.02913755517028</v>
      </c>
      <c r="CX85" s="59">
        <f t="shared" si="68"/>
        <v>679.36247088850359</v>
      </c>
      <c r="CY85" s="59">
        <f ca="1">AVERAGE(OFFSET($CX$3,0,0,'Données projet'!$E$13+1,1))-AVERAGE(OFFSET($H$3,0,0,'Données projet'!$E$13+1,1))</f>
        <v>207.4513063267579</v>
      </c>
      <c r="CZ85" s="59">
        <f t="shared" si="96"/>
        <v>191.63513530247218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10.477798392780672</v>
      </c>
      <c r="DG85" s="21">
        <f>EXP(-LN(2)/25)*DG84+(1-EXP(-LN(2)/25))/(LN(2)/25)*Calculateur!DB85*Calculateur!DD85*VLOOKUP('Données projet'!$B$13,Paramètres!$A$1:$I$89,3,0)*0.475*44/12</f>
        <v>13.568282480115936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24.04608087289661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66.814714696519275</v>
      </c>
      <c r="T86" s="59">
        <f t="shared" si="88"/>
        <v>199.56746335788068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13.586786449906587</v>
      </c>
      <c r="AA86" s="21">
        <f>EXP(-LN(2)/25)*AA85+(1-EXP(-LN(2)/25))/(LN(2)/25)*Calculateur!V86*Calculateur!X86*VLOOKUP('Données projet'!$B$9,Paramètres!$A$1:$I$89,3,0)*0.475*44/12</f>
        <v>1.7605769573568046</v>
      </c>
      <c r="AB86" s="21">
        <f>EXP(-LN(2)/2)*AB85+(1-EXP(-LN(2)/2))/(LN(2)/2)*V86*Y86*VLOOKUP('Données projet'!$B$9,Paramètres!$A$1:$I$89,3,0)*0.475*44/12</f>
        <v>4.7487032346967647E-9</v>
      </c>
      <c r="AC86" s="22">
        <f t="shared" si="57"/>
        <v>15.347363412012093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367.99999999999972</v>
      </c>
      <c r="AJ86" s="13">
        <f>AI86*VLOOKUP('Données projet'!$B$10,Paramètres!$A$1:$I$89,3,0)*VLOOKUP('Données projet'!$B$10,Paramètres!$A$1:$I$89,5,0)</f>
        <v>292.78079999999977</v>
      </c>
      <c r="AK86" s="13">
        <f t="shared" si="89"/>
        <v>69.660903052386217</v>
      </c>
      <c r="AL86" s="20">
        <f t="shared" si="58"/>
        <v>631.25263281623893</v>
      </c>
      <c r="AM86" s="59">
        <f t="shared" si="59"/>
        <v>924.58596614957219</v>
      </c>
      <c r="AN86" s="59">
        <f ca="1">AVERAGE(OFFSET($AM$3,0,0,'Données projet'!$E$10+1,1))-AVERAGE(OFFSET($H$3,0,0,'Données projet'!$E$10+1,1))</f>
        <v>325.72928944930294</v>
      </c>
      <c r="AO86" s="59">
        <f t="shared" si="90"/>
        <v>318.38876834819752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56.965938673209571</v>
      </c>
      <c r="AV86" s="21">
        <f>EXP(-LN(2)/25)*AV85+(1-EXP(-LN(2)/25))/(LN(2)/25)*Calculateur!AQ86*Calculateur!AS86*VLOOKUP('Données projet'!$B$10,Paramètres!$A$1:$I$89,3,0)*0.475*44/12</f>
        <v>6.5903026197445431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63.556241292954113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4.2</v>
      </c>
      <c r="BD86" s="12">
        <f>IF('Données projet'!$A$88&gt;35,BD85+BC86-BL85,IF(A86&lt;'Données projet'!$A$88,$BA$205^A86,IF(A86='Données projet'!$A$88,'Données projet'!$B$88,BD85+BC86-BL85)))</f>
        <v>271.60000000000019</v>
      </c>
      <c r="BE86" s="13">
        <f>BD86*VLOOKUP('Données projet'!$B$11,Paramètres!$A$1:$I$89,3,0)*VLOOKUP('Données projet'!$B$11,Paramètres!$A$1:$I$89,5,0)</f>
        <v>177.95232000000013</v>
      </c>
      <c r="BF86" s="13">
        <f t="shared" si="91"/>
        <v>44.866312182234608</v>
      </c>
      <c r="BG86" s="20">
        <f t="shared" si="61"/>
        <v>388.07578438405881</v>
      </c>
      <c r="BH86" s="59">
        <f t="shared" si="62"/>
        <v>681.40911771739206</v>
      </c>
      <c r="BI86" s="59">
        <f ca="1">AVERAGE(OFFSET($BH$3,0,0,'Données projet'!$E$11+1,1))-AVERAGE(OFFSET($H$3,0,0,'Données projet'!$E$11+1,1))</f>
        <v>209.40885738157152</v>
      </c>
      <c r="BJ86" s="59">
        <f t="shared" si="92"/>
        <v>230.15385333954697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3.5259743016164378</v>
      </c>
      <c r="BQ86" s="21">
        <f>EXP(-LN(2)/25)*BQ85+(1-EXP(-LN(2)/25))/(LN(2)/25)*Calculateur!BL86*Calculateur!BN86*VLOOKUP('Données projet'!$B$11,Paramètres!$A$1:$I$89,3,0)*0.475*44/12</f>
        <v>14.412011544195941</v>
      </c>
      <c r="BR86" s="21">
        <f>EXP(-LN(2)/2)*BR85+(1-EXP(-LN(2)/2))/(LN(2)/2)*BL86*BO86*VLOOKUP('Données projet'!$B$11,Paramètres!$A$1:$I$89,3,0)*0.475*44/12</f>
        <v>0.98654592605979519</v>
      </c>
      <c r="BS86" s="22">
        <f t="shared" si="63"/>
        <v>18.924531771872172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7.4950142450142421</v>
      </c>
      <c r="BY86" s="12">
        <f>IF('Données projet'!$A$114&gt;35,BY85+BX86-CG85,IF(A86&lt;'Données projet'!$A$114,$BV$205^A86,IF(A86='Données projet'!$A$114,'Données projet'!$B$114,BY85+BX86-CG85)))</f>
        <v>250.88888888888908</v>
      </c>
      <c r="BZ86" s="13">
        <f>BY86*VLOOKUP('Données projet'!$B$12,Paramètres!$A$1:$I$89,3,0)*VLOOKUP('Données projet'!$B$12,Paramètres!$A$1:$I$89,5,0)</f>
        <v>227.00426666666684</v>
      </c>
      <c r="CA86" s="13">
        <f t="shared" si="93"/>
        <v>55.634440522110118</v>
      </c>
      <c r="CB86" s="20">
        <f t="shared" si="64"/>
        <v>492.26241502045315</v>
      </c>
      <c r="CC86" s="59">
        <f t="shared" si="65"/>
        <v>785.59574835378646</v>
      </c>
      <c r="CD86" s="59">
        <f ca="1">AVERAGE(OFFSET($CC$3,0,0,'Données projet'!$E$12+1,1))-AVERAGE(OFFSET($H$3,0,0,'Données projet'!$E$12+1,1))</f>
        <v>270.87836509222456</v>
      </c>
      <c r="CE86" s="59">
        <f t="shared" si="94"/>
        <v>205.24998237949734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30.873176838519029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30.873176838519029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2.8</v>
      </c>
      <c r="CT86" s="12">
        <f>IF('Données projet'!$A$140&gt;35,CT85+CS86-DB85,IF(A86&lt;'Données projet'!$A$140,$CQ$205^A86,IF(A86='Données projet'!$A$140,'Données projet'!$B$140,CT85+CS86-DB85)))</f>
        <v>205.39999999999995</v>
      </c>
      <c r="CU86" s="17">
        <f>CT86*VLOOKUP('Données projet'!$B$13,Paramètres!$A$1:$I$89,3,0)*VLOOKUP('Données projet'!$B$13,Paramètres!$A$1:$I$89,5,0)</f>
        <v>179.43743999999998</v>
      </c>
      <c r="CV86" s="13">
        <f t="shared" si="95"/>
        <v>45.197004138831623</v>
      </c>
      <c r="CW86" s="20">
        <f t="shared" si="67"/>
        <v>391.23832354179837</v>
      </c>
      <c r="CX86" s="59">
        <f t="shared" si="68"/>
        <v>684.57165687513168</v>
      </c>
      <c r="CY86" s="59">
        <f ca="1">AVERAGE(OFFSET($CX$3,0,0,'Données projet'!$E$13+1,1))-AVERAGE(OFFSET($H$3,0,0,'Données projet'!$E$13+1,1))</f>
        <v>207.4513063267579</v>
      </c>
      <c r="CZ86" s="59">
        <f t="shared" si="96"/>
        <v>191.63513530247218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10.272335157124221</v>
      </c>
      <c r="DG86" s="21">
        <f>EXP(-LN(2)/25)*DG85+(1-EXP(-LN(2)/25))/(LN(2)/25)*Calculateur!DB86*Calculateur!DD86*VLOOKUP('Données projet'!$B$13,Paramètres!$A$1:$I$89,3,0)*0.475*44/12</f>
        <v>13.197257082172202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23.469592239296425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66.814714696519275</v>
      </c>
      <c r="T87" s="59">
        <f t="shared" si="88"/>
        <v>199.56746335788068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13.320357854745367</v>
      </c>
      <c r="AA87" s="21">
        <f>EXP(-LN(2)/25)*AA86+(1-EXP(-LN(2)/25))/(LN(2)/25)*Calculateur!V87*Calculateur!X87*VLOOKUP('Données projet'!$B$9,Paramètres!$A$1:$I$89,3,0)*0.475*44/12</f>
        <v>1.7124338878731644</v>
      </c>
      <c r="AB87" s="21">
        <f>EXP(-LN(2)/2)*AB86+(1-EXP(-LN(2)/2))/(LN(2)/2)*V87*Y87*VLOOKUP('Données projet'!$B$9,Paramètres!$A$1:$I$89,3,0)*0.475*44/12</f>
        <v>3.3578402590965756E-9</v>
      </c>
      <c r="AC87" s="22">
        <f t="shared" si="57"/>
        <v>15.032791745976372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367.99999999999972</v>
      </c>
      <c r="AJ87" s="13">
        <f>AI87*VLOOKUP('Données projet'!$B$10,Paramètres!$A$1:$I$89,3,0)*VLOOKUP('Données projet'!$B$10,Paramètres!$A$1:$I$89,5,0)</f>
        <v>292.78079999999977</v>
      </c>
      <c r="AK87" s="13">
        <f t="shared" si="89"/>
        <v>69.660903052386217</v>
      </c>
      <c r="AL87" s="20">
        <f t="shared" si="58"/>
        <v>631.25263281623893</v>
      </c>
      <c r="AM87" s="59">
        <f t="shared" si="59"/>
        <v>924.58596614957219</v>
      </c>
      <c r="AN87" s="59">
        <f ca="1">AVERAGE(OFFSET($AM$3,0,0,'Données projet'!$E$10+1,1))-AVERAGE(OFFSET($H$3,0,0,'Données projet'!$E$10+1,1))</f>
        <v>325.72928944930294</v>
      </c>
      <c r="AO87" s="59">
        <f t="shared" si="90"/>
        <v>318.38876834819752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55.848871361619658</v>
      </c>
      <c r="AV87" s="21">
        <f>EXP(-LN(2)/25)*AV86+(1-EXP(-LN(2)/25))/(LN(2)/25)*Calculateur!AQ87*Calculateur!AS87*VLOOKUP('Données projet'!$B$10,Paramètres!$A$1:$I$89,3,0)*0.475*44/12</f>
        <v>6.4100904480386758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62.258961809658331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4.2</v>
      </c>
      <c r="BD87" s="12">
        <f>IF('Données projet'!$A$88&gt;35,BD86+BC87-BL86,IF(A87&lt;'Données projet'!$A$88,$BA$205^A87,IF(A87='Données projet'!$A$88,'Données projet'!$B$88,BD86+BC87-BL86)))</f>
        <v>275.80000000000018</v>
      </c>
      <c r="BE87" s="13">
        <f>BD87*VLOOKUP('Données projet'!$B$11,Paramètres!$A$1:$I$89,3,0)*VLOOKUP('Données projet'!$B$11,Paramètres!$A$1:$I$89,5,0)</f>
        <v>180.70416000000012</v>
      </c>
      <c r="BF87" s="13">
        <f t="shared" si="91"/>
        <v>45.4788131763084</v>
      </c>
      <c r="BG87" s="20">
        <f t="shared" si="61"/>
        <v>393.93534494873728</v>
      </c>
      <c r="BH87" s="59">
        <f t="shared" si="62"/>
        <v>687.2686782820706</v>
      </c>
      <c r="BI87" s="59">
        <f ca="1">AVERAGE(OFFSET($BH$3,0,0,'Données projet'!$E$11+1,1))-AVERAGE(OFFSET($H$3,0,0,'Données projet'!$E$11+1,1))</f>
        <v>209.40885738157152</v>
      </c>
      <c r="BJ87" s="59">
        <f t="shared" si="92"/>
        <v>230.15385333954697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3.4568320961937062</v>
      </c>
      <c r="BQ87" s="21">
        <f>EXP(-LN(2)/25)*BQ86+(1-EXP(-LN(2)/25))/(LN(2)/25)*Calculateur!BL87*Calculateur!BN87*VLOOKUP('Données projet'!$B$11,Paramètres!$A$1:$I$89,3,0)*0.475*44/12</f>
        <v>14.017914330625155</v>
      </c>
      <c r="BR87" s="21">
        <f>EXP(-LN(2)/2)*BR86+(1-EXP(-LN(2)/2))/(LN(2)/2)*BL87*BO87*VLOOKUP('Données projet'!$B$11,Paramètres!$A$1:$I$89,3,0)*0.475*44/12</f>
        <v>0.69759331426884352</v>
      </c>
      <c r="BS87" s="22">
        <f t="shared" si="63"/>
        <v>18.172339741087704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7.4950142450142421</v>
      </c>
      <c r="BY87" s="12">
        <f>IF('Données projet'!$A$114&gt;35,BY86+BX87-CG86,IF(A87&lt;'Données projet'!$A$114,$BV$205^A87,IF(A87='Données projet'!$A$114,'Données projet'!$B$114,BY86+BX87-CG86)))</f>
        <v>258.38390313390335</v>
      </c>
      <c r="BZ87" s="13">
        <f>BY87*VLOOKUP('Données projet'!$B$12,Paramètres!$A$1:$I$89,3,0)*VLOOKUP('Données projet'!$B$12,Paramètres!$A$1:$I$89,5,0)</f>
        <v>233.78575555555574</v>
      </c>
      <c r="CA87" s="13">
        <f t="shared" si="93"/>
        <v>57.10047099813341</v>
      </c>
      <c r="CB87" s="20">
        <f t="shared" si="64"/>
        <v>506.62684458100858</v>
      </c>
      <c r="CC87" s="59">
        <f t="shared" si="65"/>
        <v>799.9601779143419</v>
      </c>
      <c r="CD87" s="59">
        <f ca="1">AVERAGE(OFFSET($CC$3,0,0,'Données projet'!$E$12+1,1))-AVERAGE(OFFSET($H$3,0,0,'Données projet'!$E$12+1,1))</f>
        <v>270.87836509222456</v>
      </c>
      <c r="CE87" s="59">
        <f t="shared" si="94"/>
        <v>205.24998237949734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30.267772671494157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30.267772671494157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2.8</v>
      </c>
      <c r="CT87" s="12">
        <f>IF('Données projet'!$A$140&gt;35,CT86+CS87-DB86,IF(A87&lt;'Données projet'!$A$140,$CQ$205^A87,IF(A87='Données projet'!$A$140,'Données projet'!$B$140,CT86+CS87-DB86)))</f>
        <v>208.19999999999996</v>
      </c>
      <c r="CU87" s="17">
        <f>CT87*VLOOKUP('Données projet'!$B$13,Paramètres!$A$1:$I$89,3,0)*VLOOKUP('Données projet'!$B$13,Paramètres!$A$1:$I$89,5,0)</f>
        <v>181.88351999999998</v>
      </c>
      <c r="CV87" s="13">
        <f t="shared" si="95"/>
        <v>45.740980450513447</v>
      </c>
      <c r="CW87" s="20">
        <f t="shared" si="67"/>
        <v>396.4460049513109</v>
      </c>
      <c r="CX87" s="59">
        <f t="shared" si="68"/>
        <v>689.77933828464415</v>
      </c>
      <c r="CY87" s="59">
        <f ca="1">AVERAGE(OFFSET($CX$3,0,0,'Données projet'!$E$13+1,1))-AVERAGE(OFFSET($H$3,0,0,'Données projet'!$E$13+1,1))</f>
        <v>207.4513063267579</v>
      </c>
      <c r="CZ87" s="59">
        <f t="shared" si="96"/>
        <v>191.63513530247218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10.070900930198794</v>
      </c>
      <c r="DG87" s="21">
        <f>EXP(-LN(2)/25)*DG86+(1-EXP(-LN(2)/25))/(LN(2)/25)*Calculateur!DB87*Calculateur!DD87*VLOOKUP('Données projet'!$B$13,Paramètres!$A$1:$I$89,3,0)*0.475*44/12</f>
        <v>12.836377393246616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22.907278323445411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66.814714696519275</v>
      </c>
      <c r="T88" s="59">
        <f t="shared" si="88"/>
        <v>199.56746335788068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13.059153761829863</v>
      </c>
      <c r="AA88" s="21">
        <f>EXP(-LN(2)/25)*AA87+(1-EXP(-LN(2)/25))/(LN(2)/25)*Calculateur!V88*Calculateur!X88*VLOOKUP('Données projet'!$B$9,Paramètres!$A$1:$I$89,3,0)*0.475*44/12</f>
        <v>1.6656072931562884</v>
      </c>
      <c r="AB88" s="21">
        <f>EXP(-LN(2)/2)*AB87+(1-EXP(-LN(2)/2))/(LN(2)/2)*V88*Y88*VLOOKUP('Données projet'!$B$9,Paramètres!$A$1:$I$89,3,0)*0.475*44/12</f>
        <v>2.3743516173483823E-9</v>
      </c>
      <c r="AC88" s="22">
        <f t="shared" si="57"/>
        <v>14.724761057360503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367.99999999999972</v>
      </c>
      <c r="AJ88" s="13">
        <f>AI88*VLOOKUP('Données projet'!$B$10,Paramètres!$A$1:$I$89,3,0)*VLOOKUP('Données projet'!$B$10,Paramètres!$A$1:$I$89,5,0)</f>
        <v>292.78079999999977</v>
      </c>
      <c r="AK88" s="13">
        <f t="shared" si="89"/>
        <v>69.660903052386217</v>
      </c>
      <c r="AL88" s="20">
        <f t="shared" si="58"/>
        <v>631.25263281623893</v>
      </c>
      <c r="AM88" s="59">
        <f t="shared" si="59"/>
        <v>924.58596614957219</v>
      </c>
      <c r="AN88" s="59">
        <f ca="1">AVERAGE(OFFSET($AM$3,0,0,'Données projet'!$E$10+1,1))-AVERAGE(OFFSET($H$3,0,0,'Données projet'!$E$10+1,1))</f>
        <v>325.72928944930294</v>
      </c>
      <c r="AO88" s="59">
        <f t="shared" si="90"/>
        <v>318.38876834819752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54.753709058666239</v>
      </c>
      <c r="AV88" s="21">
        <f>EXP(-LN(2)/25)*AV87+(1-EXP(-LN(2)/25))/(LN(2)/25)*Calculateur!AQ88*Calculateur!AS88*VLOOKUP('Données projet'!$B$10,Paramètres!$A$1:$I$89,3,0)*0.475*44/12</f>
        <v>6.2348061876450522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60.988515246311295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>
        <f>VLOOKUP(A88,'Données projet'!$A$87:$I$107,2,0)</f>
        <v>280</v>
      </c>
      <c r="BB88" s="12">
        <f>VLOOKUP(A88,'Données projet'!$A$87:$I$107,9,0)</f>
        <v>4.2</v>
      </c>
      <c r="BC88" s="12">
        <f t="array" ref="BC88">INDEX(BB:BB,MIN(IF(ISNUMBER(BB88:BB284),ROW(BB88:BB284),"")))</f>
        <v>4.2</v>
      </c>
      <c r="BD88" s="12">
        <f>IF('Données projet'!$A$88&gt;35,BD87+BC88-BL87,IF(A88&lt;'Données projet'!$A$88,$BA$205^A88,IF(A88='Données projet'!$A$88,'Données projet'!$B$88,BD87+BC88-BL87)))</f>
        <v>280.00000000000017</v>
      </c>
      <c r="BE88" s="13">
        <f>BD88*VLOOKUP('Données projet'!$B$11,Paramètres!$A$1:$I$89,3,0)*VLOOKUP('Données projet'!$B$11,Paramètres!$A$1:$I$89,5,0)</f>
        <v>183.4560000000001</v>
      </c>
      <c r="BF88" s="13">
        <f t="shared" si="91"/>
        <v>46.090229375321144</v>
      </c>
      <c r="BG88" s="20">
        <f t="shared" si="61"/>
        <v>399.79301616201786</v>
      </c>
      <c r="BH88" s="59">
        <f t="shared" si="62"/>
        <v>693.12634949535118</v>
      </c>
      <c r="BI88" s="59">
        <f ca="1">AVERAGE(OFFSET($BH$3,0,0,'Données projet'!$E$11+1,1))-AVERAGE(OFFSET($H$3,0,0,'Données projet'!$E$11+1,1))</f>
        <v>209.40885738157152</v>
      </c>
      <c r="BJ88" s="59">
        <f t="shared" si="92"/>
        <v>230.15385333954697</v>
      </c>
      <c r="BK88" s="15">
        <f>IF(ISNA(VLOOKUP(A88,'Données projet'!$A$87:$I$107,3,0)),0,VLOOKUP(A88,'Données projet'!$A$87:$I$107,3,0))</f>
        <v>16</v>
      </c>
      <c r="BL88" s="15" t="str">
        <f>IF(ISNA(VLOOKUP(A88,'Données projet'!$A$87:$I$107,4,0)),0,VLOOKUP(A88,'Données projet'!$A$87:$I$107,4,0))</f>
        <v>16</v>
      </c>
      <c r="BM88" s="16">
        <f>IF(ISNA(VLOOKUP(A88,'Données projet'!$A$87:$I$107,5,0)),0%,VLOOKUP(A88,'Données projet'!$A$87:$I$107,5,0)*VLOOKUP('Données projet'!$B$11,Paramètres!$A$1:$I$89,7,0))</f>
        <v>8.6000000000000007E-2</v>
      </c>
      <c r="BN88" s="16">
        <f>IF(ISNA(VLOOKUP(A88,'Données projet'!$A$87:$I$107,6,0)),0%,VLOOKUP(A88,'Données projet'!$A$87:$I$107,6,0)*VLOOKUP('Données projet'!$B$11,Paramètres!$A$1:$I$89,7,0))</f>
        <v>0.215</v>
      </c>
      <c r="BO88" s="16">
        <f>IF(ISNA(VLOOKUP(A88,'Données projet'!$A$87:$I$107,7,0)),0%,VLOOKUP(A88,'Données projet'!$A$87:$I$107,7,0))</f>
        <v>0.2</v>
      </c>
      <c r="BP88" s="21">
        <f>EXP(-LN(2)/35)*BP87+(1-EXP(-LN(2)/35))/(LN(2)/35)*BL88*BM88*VLOOKUP('Données projet'!$B$11,Paramètres!$A$1:$I$89,3,0)*0.475*44/12</f>
        <v>4.3856882963606383</v>
      </c>
      <c r="BQ88" s="21">
        <f>EXP(-LN(2)/25)*BQ87+(1-EXP(-LN(2)/25))/(LN(2)/25)*Calculateur!BL88*Calculateur!BN88*VLOOKUP('Données projet'!$B$11,Paramètres!$A$1:$I$89,3,0)*0.475*44/12</f>
        <v>16.116389745005915</v>
      </c>
      <c r="BR88" s="21">
        <f>EXP(-LN(2)/2)*BR87+(1-EXP(-LN(2)/2))/(LN(2)/2)*BL88*BO88*VLOOKUP('Données projet'!$B$11,Paramètres!$A$1:$I$89,3,0)*0.475*44/12</f>
        <v>2.4715092332681392</v>
      </c>
      <c r="BS88" s="22">
        <f t="shared" si="63"/>
        <v>22.973587274634692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7.4950142450142421</v>
      </c>
      <c r="BY88" s="12">
        <f>IF('Données projet'!$A$114&gt;35,BY87+BX88-CG87,IF(A88&lt;'Données projet'!$A$114,$BV$205^A88,IF(A88='Données projet'!$A$114,'Données projet'!$B$114,BY87+BX88-CG87)))</f>
        <v>265.87891737891761</v>
      </c>
      <c r="BZ88" s="13">
        <f>BY88*VLOOKUP('Données projet'!$B$12,Paramètres!$A$1:$I$89,3,0)*VLOOKUP('Données projet'!$B$12,Paramètres!$A$1:$I$89,5,0)</f>
        <v>240.56724444444464</v>
      </c>
      <c r="CA88" s="13">
        <f t="shared" si="93"/>
        <v>58.5615591142816</v>
      </c>
      <c r="CB88" s="20">
        <f t="shared" si="64"/>
        <v>520.98266619811488</v>
      </c>
      <c r="CC88" s="59">
        <f t="shared" si="65"/>
        <v>814.31599953144814</v>
      </c>
      <c r="CD88" s="59">
        <f ca="1">AVERAGE(OFFSET($CC$3,0,0,'Données projet'!$E$12+1,1))-AVERAGE(OFFSET($H$3,0,0,'Données projet'!$E$12+1,1))</f>
        <v>270.87836509222456</v>
      </c>
      <c r="CE88" s="59">
        <f t="shared" si="94"/>
        <v>205.24998237949734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29.674240110924561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29.674240110924561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>
        <f>VLOOKUP(A88,'Données projet'!$A$139:$I$159,2,0)</f>
        <v>211</v>
      </c>
      <c r="CR88" s="12">
        <f>VLOOKUP(A88,'Données projet'!$A$139:$I$159,9,0)</f>
        <v>2.8</v>
      </c>
      <c r="CS88" s="12">
        <f t="array" ref="CS88">INDEX(CR:CR,MIN(IF(ISNUMBER(CR88:CR284),ROW(CR88:CR284),"")))</f>
        <v>2.8</v>
      </c>
      <c r="CT88" s="12">
        <f>IF('Données projet'!$A$140&gt;35,CT87+CS88-DB87,IF(A88&lt;'Données projet'!$A$140,$CQ$205^A88,IF(A88='Données projet'!$A$140,'Données projet'!$B$140,CT87+CS88-DB87)))</f>
        <v>210.99999999999997</v>
      </c>
      <c r="CU88" s="17">
        <f>CT88*VLOOKUP('Données projet'!$B$13,Paramètres!$A$1:$I$89,3,0)*VLOOKUP('Données projet'!$B$13,Paramètres!$A$1:$I$89,5,0)</f>
        <v>184.3296</v>
      </c>
      <c r="CV88" s="13">
        <f t="shared" si="95"/>
        <v>46.284105851003062</v>
      </c>
      <c r="CW88" s="20">
        <f t="shared" si="67"/>
        <v>401.65220435716361</v>
      </c>
      <c r="CX88" s="59">
        <f t="shared" si="68"/>
        <v>694.98553769049693</v>
      </c>
      <c r="CY88" s="59">
        <f ca="1">AVERAGE(OFFSET($CX$3,0,0,'Données projet'!$E$13+1,1))-AVERAGE(OFFSET($H$3,0,0,'Données projet'!$E$13+1,1))</f>
        <v>207.4513063267579</v>
      </c>
      <c r="CZ88" s="59">
        <f t="shared" si="96"/>
        <v>191.63513530247218</v>
      </c>
      <c r="DA88" s="15">
        <f>IF(ISNA(VLOOKUP(A88,'Données projet'!$A$139:$I$159,3,0)),0,VLOOKUP(A88,'Données projet'!$A$139:$I$159,3,0))</f>
        <v>14</v>
      </c>
      <c r="DB88" s="15" t="str">
        <f>IF(ISNA(VLOOKUP(A88,'Données projet'!$A$139:$I$159,4,0)),0,VLOOKUP(A88,'Données projet'!$A$139:$I$159,4,0))</f>
        <v>10</v>
      </c>
      <c r="DC88" s="16">
        <f>IF(ISNA(VLOOKUP(A88,'Données projet'!$A$139:$I$159,5,0)),0%,VLOOKUP(A88,'Données projet'!$A$139:$I$159,5,0)*VLOOKUP('Données projet'!$B$13,Paramètres!$A$1:$I$89,7,0))</f>
        <v>0.215</v>
      </c>
      <c r="DD88" s="16">
        <f>IF(ISNA(VLOOKUP(A88,'Données projet'!$A$139:$I$159,6,0)),0%,VLOOKUP(A88,'Données projet'!$A$139:$I$159,6,0)*VLOOKUP('Données projet'!$B$13,Paramètres!$A$1:$I$89,7,0))</f>
        <v>0.17200000000000001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11.949755391254595</v>
      </c>
      <c r="DG88" s="21">
        <f>EXP(-LN(2)/25)*DG87+(1-EXP(-LN(2)/25))/(LN(2)/25)*Calculateur!DB88*Calculateur!DD88*VLOOKUP('Données projet'!$B$13,Paramètres!$A$1:$I$89,3,0)*0.475*44/12</f>
        <v>14.139896657673725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26.089652048928322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66.814714696519275</v>
      </c>
      <c r="T89" s="59">
        <f t="shared" si="88"/>
        <v>199.56746335788068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12.803071721857666</v>
      </c>
      <c r="AA89" s="21">
        <f>EXP(-LN(2)/25)*AA88+(1-EXP(-LN(2)/25))/(LN(2)/25)*Calculateur!V89*Calculateur!X89*VLOOKUP('Données projet'!$B$9,Paramètres!$A$1:$I$89,3,0)*0.475*44/12</f>
        <v>1.6200611741344491</v>
      </c>
      <c r="AB89" s="21">
        <f>EXP(-LN(2)/2)*AB88+(1-EXP(-LN(2)/2))/(LN(2)/2)*V89*Y89*VLOOKUP('Données projet'!$B$9,Paramètres!$A$1:$I$89,3,0)*0.475*44/12</f>
        <v>1.6789201295482878E-9</v>
      </c>
      <c r="AC89" s="22">
        <f t="shared" si="57"/>
        <v>14.423132897671035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367.99999999999972</v>
      </c>
      <c r="AJ89" s="13">
        <f>AI89*VLOOKUP('Données projet'!$B$10,Paramètres!$A$1:$I$89,3,0)*VLOOKUP('Données projet'!$B$10,Paramètres!$A$1:$I$89,5,0)</f>
        <v>292.78079999999977</v>
      </c>
      <c r="AK89" s="13">
        <f t="shared" si="89"/>
        <v>69.660903052386217</v>
      </c>
      <c r="AL89" s="20">
        <f t="shared" si="58"/>
        <v>631.25263281623893</v>
      </c>
      <c r="AM89" s="59">
        <f t="shared" si="59"/>
        <v>924.58596614957219</v>
      </c>
      <c r="AN89" s="59">
        <f ca="1">AVERAGE(OFFSET($AM$3,0,0,'Données projet'!$E$10+1,1))-AVERAGE(OFFSET($H$3,0,0,'Données projet'!$E$10+1,1))</f>
        <v>325.72928944930294</v>
      </c>
      <c r="AO89" s="59">
        <f t="shared" si="90"/>
        <v>318.38876834819752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53.680022220490692</v>
      </c>
      <c r="AV89" s="21">
        <f>EXP(-LN(2)/25)*AV88+(1-EXP(-LN(2)/25))/(LN(2)/25)*Calculateur!AQ89*Calculateur!AS89*VLOOKUP('Données projet'!$B$10,Paramètres!$A$1:$I$89,3,0)*0.475*44/12</f>
        <v>6.0643150845696905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59.744337305060384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3.8</v>
      </c>
      <c r="BD89" s="12">
        <f>IF('Données projet'!$A$88&gt;35,BD88+BC89-BL88,IF(A89&lt;'Données projet'!$A$88,$BA$205^A89,IF(A89='Données projet'!$A$88,'Données projet'!$B$88,BD88+BC89-BL88)))</f>
        <v>267.80000000000018</v>
      </c>
      <c r="BE89" s="13">
        <f>BD89*VLOOKUP('Données projet'!$B$11,Paramètres!$A$1:$I$89,3,0)*VLOOKUP('Données projet'!$B$11,Paramètres!$A$1:$I$89,5,0)</f>
        <v>175.46256000000011</v>
      </c>
      <c r="BF89" s="13">
        <f t="shared" si="91"/>
        <v>44.311194244027092</v>
      </c>
      <c r="BG89" s="20">
        <f t="shared" si="61"/>
        <v>382.77262197501403</v>
      </c>
      <c r="BH89" s="59">
        <f t="shared" si="62"/>
        <v>676.10595530834735</v>
      </c>
      <c r="BI89" s="59">
        <f ca="1">AVERAGE(OFFSET($BH$3,0,0,'Données projet'!$E$11+1,1))-AVERAGE(OFFSET($H$3,0,0,'Données projet'!$E$11+1,1))</f>
        <v>209.40885738157152</v>
      </c>
      <c r="BJ89" s="59">
        <f t="shared" si="92"/>
        <v>230.15385333954697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4.2996876238747319</v>
      </c>
      <c r="BQ89" s="21">
        <f>EXP(-LN(2)/25)*BQ88+(1-EXP(-LN(2)/25))/(LN(2)/25)*Calculateur!BL89*Calculateur!BN89*VLOOKUP('Données projet'!$B$11,Paramètres!$A$1:$I$89,3,0)*0.475*44/12</f>
        <v>15.675686219904625</v>
      </c>
      <c r="BR89" s="21">
        <f>EXP(-LN(2)/2)*BR88+(1-EXP(-LN(2)/2))/(LN(2)/2)*BL89*BO89*VLOOKUP('Données projet'!$B$11,Paramètres!$A$1:$I$89,3,0)*0.475*44/12</f>
        <v>1.747620938609066</v>
      </c>
      <c r="BS89" s="22">
        <f t="shared" si="63"/>
        <v>21.722994782388426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7.4950142450142421</v>
      </c>
      <c r="BY89" s="12">
        <f>IF('Données projet'!$A$114&gt;35,BY88+BX89-CG88,IF(A89&lt;'Données projet'!$A$114,$BV$205^A89,IF(A89='Données projet'!$A$114,'Données projet'!$B$114,BY88+BX89-CG88)))</f>
        <v>273.37393162393187</v>
      </c>
      <c r="BZ89" s="13">
        <f>BY89*VLOOKUP('Données projet'!$B$12,Paramètres!$A$1:$I$89,3,0)*VLOOKUP('Données projet'!$B$12,Paramètres!$A$1:$I$89,5,0)</f>
        <v>247.34873333333351</v>
      </c>
      <c r="CA89" s="13">
        <f t="shared" si="93"/>
        <v>60.017860197565874</v>
      </c>
      <c r="CB89" s="20">
        <f t="shared" si="64"/>
        <v>535.33015039964971</v>
      </c>
      <c r="CC89" s="59">
        <f t="shared" si="65"/>
        <v>828.66348373298297</v>
      </c>
      <c r="CD89" s="59">
        <f ca="1">AVERAGE(OFFSET($CC$3,0,0,'Données projet'!$E$12+1,1))-AVERAGE(OFFSET($H$3,0,0,'Données projet'!$E$12+1,1))</f>
        <v>270.87836509222456</v>
      </c>
      <c r="CE89" s="59">
        <f t="shared" si="94"/>
        <v>205.24998237949734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29.09234636184862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29.09234636184862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2.8</v>
      </c>
      <c r="CT89" s="12">
        <f>IF('Données projet'!$A$140&gt;35,CT88+CS89-DB88,IF(A89&lt;'Données projet'!$A$140,$CQ$205^A89,IF(A89='Données projet'!$A$140,'Données projet'!$B$140,CT88+CS89-DB88)))</f>
        <v>203.79999999999998</v>
      </c>
      <c r="CU89" s="17">
        <f>CT89*VLOOKUP('Données projet'!$B$13,Paramètres!$A$1:$I$89,3,0)*VLOOKUP('Données projet'!$B$13,Paramètres!$A$1:$I$89,5,0)</f>
        <v>178.03968</v>
      </c>
      <c r="CV89" s="13">
        <f t="shared" si="95"/>
        <v>44.885773518007284</v>
      </c>
      <c r="CW89" s="20">
        <f t="shared" si="67"/>
        <v>388.26183154386268</v>
      </c>
      <c r="CX89" s="59">
        <f t="shared" si="68"/>
        <v>681.595164877196</v>
      </c>
      <c r="CY89" s="59">
        <f ca="1">AVERAGE(OFFSET($CX$3,0,0,'Données projet'!$E$13+1,1))-AVERAGE(OFFSET($H$3,0,0,'Données projet'!$E$13+1,1))</f>
        <v>207.4513063267579</v>
      </c>
      <c r="CZ89" s="59">
        <f t="shared" si="96"/>
        <v>191.63513530247218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11.715427976663188</v>
      </c>
      <c r="DG89" s="21">
        <f>EXP(-LN(2)/25)*DG88+(1-EXP(-LN(2)/25))/(LN(2)/25)*Calculateur!DB89*Calculateur!DD89*VLOOKUP('Données projet'!$B$13,Paramètres!$A$1:$I$89,3,0)*0.475*44/12</f>
        <v>13.75324043998479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25.468668416647979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66.814714696519275</v>
      </c>
      <c r="T90" s="59">
        <f t="shared" si="88"/>
        <v>199.56746335788068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12.552011294494703</v>
      </c>
      <c r="AA90" s="21">
        <f>EXP(-LN(2)/25)*AA89+(1-EXP(-LN(2)/25))/(LN(2)/25)*Calculateur!V90*Calculateur!X90*VLOOKUP('Données projet'!$B$9,Paramètres!$A$1:$I$89,3,0)*0.475*44/12</f>
        <v>1.5757605161324282</v>
      </c>
      <c r="AB90" s="21">
        <f>EXP(-LN(2)/2)*AB89+(1-EXP(-LN(2)/2))/(LN(2)/2)*V90*Y90*VLOOKUP('Données projet'!$B$9,Paramètres!$A$1:$I$89,3,0)*0.475*44/12</f>
        <v>1.1871758086741912E-9</v>
      </c>
      <c r="AC90" s="22">
        <f t="shared" si="57"/>
        <v>14.127771811814307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367.99999999999972</v>
      </c>
      <c r="AJ90" s="13">
        <f>AI90*VLOOKUP('Données projet'!$B$10,Paramètres!$A$1:$I$89,3,0)*VLOOKUP('Données projet'!$B$10,Paramètres!$A$1:$I$89,5,0)</f>
        <v>292.78079999999977</v>
      </c>
      <c r="AK90" s="13">
        <f t="shared" si="89"/>
        <v>69.660903052386217</v>
      </c>
      <c r="AL90" s="20">
        <f t="shared" si="58"/>
        <v>631.25263281623893</v>
      </c>
      <c r="AM90" s="59">
        <f t="shared" si="59"/>
        <v>924.58596614957219</v>
      </c>
      <c r="AN90" s="59">
        <f ca="1">AVERAGE(OFFSET($AM$3,0,0,'Données projet'!$E$10+1,1))-AVERAGE(OFFSET($H$3,0,0,'Données projet'!$E$10+1,1))</f>
        <v>325.72928944930294</v>
      </c>
      <c r="AO90" s="59">
        <f t="shared" si="90"/>
        <v>318.38876834819752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52.627389726327458</v>
      </c>
      <c r="AV90" s="21">
        <f>EXP(-LN(2)/25)*AV89+(1-EXP(-LN(2)/25))/(LN(2)/25)*Calculateur!AQ90*Calculateur!AS90*VLOOKUP('Données projet'!$B$10,Paramètres!$A$1:$I$89,3,0)*0.475*44/12</f>
        <v>5.8984860696736625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58.525875796001117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3.8</v>
      </c>
      <c r="BD90" s="12">
        <f>IF('Données projet'!$A$88&gt;35,BD89+BC90-BL89,IF(A90&lt;'Données projet'!$A$88,$BA$205^A90,IF(A90='Données projet'!$A$88,'Données projet'!$B$88,BD89+BC90-BL89)))</f>
        <v>271.60000000000019</v>
      </c>
      <c r="BE90" s="13">
        <f>BD90*VLOOKUP('Données projet'!$B$11,Paramètres!$A$1:$I$89,3,0)*VLOOKUP('Données projet'!$B$11,Paramètres!$A$1:$I$89,5,0)</f>
        <v>177.95232000000013</v>
      </c>
      <c r="BF90" s="13">
        <f t="shared" si="91"/>
        <v>44.866312182234608</v>
      </c>
      <c r="BG90" s="20">
        <f t="shared" si="61"/>
        <v>388.07578438405881</v>
      </c>
      <c r="BH90" s="59">
        <f t="shared" si="62"/>
        <v>681.40911771739206</v>
      </c>
      <c r="BI90" s="59">
        <f ca="1">AVERAGE(OFFSET($BH$3,0,0,'Données projet'!$E$11+1,1))-AVERAGE(OFFSET($H$3,0,0,'Données projet'!$E$11+1,1))</f>
        <v>209.40885738157152</v>
      </c>
      <c r="BJ90" s="59">
        <f t="shared" si="92"/>
        <v>230.15385333954697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4.2153733721210438</v>
      </c>
      <c r="BQ90" s="21">
        <f>EXP(-LN(2)/25)*BQ89+(1-EXP(-LN(2)/25))/(LN(2)/25)*Calculateur!BL90*Calculateur!BN90*VLOOKUP('Données projet'!$B$11,Paramètres!$A$1:$I$89,3,0)*0.475*44/12</f>
        <v>15.247033755872822</v>
      </c>
      <c r="BR90" s="21">
        <f>EXP(-LN(2)/2)*BR89+(1-EXP(-LN(2)/2))/(LN(2)/2)*BL90*BO90*VLOOKUP('Données projet'!$B$11,Paramètres!$A$1:$I$89,3,0)*0.475*44/12</f>
        <v>1.2357546166340696</v>
      </c>
      <c r="BS90" s="22">
        <f t="shared" si="63"/>
        <v>20.698161744627935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7.4950142450142421</v>
      </c>
      <c r="BY90" s="12">
        <f>IF('Données projet'!$A$114&gt;35,BY89+BX90-CG89,IF(A90&lt;'Données projet'!$A$114,$BV$205^A90,IF(A90='Données projet'!$A$114,'Données projet'!$B$114,BY89+BX90-CG89)))</f>
        <v>280.86894586894613</v>
      </c>
      <c r="BZ90" s="13">
        <f>BY90*VLOOKUP('Données projet'!$B$12,Paramètres!$A$1:$I$89,3,0)*VLOOKUP('Données projet'!$B$12,Paramètres!$A$1:$I$89,5,0)</f>
        <v>254.13022222222247</v>
      </c>
      <c r="CA90" s="13">
        <f t="shared" si="93"/>
        <v>61.469520573147591</v>
      </c>
      <c r="CB90" s="20">
        <f t="shared" si="64"/>
        <v>549.66955203526948</v>
      </c>
      <c r="CC90" s="59">
        <f t="shared" si="65"/>
        <v>843.00288536860285</v>
      </c>
      <c r="CD90" s="59">
        <f ca="1">AVERAGE(OFFSET($CC$3,0,0,'Données projet'!$E$12+1,1))-AVERAGE(OFFSET($H$3,0,0,'Données projet'!$E$12+1,1))</f>
        <v>270.87836509222456</v>
      </c>
      <c r="CE90" s="59">
        <f t="shared" si="94"/>
        <v>205.24998237949734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28.521863194271916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28.521863194271916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2.8</v>
      </c>
      <c r="CT90" s="12">
        <f>IF('Données projet'!$A$140&gt;35,CT89+CS90-DB89,IF(A90&lt;'Données projet'!$A$140,$CQ$205^A90,IF(A90='Données projet'!$A$140,'Données projet'!$B$140,CT89+CS90-DB89)))</f>
        <v>206.6</v>
      </c>
      <c r="CU90" s="17">
        <f>CT90*VLOOKUP('Données projet'!$B$13,Paramètres!$A$1:$I$89,3,0)*VLOOKUP('Données projet'!$B$13,Paramètres!$A$1:$I$89,5,0)</f>
        <v>180.48576000000003</v>
      </c>
      <c r="CV90" s="13">
        <f t="shared" si="95"/>
        <v>45.430241859839441</v>
      </c>
      <c r="CW90" s="20">
        <f t="shared" si="67"/>
        <v>393.47036990588708</v>
      </c>
      <c r="CX90" s="59">
        <f t="shared" si="68"/>
        <v>686.80370323922034</v>
      </c>
      <c r="CY90" s="59">
        <f ca="1">AVERAGE(OFFSET($CX$3,0,0,'Données projet'!$E$13+1,1))-AVERAGE(OFFSET($H$3,0,0,'Données projet'!$E$13+1,1))</f>
        <v>207.4513063267579</v>
      </c>
      <c r="CZ90" s="59">
        <f t="shared" si="96"/>
        <v>191.63513530247218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11.485695579746309</v>
      </c>
      <c r="DG90" s="21">
        <f>EXP(-LN(2)/25)*DG89+(1-EXP(-LN(2)/25))/(LN(2)/25)*Calculateur!DB90*Calculateur!DD90*VLOOKUP('Données projet'!$B$13,Paramètres!$A$1:$I$89,3,0)*0.475*44/12</f>
        <v>13.377157356901925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24.862852936648235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66.814714696519275</v>
      </c>
      <c r="T91" s="59">
        <f t="shared" si="88"/>
        <v>199.56746335788068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12.305874008980586</v>
      </c>
      <c r="AA91" s="21">
        <f>EXP(-LN(2)/25)*AA90+(1-EXP(-LN(2)/25))/(LN(2)/25)*Calculateur!V91*Calculateur!X91*VLOOKUP('Données projet'!$B$9,Paramètres!$A$1:$I$89,3,0)*0.475*44/12</f>
        <v>1.5326712619531428</v>
      </c>
      <c r="AB91" s="21">
        <f>EXP(-LN(2)/2)*AB90+(1-EXP(-LN(2)/2))/(LN(2)/2)*V91*Y91*VLOOKUP('Données projet'!$B$9,Paramètres!$A$1:$I$89,3,0)*0.475*44/12</f>
        <v>8.3946006477414391E-10</v>
      </c>
      <c r="AC91" s="22">
        <f t="shared" si="57"/>
        <v>13.838545271773189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367.99999999999972</v>
      </c>
      <c r="AJ91" s="13">
        <f>AI91*VLOOKUP('Données projet'!$B$10,Paramètres!$A$1:$I$89,3,0)*VLOOKUP('Données projet'!$B$10,Paramètres!$A$1:$I$89,5,0)</f>
        <v>292.78079999999977</v>
      </c>
      <c r="AK91" s="13">
        <f t="shared" si="89"/>
        <v>69.660903052386217</v>
      </c>
      <c r="AL91" s="20">
        <f t="shared" si="58"/>
        <v>631.25263281623893</v>
      </c>
      <c r="AM91" s="59">
        <f t="shared" si="59"/>
        <v>924.58596614957219</v>
      </c>
      <c r="AN91" s="59">
        <f ca="1">AVERAGE(OFFSET($AM$3,0,0,'Données projet'!$E$10+1,1))-AVERAGE(OFFSET($H$3,0,0,'Données projet'!$E$10+1,1))</f>
        <v>325.72928944930294</v>
      </c>
      <c r="AO91" s="59">
        <f t="shared" si="90"/>
        <v>318.38876834819752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51.595398713332344</v>
      </c>
      <c r="AV91" s="21">
        <f>EXP(-LN(2)/25)*AV90+(1-EXP(-LN(2)/25))/(LN(2)/25)*Calculateur!AQ91*Calculateur!AS91*VLOOKUP('Données projet'!$B$10,Paramètres!$A$1:$I$89,3,0)*0.475*44/12</f>
        <v>5.7371916579105351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57.33259037124288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3.8</v>
      </c>
      <c r="BD91" s="12">
        <f>IF('Données projet'!$A$88&gt;35,BD90+BC91-BL90,IF(A91&lt;'Données projet'!$A$88,$BA$205^A91,IF(A91='Données projet'!$A$88,'Données projet'!$B$88,BD90+BC91-BL90)))</f>
        <v>275.4000000000002</v>
      </c>
      <c r="BE91" s="13">
        <f>BD91*VLOOKUP('Données projet'!$B$11,Paramètres!$A$1:$I$89,3,0)*VLOOKUP('Données projet'!$B$11,Paramètres!$A$1:$I$89,5,0)</f>
        <v>180.44208000000012</v>
      </c>
      <c r="BF91" s="13">
        <f t="shared" si="91"/>
        <v>45.420526775820072</v>
      </c>
      <c r="BG91" s="20">
        <f t="shared" si="61"/>
        <v>393.3773734678868</v>
      </c>
      <c r="BH91" s="59">
        <f t="shared" si="62"/>
        <v>686.71070680122011</v>
      </c>
      <c r="BI91" s="59">
        <f ca="1">AVERAGE(OFFSET($BH$3,0,0,'Données projet'!$E$11+1,1))-AVERAGE(OFFSET($H$3,0,0,'Données projet'!$E$11+1,1))</f>
        <v>209.40885738157152</v>
      </c>
      <c r="BJ91" s="59">
        <f t="shared" si="92"/>
        <v>230.15385333954697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4.13271247141763</v>
      </c>
      <c r="BQ91" s="21">
        <f>EXP(-LN(2)/25)*BQ90+(1-EXP(-LN(2)/25))/(LN(2)/25)*Calculateur!BL91*Calculateur!BN91*VLOOKUP('Données projet'!$B$11,Paramètres!$A$1:$I$89,3,0)*0.475*44/12</f>
        <v>14.830102816011822</v>
      </c>
      <c r="BR91" s="21">
        <f>EXP(-LN(2)/2)*BR90+(1-EXP(-LN(2)/2))/(LN(2)/2)*BL91*BO91*VLOOKUP('Données projet'!$B$11,Paramètres!$A$1:$I$89,3,0)*0.475*44/12</f>
        <v>0.87381046930453299</v>
      </c>
      <c r="BS91" s="22">
        <f t="shared" si="63"/>
        <v>19.836625756733984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7.4950142450142421</v>
      </c>
      <c r="BY91" s="12">
        <f>IF('Données projet'!$A$114&gt;35,BY90+BX91-CG90,IF(A91&lt;'Données projet'!$A$114,$BV$205^A91,IF(A91='Données projet'!$A$114,'Données projet'!$B$114,BY90+BX91-CG90)))</f>
        <v>288.36396011396039</v>
      </c>
      <c r="BZ91" s="13">
        <f>BY91*VLOOKUP('Données projet'!$B$12,Paramètres!$A$1:$I$89,3,0)*VLOOKUP('Données projet'!$B$12,Paramètres!$A$1:$I$89,5,0)</f>
        <v>260.91171111111134</v>
      </c>
      <c r="CA91" s="13">
        <f t="shared" si="93"/>
        <v>62.916678312142118</v>
      </c>
      <c r="CB91" s="20">
        <f t="shared" si="64"/>
        <v>564.00111157883305</v>
      </c>
      <c r="CC91" s="59">
        <f t="shared" si="65"/>
        <v>857.33444491216642</v>
      </c>
      <c r="CD91" s="59">
        <f ca="1">AVERAGE(OFFSET($CC$3,0,0,'Données projet'!$E$12+1,1))-AVERAGE(OFFSET($H$3,0,0,'Données projet'!$E$12+1,1))</f>
        <v>270.87836509222456</v>
      </c>
      <c r="CE91" s="59">
        <f t="shared" si="94"/>
        <v>205.24998237949734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27.962566853651019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27.962566853651019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2.8</v>
      </c>
      <c r="CT91" s="12">
        <f>IF('Données projet'!$A$140&gt;35,CT90+CS91-DB90,IF(A91&lt;'Données projet'!$A$140,$CQ$205^A91,IF(A91='Données projet'!$A$140,'Données projet'!$B$140,CT90+CS91-DB90)))</f>
        <v>209.4</v>
      </c>
      <c r="CU91" s="17">
        <f>CT91*VLOOKUP('Données projet'!$B$13,Paramètres!$A$1:$I$89,3,0)*VLOOKUP('Données projet'!$B$13,Paramètres!$A$1:$I$89,5,0)</f>
        <v>182.93184000000002</v>
      </c>
      <c r="CV91" s="13">
        <f t="shared" si="95"/>
        <v>45.973851929814685</v>
      </c>
      <c r="CW91" s="20">
        <f t="shared" si="67"/>
        <v>398.67741344442726</v>
      </c>
      <c r="CX91" s="59">
        <f t="shared" si="68"/>
        <v>692.01074677776057</v>
      </c>
      <c r="CY91" s="59">
        <f ca="1">AVERAGE(OFFSET($CX$3,0,0,'Données projet'!$E$13+1,1))-AVERAGE(OFFSET($H$3,0,0,'Données projet'!$E$13+1,1))</f>
        <v>207.4513063267579</v>
      </c>
      <c r="CZ91" s="59">
        <f t="shared" si="96"/>
        <v>191.63513530247218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11.260468095010044</v>
      </c>
      <c r="DG91" s="21">
        <f>EXP(-LN(2)/25)*DG90+(1-EXP(-LN(2)/25))/(LN(2)/25)*Calculateur!DB91*Calculateur!DD91*VLOOKUP('Données projet'!$B$13,Paramètres!$A$1:$I$89,3,0)*0.475*44/12</f>
        <v>13.011358285503311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24.271826380513353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66.814714696519275</v>
      </c>
      <c r="T92" s="59">
        <f t="shared" si="88"/>
        <v>199.56746335788068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12.064563325506482</v>
      </c>
      <c r="AA92" s="21">
        <f>EXP(-LN(2)/25)*AA91+(1-EXP(-LN(2)/25))/(LN(2)/25)*Calculateur!V92*Calculateur!X92*VLOOKUP('Données projet'!$B$9,Paramètres!$A$1:$I$89,3,0)*0.475*44/12</f>
        <v>1.4907602856953555</v>
      </c>
      <c r="AB92" s="21">
        <f>EXP(-LN(2)/2)*AB91+(1-EXP(-LN(2)/2))/(LN(2)/2)*V92*Y92*VLOOKUP('Données projet'!$B$9,Paramètres!$A$1:$I$89,3,0)*0.475*44/12</f>
        <v>5.9358790433709558E-10</v>
      </c>
      <c r="AC92" s="22">
        <f t="shared" si="57"/>
        <v>13.555323611795425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367.99999999999972</v>
      </c>
      <c r="AJ92" s="13">
        <f>AI92*VLOOKUP('Données projet'!$B$10,Paramètres!$A$1:$I$89,3,0)*VLOOKUP('Données projet'!$B$10,Paramètres!$A$1:$I$89,5,0)</f>
        <v>292.78079999999977</v>
      </c>
      <c r="AK92" s="13">
        <f t="shared" si="89"/>
        <v>69.660903052386217</v>
      </c>
      <c r="AL92" s="20">
        <f t="shared" si="58"/>
        <v>631.25263281623893</v>
      </c>
      <c r="AM92" s="59">
        <f t="shared" si="59"/>
        <v>924.58596614957219</v>
      </c>
      <c r="AN92" s="59">
        <f ca="1">AVERAGE(OFFSET($AM$3,0,0,'Données projet'!$E$10+1,1))-AVERAGE(OFFSET($H$3,0,0,'Données projet'!$E$10+1,1))</f>
        <v>325.72928944930294</v>
      </c>
      <c r="AO92" s="59">
        <f t="shared" si="90"/>
        <v>318.38876834819752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50.583644414649697</v>
      </c>
      <c r="AV92" s="21">
        <f>EXP(-LN(2)/25)*AV91+(1-EXP(-LN(2)/25))/(LN(2)/25)*Calculateur!AQ92*Calculateur!AS92*VLOOKUP('Données projet'!$B$10,Paramètres!$A$1:$I$89,3,0)*0.475*44/12</f>
        <v>5.5803078503191745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56.16395226496887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3.8</v>
      </c>
      <c r="BD92" s="12">
        <f>IF('Données projet'!$A$88&gt;35,BD91+BC92-BL91,IF(A92&lt;'Données projet'!$A$88,$BA$205^A92,IF(A92='Données projet'!$A$88,'Données projet'!$B$88,BD91+BC92-BL91)))</f>
        <v>279.20000000000022</v>
      </c>
      <c r="BE92" s="13">
        <f>BD92*VLOOKUP('Données projet'!$B$11,Paramètres!$A$1:$I$89,3,0)*VLOOKUP('Données projet'!$B$11,Paramètres!$A$1:$I$89,5,0)</f>
        <v>182.93184000000014</v>
      </c>
      <c r="BF92" s="13">
        <f t="shared" si="91"/>
        <v>45.973851929814685</v>
      </c>
      <c r="BG92" s="20">
        <f t="shared" si="61"/>
        <v>398.67741344442743</v>
      </c>
      <c r="BH92" s="59">
        <f t="shared" si="62"/>
        <v>692.01074677776069</v>
      </c>
      <c r="BI92" s="59">
        <f ca="1">AVERAGE(OFFSET($BH$3,0,0,'Données projet'!$E$11+1,1))-AVERAGE(OFFSET($H$3,0,0,'Données projet'!$E$11+1,1))</f>
        <v>209.40885738157152</v>
      </c>
      <c r="BJ92" s="59">
        <f t="shared" si="92"/>
        <v>230.15385333954697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4.0516725005588388</v>
      </c>
      <c r="BQ92" s="21">
        <f>EXP(-LN(2)/25)*BQ91+(1-EXP(-LN(2)/25))/(LN(2)/25)*Calculateur!BL92*Calculateur!BN92*VLOOKUP('Données projet'!$B$11,Paramètres!$A$1:$I$89,3,0)*0.475*44/12</f>
        <v>14.424572874626767</v>
      </c>
      <c r="BR92" s="21">
        <f>EXP(-LN(2)/2)*BR91+(1-EXP(-LN(2)/2))/(LN(2)/2)*BL92*BO92*VLOOKUP('Données projet'!$B$11,Paramètres!$A$1:$I$89,3,0)*0.475*44/12</f>
        <v>0.6178773083170348</v>
      </c>
      <c r="BS92" s="22">
        <f t="shared" si="63"/>
        <v>19.09412268350264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>
        <f>VLOOKUP(A92,'Données projet'!$A$113:$I$133,2,0)</f>
        <v>295.85897435897436</v>
      </c>
      <c r="BW92" s="12">
        <f>VLOOKUP(A92,'Données projet'!$A$113:$I$133,9,0)</f>
        <v>7.4950142450142421</v>
      </c>
      <c r="BX92" s="12">
        <f t="array" ref="BX92">INDEX(BW:BW,MIN(IF(ISNUMBER(BW92:BW288),ROW(BW92:BW288),"")))</f>
        <v>7.4950142450142421</v>
      </c>
      <c r="BY92" s="12">
        <f>IF('Données projet'!$A$114&gt;35,BY91+BX92-CG91,IF(A92&lt;'Données projet'!$A$114,$BV$205^A92,IF(A92='Données projet'!$A$114,'Données projet'!$B$114,BY91+BX92-CG91)))</f>
        <v>295.85897435897465</v>
      </c>
      <c r="BZ92" s="13">
        <f>BY92*VLOOKUP('Données projet'!$B$12,Paramètres!$A$1:$I$89,3,0)*VLOOKUP('Données projet'!$B$12,Paramètres!$A$1:$I$89,5,0)</f>
        <v>267.69320000000022</v>
      </c>
      <c r="CA92" s="13">
        <f t="shared" si="93"/>
        <v>64.359463899490166</v>
      </c>
      <c r="CB92" s="20">
        <f t="shared" si="64"/>
        <v>578.32505629161233</v>
      </c>
      <c r="CC92" s="59">
        <f t="shared" si="65"/>
        <v>871.65838962494558</v>
      </c>
      <c r="CD92" s="59">
        <f ca="1">AVERAGE(OFFSET($CC$3,0,0,'Données projet'!$E$12+1,1))-AVERAGE(OFFSET($H$3,0,0,'Données projet'!$E$12+1,1))</f>
        <v>270.87836509222456</v>
      </c>
      <c r="CE92" s="59">
        <f t="shared" si="94"/>
        <v>205.24998237949734</v>
      </c>
      <c r="CF92" s="15">
        <f>IF(ISNA(VLOOKUP(A92,'Données projet'!$A$113:$I$133,3,0)),0,VLOOKUP(A92,'Données projet'!$A$113:$I$133,3,0))</f>
        <v>8</v>
      </c>
      <c r="CG92" s="15">
        <f>IF(ISNA(VLOOKUP(A92,'Données projet'!$A$113:$I$133,4,0)),0,VLOOKUP(A92,'Données projet'!$A$113:$I$133,4,0))</f>
        <v>49.391025641025635</v>
      </c>
      <c r="CH92" s="16">
        <f>IF(ISNA(VLOOKUP(A92,'Données projet'!$A$113:$I$133,5,0)),0%,VLOOKUP(A92,'Données projet'!$A$113:$I$133,5,0)*VLOOKUP('Données projet'!$B$12,Paramètres!$A$1:$I$89,7,0))</f>
        <v>0.30099999999999999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42.284350076207964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42.284350076207964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2.8</v>
      </c>
      <c r="CT92" s="12">
        <f>IF('Données projet'!$A$140&gt;35,CT91+CS92-DB91,IF(A92&lt;'Données projet'!$A$140,$CQ$205^A92,IF(A92='Données projet'!$A$140,'Données projet'!$B$140,CT91+CS92-DB91)))</f>
        <v>212.20000000000002</v>
      </c>
      <c r="CU92" s="17">
        <f>CT92*VLOOKUP('Données projet'!$B$13,Paramètres!$A$1:$I$89,3,0)*VLOOKUP('Données projet'!$B$13,Paramètres!$A$1:$I$89,5,0)</f>
        <v>185.37792000000005</v>
      </c>
      <c r="CV92" s="13">
        <f t="shared" si="95"/>
        <v>46.516616531004161</v>
      </c>
      <c r="CW92" s="20">
        <f t="shared" si="67"/>
        <v>403.88298445816571</v>
      </c>
      <c r="CX92" s="59">
        <f t="shared" si="68"/>
        <v>697.21631779149902</v>
      </c>
      <c r="CY92" s="59">
        <f ca="1">AVERAGE(OFFSET($CX$3,0,0,'Données projet'!$E$13+1,1))-AVERAGE(OFFSET($H$3,0,0,'Données projet'!$E$13+1,1))</f>
        <v>207.4513063267579</v>
      </c>
      <c r="CZ92" s="59">
        <f t="shared" si="96"/>
        <v>191.63513530247218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11.039657183874256</v>
      </c>
      <c r="DG92" s="21">
        <f>EXP(-LN(2)/25)*DG91+(1-EXP(-LN(2)/25))/(LN(2)/25)*Calculateur!DB92*Calculateur!DD92*VLOOKUP('Données projet'!$B$13,Paramètres!$A$1:$I$89,3,0)*0.475*44/12</f>
        <v>12.655562008948628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23.695219192822883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66.814714696519275</v>
      </c>
      <c r="T93" s="59">
        <f t="shared" si="88"/>
        <v>199.56746335788068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11.827984597350321</v>
      </c>
      <c r="AA93" s="21">
        <f>EXP(-LN(2)/25)*AA92+(1-EXP(-LN(2)/25))/(LN(2)/25)*Calculateur!V93*Calculateur!X93*VLOOKUP('Données projet'!$B$9,Paramètres!$A$1:$I$89,3,0)*0.475*44/12</f>
        <v>1.4499953672873398</v>
      </c>
      <c r="AB93" s="21">
        <f>EXP(-LN(2)/2)*AB92+(1-EXP(-LN(2)/2))/(LN(2)/2)*V93*Y93*VLOOKUP('Données projet'!$B$9,Paramètres!$A$1:$I$89,3,0)*0.475*44/12</f>
        <v>4.1973003238707196E-10</v>
      </c>
      <c r="AC93" s="22">
        <f t="shared" si="57"/>
        <v>13.277979965057391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367.99999999999972</v>
      </c>
      <c r="AJ93" s="13">
        <f>AI93*VLOOKUP('Données projet'!$B$10,Paramètres!$A$1:$I$89,3,0)*VLOOKUP('Données projet'!$B$10,Paramètres!$A$1:$I$89,5,0)</f>
        <v>292.78079999999977</v>
      </c>
      <c r="AK93" s="13">
        <f t="shared" si="89"/>
        <v>69.660903052386217</v>
      </c>
      <c r="AL93" s="20">
        <f t="shared" si="58"/>
        <v>631.25263281623893</v>
      </c>
      <c r="AM93" s="59">
        <f t="shared" si="59"/>
        <v>924.58596614957219</v>
      </c>
      <c r="AN93" s="59">
        <f ca="1">AVERAGE(OFFSET($AM$3,0,0,'Données projet'!$E$10+1,1))-AVERAGE(OFFSET($H$3,0,0,'Données projet'!$E$10+1,1))</f>
        <v>325.72928944930294</v>
      </c>
      <c r="AO93" s="59">
        <f t="shared" si="90"/>
        <v>318.38876834819752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49.591730000655033</v>
      </c>
      <c r="AV93" s="21">
        <f>EXP(-LN(2)/25)*AV92+(1-EXP(-LN(2)/25))/(LN(2)/25)*Calculateur!AQ93*Calculateur!AS93*VLOOKUP('Données projet'!$B$10,Paramètres!$A$1:$I$89,3,0)*0.475*44/12</f>
        <v>5.4277140386965606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55.019444039351598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283</v>
      </c>
      <c r="BB93" s="12">
        <f>VLOOKUP(A93,'Données projet'!$A$87:$I$107,9,0)</f>
        <v>3.8</v>
      </c>
      <c r="BC93" s="12">
        <f t="array" ref="BC93">INDEX(BB:BB,MIN(IF(ISNUMBER(BB93:BB289),ROW(BB93:BB289),"")))</f>
        <v>3.8</v>
      </c>
      <c r="BD93" s="12">
        <f>IF('Données projet'!$A$88&gt;35,BD92+BC93-BL92,IF(A93&lt;'Données projet'!$A$88,$BA$205^A93,IF(A93='Données projet'!$A$88,'Données projet'!$B$88,BD92+BC93-BL92)))</f>
        <v>283.00000000000023</v>
      </c>
      <c r="BE93" s="13">
        <f>BD93*VLOOKUP('Données projet'!$B$11,Paramètres!$A$1:$I$89,3,0)*VLOOKUP('Données projet'!$B$11,Paramètres!$A$1:$I$89,5,0)</f>
        <v>185.42160000000013</v>
      </c>
      <c r="BF93" s="13">
        <f t="shared" si="91"/>
        <v>46.526301148997497</v>
      </c>
      <c r="BG93" s="20">
        <f t="shared" si="61"/>
        <v>403.97592783450415</v>
      </c>
      <c r="BH93" s="59">
        <f t="shared" si="62"/>
        <v>697.30926116783746</v>
      </c>
      <c r="BI93" s="59">
        <f ca="1">AVERAGE(OFFSET($BH$3,0,0,'Données projet'!$E$11+1,1))-AVERAGE(OFFSET($H$3,0,0,'Données projet'!$E$11+1,1))</f>
        <v>209.40885738157152</v>
      </c>
      <c r="BJ93" s="59">
        <f t="shared" si="92"/>
        <v>230.15385333954697</v>
      </c>
      <c r="BK93" s="15">
        <f>IF(ISNA(VLOOKUP(A93,'Données projet'!$A$87:$I$107,3,0)),0,VLOOKUP(A93,'Données projet'!$A$87:$I$107,3,0))</f>
        <v>17</v>
      </c>
      <c r="BL93" s="15" t="str">
        <f>IF(ISNA(VLOOKUP(A93,'Données projet'!$A$87:$I$107,4,0)),0,VLOOKUP(A93,'Données projet'!$A$87:$I$107,4,0))</f>
        <v>15</v>
      </c>
      <c r="BM93" s="16">
        <f>IF(ISNA(VLOOKUP(A93,'Données projet'!$A$87:$I$107,5,0)),0%,VLOOKUP(A93,'Données projet'!$A$87:$I$107,5,0)*VLOOKUP('Données projet'!$B$11,Paramètres!$A$1:$I$89,7,0))</f>
        <v>0.215</v>
      </c>
      <c r="BN93" s="16">
        <f>IF(ISNA(VLOOKUP(A93,'Données projet'!$A$87:$I$107,6,0)),0%,VLOOKUP(A93,'Données projet'!$A$87:$I$107,6,0)*VLOOKUP('Données projet'!$B$11,Paramètres!$A$1:$I$89,7,0))</f>
        <v>0.17200000000000001</v>
      </c>
      <c r="BO93" s="16">
        <f>IF(ISNA(VLOOKUP(A93,'Données projet'!$A$87:$I$107,7,0)),0%,VLOOKUP(A93,'Données projet'!$A$87:$I$107,7,0))</f>
        <v>0.1</v>
      </c>
      <c r="BP93" s="21">
        <f>EXP(-LN(2)/35)*BP92+(1-EXP(-LN(2)/35))/(LN(2)/35)*BL93*BM93*VLOOKUP('Données projet'!$B$11,Paramètres!$A$1:$I$89,3,0)*0.475*44/12</f>
        <v>6.3081026954598016</v>
      </c>
      <c r="BQ93" s="21">
        <f>EXP(-LN(2)/25)*BQ92+(1-EXP(-LN(2)/25))/(LN(2)/25)*Calculateur!BL93*Calculateur!BN93*VLOOKUP('Données projet'!$B$11,Paramètres!$A$1:$I$89,3,0)*0.475*44/12</f>
        <v>15.891479185006114</v>
      </c>
      <c r="BR93" s="21">
        <f>EXP(-LN(2)/2)*BR92+(1-EXP(-LN(2)/2))/(LN(2)/2)*BL93*BO93*VLOOKUP('Données projet'!$B$11,Paramètres!$A$1:$I$89,3,0)*0.475*44/12</f>
        <v>1.3642034863264421</v>
      </c>
      <c r="BS93" s="22">
        <f t="shared" si="63"/>
        <v>23.563785366792356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7.1782051282051267</v>
      </c>
      <c r="BY93" s="12">
        <f>IF('Données projet'!$A$114&gt;35,BY92+BX93-CG92,IF(A93&lt;'Données projet'!$A$114,$BV$205^A93,IF(A93='Données projet'!$A$114,'Données projet'!$B$114,BY92+BX93-CG92)))</f>
        <v>253.64615384615416</v>
      </c>
      <c r="BZ93" s="13">
        <f>BY93*VLOOKUP('Données projet'!$B$12,Paramètres!$A$1:$I$89,3,0)*VLOOKUP('Données projet'!$B$12,Paramètres!$A$1:$I$89,5,0)</f>
        <v>229.49904000000029</v>
      </c>
      <c r="CA93" s="13">
        <f t="shared" si="93"/>
        <v>56.174348524497042</v>
      </c>
      <c r="CB93" s="20">
        <f t="shared" si="64"/>
        <v>497.54781834683286</v>
      </c>
      <c r="CC93" s="59">
        <f t="shared" si="65"/>
        <v>790.88115168016611</v>
      </c>
      <c r="CD93" s="59">
        <f ca="1">AVERAGE(OFFSET($CC$3,0,0,'Données projet'!$E$12+1,1))-AVERAGE(OFFSET($H$3,0,0,'Données projet'!$E$12+1,1))</f>
        <v>270.87836509222456</v>
      </c>
      <c r="CE93" s="59">
        <f t="shared" si="94"/>
        <v>205.24998237949734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41.45517976212043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41.45517976212043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>
        <f>VLOOKUP(A93,'Données projet'!$A$139:$I$159,2,0)</f>
        <v>215</v>
      </c>
      <c r="CR93" s="12">
        <f>VLOOKUP(A93,'Données projet'!$A$139:$I$159,9,0)</f>
        <v>2.8</v>
      </c>
      <c r="CS93" s="12">
        <f t="array" ref="CS93">INDEX(CR:CR,MIN(IF(ISNUMBER(CR93:CR289),ROW(CR93:CR289),"")))</f>
        <v>2.8</v>
      </c>
      <c r="CT93" s="12">
        <f>IF('Données projet'!$A$140&gt;35,CT92+CS93-DB92,IF(A93&lt;'Données projet'!$A$140,$CQ$205^A93,IF(A93='Données projet'!$A$140,'Données projet'!$B$140,CT92+CS93-DB92)))</f>
        <v>215.00000000000003</v>
      </c>
      <c r="CU93" s="17">
        <f>CT93*VLOOKUP('Données projet'!$B$13,Paramètres!$A$1:$I$89,3,0)*VLOOKUP('Données projet'!$B$13,Paramètres!$A$1:$I$89,5,0)</f>
        <v>187.82400000000007</v>
      </c>
      <c r="CV93" s="13">
        <f t="shared" si="95"/>
        <v>47.05854810918273</v>
      </c>
      <c r="CW93" s="20">
        <f t="shared" si="67"/>
        <v>409.08710462349336</v>
      </c>
      <c r="CX93" s="59">
        <f t="shared" si="68"/>
        <v>702.42043795682662</v>
      </c>
      <c r="CY93" s="59">
        <f ca="1">AVERAGE(OFFSET($CX$3,0,0,'Données projet'!$E$13+1,1))-AVERAGE(OFFSET($H$3,0,0,'Données projet'!$E$13+1,1))</f>
        <v>207.4513063267579</v>
      </c>
      <c r="CZ93" s="59">
        <f t="shared" si="96"/>
        <v>191.63513530247218</v>
      </c>
      <c r="DA93" s="15">
        <f>IF(ISNA(VLOOKUP(A93,'Données projet'!$A$139:$I$159,3,0)),0,VLOOKUP(A93,'Données projet'!$A$139:$I$159,3,0))</f>
        <v>15</v>
      </c>
      <c r="DB93" s="15" t="str">
        <f>IF(ISNA(VLOOKUP(A93,'Données projet'!$A$139:$I$159,4,0)),0,VLOOKUP(A93,'Données projet'!$A$139:$I$159,4,0))</f>
        <v>10</v>
      </c>
      <c r="DC93" s="16">
        <f>IF(ISNA(VLOOKUP(A93,'Données projet'!$A$139:$I$159,5,0)),0%,VLOOKUP(A93,'Données projet'!$A$139:$I$159,5,0)*VLOOKUP('Données projet'!$B$13,Paramètres!$A$1:$I$89,7,0))</f>
        <v>0.215</v>
      </c>
      <c r="DD93" s="16">
        <f>IF(ISNA(VLOOKUP(A93,'Données projet'!$A$139:$I$159,6,0)),0%,VLOOKUP(A93,'Données projet'!$A$139:$I$159,6,0)*VLOOKUP('Données projet'!$B$13,Paramètres!$A$1:$I$89,7,0))</f>
        <v>0.17200000000000001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12.899514925678453</v>
      </c>
      <c r="DG93" s="21">
        <f>EXP(-LN(2)/25)*DG92+(1-EXP(-LN(2)/25))/(LN(2)/25)*Calculateur!DB93*Calculateur!DD93*VLOOKUP('Données projet'!$B$13,Paramètres!$A$1:$I$89,3,0)*0.475*44/12</f>
        <v>13.964025679568033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26.863540605246484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66.814714696519275</v>
      </c>
      <c r="T94" s="59">
        <f t="shared" si="88"/>
        <v>199.56746335788068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11.596045033754526</v>
      </c>
      <c r="AA94" s="21">
        <f>EXP(-LN(2)/25)*AA93+(1-EXP(-LN(2)/25))/(LN(2)/25)*Calculateur!V94*Calculateur!X94*VLOOKUP('Données projet'!$B$9,Paramètres!$A$1:$I$89,3,0)*0.475*44/12</f>
        <v>1.4103451677169252</v>
      </c>
      <c r="AB94" s="21">
        <f>EXP(-LN(2)/2)*AB93+(1-EXP(-LN(2)/2))/(LN(2)/2)*V94*Y94*VLOOKUP('Données projet'!$B$9,Paramètres!$A$1:$I$89,3,0)*0.475*44/12</f>
        <v>2.9679395216854779E-10</v>
      </c>
      <c r="AC94" s="22">
        <f t="shared" si="57"/>
        <v>13.006390201768244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367.99999999999972</v>
      </c>
      <c r="AJ94" s="13">
        <f>AI94*VLOOKUP('Données projet'!$B$10,Paramètres!$A$1:$I$89,3,0)*VLOOKUP('Données projet'!$B$10,Paramètres!$A$1:$I$89,5,0)</f>
        <v>292.78079999999977</v>
      </c>
      <c r="AK94" s="13">
        <f t="shared" si="89"/>
        <v>69.660903052386217</v>
      </c>
      <c r="AL94" s="20">
        <f t="shared" si="58"/>
        <v>631.25263281623893</v>
      </c>
      <c r="AM94" s="59">
        <f t="shared" si="59"/>
        <v>924.58596614957219</v>
      </c>
      <c r="AN94" s="59">
        <f ca="1">AVERAGE(OFFSET($AM$3,0,0,'Données projet'!$E$10+1,1))-AVERAGE(OFFSET($H$3,0,0,'Données projet'!$E$10+1,1))</f>
        <v>325.72928944930294</v>
      </c>
      <c r="AO94" s="59">
        <f t="shared" si="90"/>
        <v>318.38876834819752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48.619266423310748</v>
      </c>
      <c r="AV94" s="21">
        <f>EXP(-LN(2)/25)*AV93+(1-EXP(-LN(2)/25))/(LN(2)/25)*Calculateur!AQ94*Calculateur!AS94*VLOOKUP('Données projet'!$B$10,Paramètres!$A$1:$I$89,3,0)*0.475*44/12</f>
        <v>5.2792929128773274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53.898559336188072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268.00000000000023</v>
      </c>
      <c r="BE94" s="13">
        <f>BD94*VLOOKUP('Données projet'!$B$11,Paramètres!$A$1:$I$89,3,0)*VLOOKUP('Données projet'!$B$11,Paramètres!$A$1:$I$89,5,0)</f>
        <v>175.59360000000015</v>
      </c>
      <c r="BF94" s="13">
        <f t="shared" si="91"/>
        <v>44.340433728638573</v>
      </c>
      <c r="BG94" s="20">
        <f t="shared" si="61"/>
        <v>383.05177541071242</v>
      </c>
      <c r="BH94" s="59">
        <f t="shared" si="62"/>
        <v>676.38510874404574</v>
      </c>
      <c r="BI94" s="59">
        <f ca="1">AVERAGE(OFFSET($BH$3,0,0,'Données projet'!$E$11+1,1))-AVERAGE(OFFSET($H$3,0,0,'Données projet'!$E$11+1,1))</f>
        <v>209.40885738157152</v>
      </c>
      <c r="BJ94" s="59">
        <f t="shared" si="92"/>
        <v>230.15385333954697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6.1844046491645637</v>
      </c>
      <c r="BQ94" s="21">
        <f>EXP(-LN(2)/25)*BQ93+(1-EXP(-LN(2)/25))/(LN(2)/25)*Calculateur!BL94*Calculateur!BN94*VLOOKUP('Données projet'!$B$11,Paramètres!$A$1:$I$89,3,0)*0.475*44/12</f>
        <v>15.456925850995551</v>
      </c>
      <c r="BR94" s="21">
        <f>EXP(-LN(2)/2)*BR93+(1-EXP(-LN(2)/2))/(LN(2)/2)*BL94*BO94*VLOOKUP('Données projet'!$B$11,Paramètres!$A$1:$I$89,3,0)*0.475*44/12</f>
        <v>0.96463753609975678</v>
      </c>
      <c r="BS94" s="22">
        <f t="shared" si="63"/>
        <v>22.605968036259874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7.1782051282051267</v>
      </c>
      <c r="BY94" s="12">
        <f>IF('Données projet'!$A$114&gt;35,BY93+BX94-CG93,IF(A94&lt;'Données projet'!$A$114,$BV$205^A94,IF(A94='Données projet'!$A$114,'Données projet'!$B$114,BY93+BX94-CG93)))</f>
        <v>260.82435897435931</v>
      </c>
      <c r="BZ94" s="13">
        <f>BY94*VLOOKUP('Données projet'!$B$12,Paramètres!$A$1:$I$89,3,0)*VLOOKUP('Données projet'!$B$12,Paramètres!$A$1:$I$89,5,0)</f>
        <v>235.99388000000027</v>
      </c>
      <c r="CA94" s="13">
        <f t="shared" si="93"/>
        <v>57.57675164364376</v>
      </c>
      <c r="CB94" s="20">
        <f t="shared" si="64"/>
        <v>511.30218344601343</v>
      </c>
      <c r="CC94" s="59">
        <f t="shared" si="65"/>
        <v>804.63551677934674</v>
      </c>
      <c r="CD94" s="59">
        <f ca="1">AVERAGE(OFFSET($CC$3,0,0,'Données projet'!$E$12+1,1))-AVERAGE(OFFSET($H$3,0,0,'Données projet'!$E$12+1,1))</f>
        <v>270.87836509222456</v>
      </c>
      <c r="CE94" s="59">
        <f t="shared" si="94"/>
        <v>205.24998237949734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40.642268972148202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40.642268972148202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2.8</v>
      </c>
      <c r="CT94" s="12">
        <f>IF('Données projet'!$A$140&gt;35,CT93+CS94-DB93,IF(A94&lt;'Données projet'!$A$140,$CQ$205^A94,IF(A94='Données projet'!$A$140,'Données projet'!$B$140,CT93+CS94-DB93)))</f>
        <v>207.80000000000004</v>
      </c>
      <c r="CU94" s="17">
        <f>CT94*VLOOKUP('Données projet'!$B$13,Paramètres!$A$1:$I$89,3,0)*VLOOKUP('Données projet'!$B$13,Paramètres!$A$1:$I$89,5,0)</f>
        <v>181.53408000000007</v>
      </c>
      <c r="CV94" s="13">
        <f t="shared" si="95"/>
        <v>45.663321943731901</v>
      </c>
      <c r="CW94" s="20">
        <f t="shared" si="67"/>
        <v>395.7021417186665</v>
      </c>
      <c r="CX94" s="59">
        <f t="shared" si="68"/>
        <v>689.03547505199981</v>
      </c>
      <c r="CY94" s="59">
        <f ca="1">AVERAGE(OFFSET($CX$3,0,0,'Données projet'!$E$13+1,1))-AVERAGE(OFFSET($H$3,0,0,'Données projet'!$E$13+1,1))</f>
        <v>207.4513063267579</v>
      </c>
      <c r="CZ94" s="59">
        <f t="shared" si="96"/>
        <v>191.63513530247218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12.64656330591311</v>
      </c>
      <c r="DG94" s="21">
        <f>EXP(-LN(2)/25)*DG93+(1-EXP(-LN(2)/25))/(LN(2)/25)*Calculateur!DB94*Calculateur!DD94*VLOOKUP('Données projet'!$B$13,Paramètres!$A$1:$I$89,3,0)*0.475*44/12</f>
        <v>13.582178663024051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26.228741968937161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66.814714696519275</v>
      </c>
      <c r="T95" s="59">
        <f t="shared" si="88"/>
        <v>199.56746335788068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11.368653663531681</v>
      </c>
      <c r="AA95" s="21">
        <f>EXP(-LN(2)/25)*AA94+(1-EXP(-LN(2)/25))/(LN(2)/25)*Calculateur!V95*Calculateur!X95*VLOOKUP('Données projet'!$B$9,Paramètres!$A$1:$I$89,3,0)*0.475*44/12</f>
        <v>1.3717792049388768</v>
      </c>
      <c r="AB95" s="21">
        <f>EXP(-LN(2)/2)*AB94+(1-EXP(-LN(2)/2))/(LN(2)/2)*V95*Y95*VLOOKUP('Données projet'!$B$9,Paramètres!$A$1:$I$89,3,0)*0.475*44/12</f>
        <v>2.0986501619353598E-10</v>
      </c>
      <c r="AC95" s="22">
        <f t="shared" si="57"/>
        <v>12.740432868680424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367.99999999999972</v>
      </c>
      <c r="AJ95" s="13">
        <f>AI95*VLOOKUP('Données projet'!$B$10,Paramètres!$A$1:$I$89,3,0)*VLOOKUP('Données projet'!$B$10,Paramètres!$A$1:$I$89,5,0)</f>
        <v>292.78079999999977</v>
      </c>
      <c r="AK95" s="13">
        <f t="shared" si="89"/>
        <v>69.660903052386217</v>
      </c>
      <c r="AL95" s="20">
        <f t="shared" si="58"/>
        <v>631.25263281623893</v>
      </c>
      <c r="AM95" s="59">
        <f t="shared" si="59"/>
        <v>924.58596614957219</v>
      </c>
      <c r="AN95" s="59">
        <f ca="1">AVERAGE(OFFSET($AM$3,0,0,'Données projet'!$E$10+1,1))-AVERAGE(OFFSET($H$3,0,0,'Données projet'!$E$10+1,1))</f>
        <v>325.72928944930294</v>
      </c>
      <c r="AO95" s="59">
        <f t="shared" si="90"/>
        <v>318.38876834819752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47.665872263573974</v>
      </c>
      <c r="AV95" s="21">
        <f>EXP(-LN(2)/25)*AV94+(1-EXP(-LN(2)/25))/(LN(2)/25)*Calculateur!AQ95*Calculateur!AS95*VLOOKUP('Données projet'!$B$10,Paramètres!$A$1:$I$89,3,0)*0.475*44/12</f>
        <v>5.1349303705487488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52.800802634122725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268.00000000000023</v>
      </c>
      <c r="BE95" s="13">
        <f>BD95*VLOOKUP('Données projet'!$B$11,Paramètres!$A$1:$I$89,3,0)*VLOOKUP('Données projet'!$B$11,Paramètres!$A$1:$I$89,5,0)</f>
        <v>175.59360000000015</v>
      </c>
      <c r="BF95" s="13">
        <f t="shared" si="91"/>
        <v>44.340433728638573</v>
      </c>
      <c r="BG95" s="20">
        <f t="shared" si="61"/>
        <v>383.05177541071242</v>
      </c>
      <c r="BH95" s="59">
        <f t="shared" si="62"/>
        <v>676.38510874404574</v>
      </c>
      <c r="BI95" s="59">
        <f ca="1">AVERAGE(OFFSET($BH$3,0,0,'Données projet'!$E$11+1,1))-AVERAGE(OFFSET($H$3,0,0,'Données projet'!$E$11+1,1))</f>
        <v>209.40885738157152</v>
      </c>
      <c r="BJ95" s="59">
        <f t="shared" si="92"/>
        <v>230.15385333954697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6.0631322461088173</v>
      </c>
      <c r="BQ95" s="21">
        <f>EXP(-LN(2)/25)*BQ94+(1-EXP(-LN(2)/25))/(LN(2)/25)*Calculateur!BL95*Calculateur!BN95*VLOOKUP('Données projet'!$B$11,Paramètres!$A$1:$I$89,3,0)*0.475*44/12</f>
        <v>15.034255400755676</v>
      </c>
      <c r="BR95" s="21">
        <f>EXP(-LN(2)/2)*BR94+(1-EXP(-LN(2)/2))/(LN(2)/2)*BL95*BO95*VLOOKUP('Données projet'!$B$11,Paramètres!$A$1:$I$89,3,0)*0.475*44/12</f>
        <v>0.68210174316322114</v>
      </c>
      <c r="BS95" s="22">
        <f t="shared" si="63"/>
        <v>21.779489390027717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7.1782051282051267</v>
      </c>
      <c r="BY95" s="12">
        <f>IF('Données projet'!$A$114&gt;35,BY94+BX95-CG94,IF(A95&lt;'Données projet'!$A$114,$BV$205^A95,IF(A95='Données projet'!$A$114,'Données projet'!$B$114,BY94+BX95-CG94)))</f>
        <v>268.00256410256446</v>
      </c>
      <c r="BZ95" s="13">
        <f>BY95*VLOOKUP('Données projet'!$B$12,Paramètres!$A$1:$I$89,3,0)*VLOOKUP('Données projet'!$B$12,Paramètres!$A$1:$I$89,5,0)</f>
        <v>242.48872000000031</v>
      </c>
      <c r="CA95" s="13">
        <f t="shared" si="93"/>
        <v>58.974668795914049</v>
      </c>
      <c r="CB95" s="20">
        <f t="shared" si="64"/>
        <v>525.04873548621742</v>
      </c>
      <c r="CC95" s="59">
        <f t="shared" si="65"/>
        <v>818.3820688195508</v>
      </c>
      <c r="CD95" s="59">
        <f ca="1">AVERAGE(OFFSET($CC$3,0,0,'Données projet'!$E$12+1,1))-AVERAGE(OFFSET($H$3,0,0,'Données projet'!$E$12+1,1))</f>
        <v>270.87836509222456</v>
      </c>
      <c r="CE95" s="59">
        <f t="shared" si="94"/>
        <v>205.24998237949734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39.845298866940702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39.845298866940702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2.8</v>
      </c>
      <c r="CT95" s="12">
        <f>IF('Données projet'!$A$140&gt;35,CT94+CS95-DB94,IF(A95&lt;'Données projet'!$A$140,$CQ$205^A95,IF(A95='Données projet'!$A$140,'Données projet'!$B$140,CT94+CS95-DB94)))</f>
        <v>210.60000000000005</v>
      </c>
      <c r="CU95" s="17">
        <f>CT95*VLOOKUP('Données projet'!$B$13,Paramètres!$A$1:$I$89,3,0)*VLOOKUP('Données projet'!$B$13,Paramètres!$A$1:$I$89,5,0)</f>
        <v>183.98016000000007</v>
      </c>
      <c r="CV95" s="13">
        <f t="shared" si="95"/>
        <v>46.206568123393758</v>
      </c>
      <c r="CW95" s="20">
        <f t="shared" si="67"/>
        <v>400.9085514815776</v>
      </c>
      <c r="CX95" s="59">
        <f t="shared" si="68"/>
        <v>694.24188481491092</v>
      </c>
      <c r="CY95" s="59">
        <f ca="1">AVERAGE(OFFSET($CX$3,0,0,'Données projet'!$E$13+1,1))-AVERAGE(OFFSET($H$3,0,0,'Données projet'!$E$13+1,1))</f>
        <v>207.4513063267579</v>
      </c>
      <c r="CZ95" s="59">
        <f t="shared" si="96"/>
        <v>191.63513530247218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12.398571913126112</v>
      </c>
      <c r="DG95" s="21">
        <f>EXP(-LN(2)/25)*DG94+(1-EXP(-LN(2)/25))/(LN(2)/25)*Calculateur!DB95*Calculateur!DD95*VLOOKUP('Données projet'!$B$13,Paramètres!$A$1:$I$89,3,0)*0.475*44/12</f>
        <v>13.210773273227925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25.609345186354037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66.814714696519275</v>
      </c>
      <c r="T96" s="59">
        <f t="shared" si="88"/>
        <v>199.56746335788068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11.145721299383865</v>
      </c>
      <c r="AA96" s="21">
        <f>EXP(-LN(2)/25)*AA95+(1-EXP(-LN(2)/25))/(LN(2)/25)*Calculateur!V96*Calculateur!X96*VLOOKUP('Données projet'!$B$9,Paramètres!$A$1:$I$89,3,0)*0.475*44/12</f>
        <v>1.3342678304410902</v>
      </c>
      <c r="AB96" s="21">
        <f>EXP(-LN(2)/2)*AB95+(1-EXP(-LN(2)/2))/(LN(2)/2)*V96*Y96*VLOOKUP('Données projet'!$B$9,Paramètres!$A$1:$I$89,3,0)*0.475*44/12</f>
        <v>1.483969760842739E-10</v>
      </c>
      <c r="AC96" s="22">
        <f t="shared" si="57"/>
        <v>12.479989129973353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367.99999999999972</v>
      </c>
      <c r="AJ96" s="13">
        <f>AI96*VLOOKUP('Données projet'!$B$10,Paramètres!$A$1:$I$89,3,0)*VLOOKUP('Données projet'!$B$10,Paramètres!$A$1:$I$89,5,0)</f>
        <v>292.78079999999977</v>
      </c>
      <c r="AK96" s="13">
        <f t="shared" si="89"/>
        <v>69.660903052386217</v>
      </c>
      <c r="AL96" s="20">
        <f t="shared" si="58"/>
        <v>631.25263281623893</v>
      </c>
      <c r="AM96" s="59">
        <f t="shared" si="59"/>
        <v>924.58596614957219</v>
      </c>
      <c r="AN96" s="59">
        <f ca="1">AVERAGE(OFFSET($AM$3,0,0,'Données projet'!$E$10+1,1))-AVERAGE(OFFSET($H$3,0,0,'Données projet'!$E$10+1,1))</f>
        <v>325.72928944930294</v>
      </c>
      <c r="AO96" s="59">
        <f t="shared" si="90"/>
        <v>318.38876834819752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46.731173581796618</v>
      </c>
      <c r="AV96" s="21">
        <f>EXP(-LN(2)/25)*AV95+(1-EXP(-LN(2)/25))/(LN(2)/25)*Calculateur!AQ96*Calculateur!AS96*VLOOKUP('Données projet'!$B$10,Paramètres!$A$1:$I$89,3,0)*0.475*44/12</f>
        <v>4.994515429531841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51.725689011328456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268.00000000000023</v>
      </c>
      <c r="BE96" s="13">
        <f>BD96*VLOOKUP('Données projet'!$B$11,Paramètres!$A$1:$I$89,3,0)*VLOOKUP('Données projet'!$B$11,Paramètres!$A$1:$I$89,5,0)</f>
        <v>175.59360000000015</v>
      </c>
      <c r="BF96" s="13">
        <f t="shared" si="91"/>
        <v>44.340433728638573</v>
      </c>
      <c r="BG96" s="20">
        <f t="shared" si="61"/>
        <v>383.05177541071242</v>
      </c>
      <c r="BH96" s="59">
        <f t="shared" si="62"/>
        <v>676.38510874404574</v>
      </c>
      <c r="BI96" s="59">
        <f ca="1">AVERAGE(OFFSET($BH$3,0,0,'Données projet'!$E$11+1,1))-AVERAGE(OFFSET($H$3,0,0,'Données projet'!$E$11+1,1))</f>
        <v>209.40885738157152</v>
      </c>
      <c r="BJ96" s="59">
        <f t="shared" si="92"/>
        <v>230.15385333954697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5.9442379209081322</v>
      </c>
      <c r="BQ96" s="21">
        <f>EXP(-LN(2)/25)*BQ95+(1-EXP(-LN(2)/25))/(LN(2)/25)*Calculateur!BL96*Calculateur!BN96*VLOOKUP('Données projet'!$B$11,Paramètres!$A$1:$I$89,3,0)*0.475*44/12</f>
        <v>14.623142896204881</v>
      </c>
      <c r="BR96" s="21">
        <f>EXP(-LN(2)/2)*BR95+(1-EXP(-LN(2)/2))/(LN(2)/2)*BL96*BO96*VLOOKUP('Données projet'!$B$11,Paramètres!$A$1:$I$89,3,0)*0.475*44/12</f>
        <v>0.4823187680498785</v>
      </c>
      <c r="BS96" s="22">
        <f t="shared" si="63"/>
        <v>21.049699585162891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7.1782051282051267</v>
      </c>
      <c r="BY96" s="12">
        <f>IF('Données projet'!$A$114&gt;35,BY95+BX96-CG95,IF(A96&lt;'Données projet'!$A$114,$BV$205^A96,IF(A96='Données projet'!$A$114,'Données projet'!$B$114,BY95+BX96-CG95)))</f>
        <v>275.18076923076961</v>
      </c>
      <c r="BZ96" s="13">
        <f>BY96*VLOOKUP('Données projet'!$B$12,Paramètres!$A$1:$I$89,3,0)*VLOOKUP('Données projet'!$B$12,Paramètres!$A$1:$I$89,5,0)</f>
        <v>248.98356000000032</v>
      </c>
      <c r="CA96" s="13">
        <f t="shared" si="93"/>
        <v>60.368233943158614</v>
      </c>
      <c r="CB96" s="20">
        <f t="shared" si="64"/>
        <v>538.78770778433511</v>
      </c>
      <c r="CC96" s="59">
        <f t="shared" si="65"/>
        <v>832.12104111766848</v>
      </c>
      <c r="CD96" s="59">
        <f ca="1">AVERAGE(OFFSET($CC$3,0,0,'Données projet'!$E$12+1,1))-AVERAGE(OFFSET($H$3,0,0,'Données projet'!$E$12+1,1))</f>
        <v>270.87836509222456</v>
      </c>
      <c r="CE96" s="59">
        <f t="shared" si="94"/>
        <v>205.24998237949734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39.063956859392562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39.063956859392562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2.8</v>
      </c>
      <c r="CT96" s="12">
        <f>IF('Données projet'!$A$140&gt;35,CT95+CS96-DB95,IF(A96&lt;'Données projet'!$A$140,$CQ$205^A96,IF(A96='Données projet'!$A$140,'Données projet'!$B$140,CT95+CS96-DB95)))</f>
        <v>213.40000000000006</v>
      </c>
      <c r="CU96" s="17">
        <f>CT96*VLOOKUP('Données projet'!$B$13,Paramètres!$A$1:$I$89,3,0)*VLOOKUP('Données projet'!$B$13,Paramètres!$A$1:$I$89,5,0)</f>
        <v>186.42624000000009</v>
      </c>
      <c r="CV96" s="13">
        <f t="shared" si="95"/>
        <v>46.748974211060826</v>
      </c>
      <c r="CW96" s="20">
        <f t="shared" si="67"/>
        <v>406.11349808426439</v>
      </c>
      <c r="CX96" s="59">
        <f t="shared" si="68"/>
        <v>699.44683141759765</v>
      </c>
      <c r="CY96" s="59">
        <f ca="1">AVERAGE(OFFSET($CX$3,0,0,'Données projet'!$E$13+1,1))-AVERAGE(OFFSET($H$3,0,0,'Données projet'!$E$13+1,1))</f>
        <v>207.4513063267579</v>
      </c>
      <c r="CZ96" s="59">
        <f t="shared" si="96"/>
        <v>191.63513530247218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12.155443480291853</v>
      </c>
      <c r="DG96" s="21">
        <f>EXP(-LN(2)/25)*DG95+(1-EXP(-LN(2)/25))/(LN(2)/25)*Calculateur!DB96*Calculateur!DD96*VLOOKUP('Données projet'!$B$13,Paramètres!$A$1:$I$89,3,0)*0.475*44/12</f>
        <v>12.849523983347135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25.004967463638987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66.814714696519275</v>
      </c>
      <c r="T97" s="59">
        <f t="shared" si="88"/>
        <v>199.56746335788068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10.927160502921671</v>
      </c>
      <c r="AA97" s="21">
        <f>EXP(-LN(2)/25)*AA96+(1-EXP(-LN(2)/25))/(LN(2)/25)*Calculateur!V97*Calculateur!X97*VLOOKUP('Données projet'!$B$9,Paramètres!$A$1:$I$89,3,0)*0.475*44/12</f>
        <v>1.2977822064515829</v>
      </c>
      <c r="AB97" s="21">
        <f>EXP(-LN(2)/2)*AB96+(1-EXP(-LN(2)/2))/(LN(2)/2)*V97*Y97*VLOOKUP('Données projet'!$B$9,Paramètres!$A$1:$I$89,3,0)*0.475*44/12</f>
        <v>1.0493250809676799E-10</v>
      </c>
      <c r="AC97" s="22">
        <f t="shared" si="57"/>
        <v>12.224942709478187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367.99999999999972</v>
      </c>
      <c r="AJ97" s="13">
        <f>AI97*VLOOKUP('Données projet'!$B$10,Paramètres!$A$1:$I$89,3,0)*VLOOKUP('Données projet'!$B$10,Paramètres!$A$1:$I$89,5,0)</f>
        <v>292.78079999999977</v>
      </c>
      <c r="AK97" s="13">
        <f t="shared" si="89"/>
        <v>69.660903052386217</v>
      </c>
      <c r="AL97" s="20">
        <f t="shared" si="58"/>
        <v>631.25263281623893</v>
      </c>
      <c r="AM97" s="59">
        <f t="shared" si="59"/>
        <v>924.58596614957219</v>
      </c>
      <c r="AN97" s="59">
        <f ca="1">AVERAGE(OFFSET($AM$3,0,0,'Données projet'!$E$10+1,1))-AVERAGE(OFFSET($H$3,0,0,'Données projet'!$E$10+1,1))</f>
        <v>325.72928944930294</v>
      </c>
      <c r="AO97" s="59">
        <f t="shared" si="90"/>
        <v>318.38876834819752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45.814803771059012</v>
      </c>
      <c r="AV97" s="21">
        <f>EXP(-LN(2)/25)*AV96+(1-EXP(-LN(2)/25))/(LN(2)/25)*Calculateur!AQ97*Calculateur!AS97*VLOOKUP('Données projet'!$B$10,Paramètres!$A$1:$I$89,3,0)*0.475*44/12</f>
        <v>4.8579401424611417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50.672743913520151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268.00000000000023</v>
      </c>
      <c r="BE97" s="13">
        <f>BD97*VLOOKUP('Données projet'!$B$11,Paramètres!$A$1:$I$89,3,0)*VLOOKUP('Données projet'!$B$11,Paramètres!$A$1:$I$89,5,0)</f>
        <v>175.59360000000015</v>
      </c>
      <c r="BF97" s="13">
        <f t="shared" si="91"/>
        <v>44.340433728638573</v>
      </c>
      <c r="BG97" s="20">
        <f t="shared" si="61"/>
        <v>383.05177541071242</v>
      </c>
      <c r="BH97" s="59">
        <f t="shared" si="62"/>
        <v>676.38510874404574</v>
      </c>
      <c r="BI97" s="59">
        <f ca="1">AVERAGE(OFFSET($BH$3,0,0,'Données projet'!$E$11+1,1))-AVERAGE(OFFSET($H$3,0,0,'Données projet'!$E$11+1,1))</f>
        <v>209.40885738157152</v>
      </c>
      <c r="BJ97" s="59">
        <f t="shared" si="92"/>
        <v>230.15385333954697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5.8276750409062545</v>
      </c>
      <c r="BQ97" s="21">
        <f>EXP(-LN(2)/25)*BQ96+(1-EXP(-LN(2)/25))/(LN(2)/25)*Calculateur!BL97*Calculateur!BN97*VLOOKUP('Données projet'!$B$11,Paramètres!$A$1:$I$89,3,0)*0.475*44/12</f>
        <v>14.223272284710495</v>
      </c>
      <c r="BR97" s="21">
        <f>EXP(-LN(2)/2)*BR96+(1-EXP(-LN(2)/2))/(LN(2)/2)*BL97*BO97*VLOOKUP('Données projet'!$B$11,Paramètres!$A$1:$I$89,3,0)*0.475*44/12</f>
        <v>0.34105087158161063</v>
      </c>
      <c r="BS97" s="22">
        <f t="shared" si="63"/>
        <v>20.391998197198362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7.1782051282051267</v>
      </c>
      <c r="BY97" s="12">
        <f>IF('Données projet'!$A$114&gt;35,BY96+BX97-CG96,IF(A97&lt;'Données projet'!$A$114,$BV$205^A97,IF(A97='Données projet'!$A$114,'Données projet'!$B$114,BY96+BX97-CG96)))</f>
        <v>282.35897435897476</v>
      </c>
      <c r="BZ97" s="13">
        <f>BY97*VLOOKUP('Données projet'!$B$12,Paramètres!$A$1:$I$89,3,0)*VLOOKUP('Données projet'!$B$12,Paramètres!$A$1:$I$89,5,0)</f>
        <v>255.47840000000036</v>
      </c>
      <c r="CA97" s="13">
        <f t="shared" si="93"/>
        <v>61.757573660260803</v>
      </c>
      <c r="CB97" s="20">
        <f t="shared" si="64"/>
        <v>552.51932079162145</v>
      </c>
      <c r="CC97" s="59">
        <f t="shared" si="65"/>
        <v>845.85265412495482</v>
      </c>
      <c r="CD97" s="59">
        <f ca="1">AVERAGE(OFFSET($CC$3,0,0,'Données projet'!$E$12+1,1))-AVERAGE(OFFSET($H$3,0,0,'Données projet'!$E$12+1,1))</f>
        <v>270.87836509222456</v>
      </c>
      <c r="CE97" s="59">
        <f t="shared" si="94"/>
        <v>205.24998237949734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38.297936492040868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38.297936492040868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2.8</v>
      </c>
      <c r="CT97" s="12">
        <f>IF('Données projet'!$A$140&gt;35,CT96+CS97-DB96,IF(A97&lt;'Données projet'!$A$140,$CQ$205^A97,IF(A97='Données projet'!$A$140,'Données projet'!$B$140,CT96+CS97-DB96)))</f>
        <v>216.20000000000007</v>
      </c>
      <c r="CU97" s="17">
        <f>CT97*VLOOKUP('Données projet'!$B$13,Paramètres!$A$1:$I$89,3,0)*VLOOKUP('Données projet'!$B$13,Paramètres!$A$1:$I$89,5,0)</f>
        <v>188.87232000000009</v>
      </c>
      <c r="CV97" s="13">
        <f t="shared" si="95"/>
        <v>47.290552503862891</v>
      </c>
      <c r="CW97" s="20">
        <f t="shared" si="67"/>
        <v>411.31700294422802</v>
      </c>
      <c r="CX97" s="59">
        <f t="shared" si="68"/>
        <v>704.65033627756134</v>
      </c>
      <c r="CY97" s="59">
        <f ca="1">AVERAGE(OFFSET($CX$3,0,0,'Données projet'!$E$13+1,1))-AVERAGE(OFFSET($H$3,0,0,'Données projet'!$E$13+1,1))</f>
        <v>207.4513063267579</v>
      </c>
      <c r="CZ97" s="59">
        <f t="shared" si="96"/>
        <v>191.63513530247218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11.917082647731771</v>
      </c>
      <c r="DG97" s="21">
        <f>EXP(-LN(2)/25)*DG96+(1-EXP(-LN(2)/25))/(LN(2)/25)*Calculateur!DB97*Calculateur!DD97*VLOOKUP('Données projet'!$B$13,Paramètres!$A$1:$I$89,3,0)*0.475*44/12</f>
        <v>12.498153074295409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24.41523572202718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66.814714696519275</v>
      </c>
      <c r="T98" s="59">
        <f t="shared" si="88"/>
        <v>199.56746335788068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10.71288555036918</v>
      </c>
      <c r="AA98" s="21">
        <f>EXP(-LN(2)/25)*AA97+(1-EXP(-LN(2)/25))/(LN(2)/25)*Calculateur!V98*Calculateur!X98*VLOOKUP('Données projet'!$B$9,Paramètres!$A$1:$I$89,3,0)*0.475*44/12</f>
        <v>1.2622942837687643</v>
      </c>
      <c r="AB98" s="21">
        <f>EXP(-LN(2)/2)*AB97+(1-EXP(-LN(2)/2))/(LN(2)/2)*V98*Y98*VLOOKUP('Données projet'!$B$9,Paramètres!$A$1:$I$89,3,0)*0.475*44/12</f>
        <v>7.4198488042136948E-11</v>
      </c>
      <c r="AC98" s="22">
        <f t="shared" si="57"/>
        <v>11.975179834212142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367.99999999999972</v>
      </c>
      <c r="AJ98" s="13">
        <f>AI98*VLOOKUP('Données projet'!$B$10,Paramètres!$A$1:$I$89,3,0)*VLOOKUP('Données projet'!$B$10,Paramètres!$A$1:$I$89,5,0)</f>
        <v>292.78079999999977</v>
      </c>
      <c r="AK98" s="13">
        <f t="shared" si="89"/>
        <v>69.660903052386217</v>
      </c>
      <c r="AL98" s="20">
        <f t="shared" si="58"/>
        <v>631.25263281623893</v>
      </c>
      <c r="AM98" s="59">
        <f t="shared" si="59"/>
        <v>924.58596614957219</v>
      </c>
      <c r="AN98" s="59">
        <f ca="1">AVERAGE(OFFSET($AM$3,0,0,'Données projet'!$E$10+1,1))-AVERAGE(OFFSET($H$3,0,0,'Données projet'!$E$10+1,1))</f>
        <v>325.72928944930294</v>
      </c>
      <c r="AO98" s="59">
        <f t="shared" si="90"/>
        <v>318.38876834819752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44.916403413379577</v>
      </c>
      <c r="AV98" s="21">
        <f>EXP(-LN(2)/25)*AV97+(1-EXP(-LN(2)/25))/(LN(2)/25)*Calculateur!AQ98*Calculateur!AS98*VLOOKUP('Données projet'!$B$10,Paramètres!$A$1:$I$89,3,0)*0.475*44/12</f>
        <v>4.7250995137975726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49.64150292717715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268.00000000000023</v>
      </c>
      <c r="BE98" s="13">
        <f>BD98*VLOOKUP('Données projet'!$B$11,Paramètres!$A$1:$I$89,3,0)*VLOOKUP('Données projet'!$B$11,Paramètres!$A$1:$I$89,5,0)</f>
        <v>175.59360000000015</v>
      </c>
      <c r="BF98" s="13">
        <f t="shared" si="91"/>
        <v>44.340433728638573</v>
      </c>
      <c r="BG98" s="20">
        <f t="shared" si="61"/>
        <v>383.05177541071242</v>
      </c>
      <c r="BH98" s="59">
        <f t="shared" si="62"/>
        <v>676.38510874404574</v>
      </c>
      <c r="BI98" s="59">
        <f ca="1">AVERAGE(OFFSET($BH$3,0,0,'Données projet'!$E$11+1,1))-AVERAGE(OFFSET($H$3,0,0,'Données projet'!$E$11+1,1))</f>
        <v>209.40885738157152</v>
      </c>
      <c r="BJ98" s="59">
        <f t="shared" si="92"/>
        <v>230.15385333954697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5.7133978878848772</v>
      </c>
      <c r="BQ98" s="21">
        <f>EXP(-LN(2)/25)*BQ97+(1-EXP(-LN(2)/25))/(LN(2)/25)*Calculateur!BL98*Calculateur!BN98*VLOOKUP('Données projet'!$B$11,Paramètres!$A$1:$I$89,3,0)*0.475*44/12</f>
        <v>13.834336156115704</v>
      </c>
      <c r="BR98" s="21">
        <f>EXP(-LN(2)/2)*BR97+(1-EXP(-LN(2)/2))/(LN(2)/2)*BL98*BO98*VLOOKUP('Données projet'!$B$11,Paramètres!$A$1:$I$89,3,0)*0.475*44/12</f>
        <v>0.24115938402493928</v>
      </c>
      <c r="BS98" s="22">
        <f t="shared" si="63"/>
        <v>19.788893428025521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7.1782051282051267</v>
      </c>
      <c r="BY98" s="12">
        <f>IF('Données projet'!$A$114&gt;35,BY97+BX98-CG97,IF(A98&lt;'Données projet'!$A$114,$BV$205^A98,IF(A98='Données projet'!$A$114,'Données projet'!$B$114,BY97+BX98-CG97)))</f>
        <v>289.53717948717991</v>
      </c>
      <c r="BZ98" s="13">
        <f>BY98*VLOOKUP('Données projet'!$B$12,Paramètres!$A$1:$I$89,3,0)*VLOOKUP('Données projet'!$B$12,Paramètres!$A$1:$I$89,5,0)</f>
        <v>261.97324000000037</v>
      </c>
      <c r="CA98" s="13">
        <f t="shared" si="93"/>
        <v>63.142807719765102</v>
      </c>
      <c r="CB98" s="20">
        <f t="shared" si="64"/>
        <v>566.24378311192481</v>
      </c>
      <c r="CC98" s="59">
        <f t="shared" si="65"/>
        <v>859.57711644525807</v>
      </c>
      <c r="CD98" s="59">
        <f ca="1">AVERAGE(OFFSET($CC$3,0,0,'Données projet'!$E$12+1,1))-AVERAGE(OFFSET($H$3,0,0,'Données projet'!$E$12+1,1))</f>
        <v>270.87836509222456</v>
      </c>
      <c r="CE98" s="59">
        <f t="shared" si="94"/>
        <v>205.24998237949734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37.546937316866654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37.546937316866654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>
        <f>VLOOKUP(A98,'Données projet'!$A$139:$I$159,2,0)</f>
        <v>219</v>
      </c>
      <c r="CR98" s="12">
        <f>VLOOKUP(A98,'Données projet'!$A$139:$I$159,9,0)</f>
        <v>2.8</v>
      </c>
      <c r="CS98" s="12">
        <f t="array" ref="CS98">INDEX(CR:CR,MIN(IF(ISNUMBER(CR98:CR294),ROW(CR98:CR294),"")))</f>
        <v>2.8</v>
      </c>
      <c r="CT98" s="12">
        <f>IF('Données projet'!$A$140&gt;35,CT97+CS98-DB97,IF(A98&lt;'Données projet'!$A$140,$CQ$205^A98,IF(A98='Données projet'!$A$140,'Données projet'!$B$140,CT97+CS98-DB97)))</f>
        <v>219.00000000000009</v>
      </c>
      <c r="CU98" s="17">
        <f>CT98*VLOOKUP('Données projet'!$B$13,Paramètres!$A$1:$I$89,3,0)*VLOOKUP('Données projet'!$B$13,Paramètres!$A$1:$I$89,5,0)</f>
        <v>191.31840000000008</v>
      </c>
      <c r="CV98" s="13">
        <f t="shared" si="95"/>
        <v>47.831314962098396</v>
      </c>
      <c r="CW98" s="20">
        <f t="shared" si="67"/>
        <v>416.51908689232147</v>
      </c>
      <c r="CX98" s="59">
        <f t="shared" si="68"/>
        <v>709.85242022565478</v>
      </c>
      <c r="CY98" s="59">
        <f ca="1">AVERAGE(OFFSET($CX$3,0,0,'Données projet'!$E$13+1,1))-AVERAGE(OFFSET($H$3,0,0,'Données projet'!$E$13+1,1))</f>
        <v>207.4513063267579</v>
      </c>
      <c r="CZ98" s="59">
        <f t="shared" si="96"/>
        <v>191.63513530247218</v>
      </c>
      <c r="DA98" s="15">
        <f>IF(ISNA(VLOOKUP(A98,'Données projet'!$A$139:$I$159,3,0)),0,VLOOKUP(A98,'Données projet'!$A$139:$I$159,3,0))</f>
        <v>16</v>
      </c>
      <c r="DB98" s="15" t="str">
        <f>IF(ISNA(VLOOKUP(A98,'Données projet'!$A$139:$I$159,4,0)),0,VLOOKUP(A98,'Données projet'!$A$139:$I$159,4,0))</f>
        <v>11</v>
      </c>
      <c r="DC98" s="16">
        <f>IF(ISNA(VLOOKUP(A98,'Données projet'!$A$139:$I$159,5,0)),0%,VLOOKUP(A98,'Données projet'!$A$139:$I$159,5,0)*VLOOKUP('Données projet'!$B$13,Paramètres!$A$1:$I$89,7,0))</f>
        <v>0.215</v>
      </c>
      <c r="DD98" s="16">
        <f>IF(ISNA(VLOOKUP(A98,'Données projet'!$A$139:$I$159,6,0)),0%,VLOOKUP(A98,'Données projet'!$A$139:$I$159,6,0)*VLOOKUP('Données projet'!$B$13,Paramètres!$A$1:$I$89,7,0))</f>
        <v>0.17200000000000001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13.967368479931807</v>
      </c>
      <c r="DG98" s="21">
        <f>EXP(-LN(2)/25)*DG97+(1-EXP(-LN(2)/25))/(LN(2)/25)*Calculateur!DB98*Calculateur!DD98*VLOOKUP('Données projet'!$B$13,Paramètres!$A$1:$I$89,3,0)*0.475*44/12</f>
        <v>13.976374168438802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27.943742648370609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66.814714696519275</v>
      </c>
      <c r="T99" s="59">
        <f t="shared" si="88"/>
        <v>199.56746335788068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10.502812398941426</v>
      </c>
      <c r="AA99" s="21">
        <f>EXP(-LN(2)/25)*AA98+(1-EXP(-LN(2)/25))/(LN(2)/25)*Calculateur!V99*Calculateur!X99*VLOOKUP('Données projet'!$B$9,Paramètres!$A$1:$I$89,3,0)*0.475*44/12</f>
        <v>1.227776780197936</v>
      </c>
      <c r="AB99" s="21">
        <f>EXP(-LN(2)/2)*AB98+(1-EXP(-LN(2)/2))/(LN(2)/2)*V99*Y99*VLOOKUP('Données projet'!$B$9,Paramètres!$A$1:$I$89,3,0)*0.475*44/12</f>
        <v>5.2466254048383994E-11</v>
      </c>
      <c r="AC99" s="22">
        <f t="shared" si="57"/>
        <v>11.730589179191828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367.99999999999972</v>
      </c>
      <c r="AJ99" s="13">
        <f>AI99*VLOOKUP('Données projet'!$B$10,Paramètres!$A$1:$I$89,3,0)*VLOOKUP('Données projet'!$B$10,Paramètres!$A$1:$I$89,5,0)</f>
        <v>292.78079999999977</v>
      </c>
      <c r="AK99" s="13">
        <f t="shared" si="89"/>
        <v>69.660903052386217</v>
      </c>
      <c r="AL99" s="20">
        <f t="shared" si="58"/>
        <v>631.25263281623893</v>
      </c>
      <c r="AM99" s="59">
        <f t="shared" si="59"/>
        <v>924.58596614957219</v>
      </c>
      <c r="AN99" s="59">
        <f ca="1">AVERAGE(OFFSET($AM$3,0,0,'Données projet'!$E$10+1,1))-AVERAGE(OFFSET($H$3,0,0,'Données projet'!$E$10+1,1))</f>
        <v>325.72928944930294</v>
      </c>
      <c r="AO99" s="59">
        <f t="shared" si="90"/>
        <v>318.38876834819752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44.035620138744122</v>
      </c>
      <c r="AV99" s="21">
        <f>EXP(-LN(2)/25)*AV98+(1-EXP(-LN(2)/25))/(LN(2)/25)*Calculateur!AQ99*Calculateur!AS99*VLOOKUP('Données projet'!$B$10,Paramètres!$A$1:$I$89,3,0)*0.475*44/12</f>
        <v>4.5958914191105942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48.631511557854715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268.00000000000023</v>
      </c>
      <c r="BE99" s="13">
        <f>BD99*VLOOKUP('Données projet'!$B$11,Paramètres!$A$1:$I$89,3,0)*VLOOKUP('Données projet'!$B$11,Paramètres!$A$1:$I$89,5,0)</f>
        <v>175.59360000000015</v>
      </c>
      <c r="BF99" s="13">
        <f t="shared" si="91"/>
        <v>44.340433728638573</v>
      </c>
      <c r="BG99" s="20">
        <f t="shared" si="61"/>
        <v>383.05177541071242</v>
      </c>
      <c r="BH99" s="59">
        <f t="shared" si="62"/>
        <v>676.38510874404574</v>
      </c>
      <c r="BI99" s="59">
        <f ca="1">AVERAGE(OFFSET($BH$3,0,0,'Données projet'!$E$11+1,1))-AVERAGE(OFFSET($H$3,0,0,'Données projet'!$E$11+1,1))</f>
        <v>209.40885738157152</v>
      </c>
      <c r="BJ99" s="59">
        <f t="shared" si="92"/>
        <v>230.15385333954697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5.6013616401320681</v>
      </c>
      <c r="BQ99" s="21">
        <f>EXP(-LN(2)/25)*BQ98+(1-EXP(-LN(2)/25))/(LN(2)/25)*Calculateur!BL99*Calculateur!BN99*VLOOKUP('Données projet'!$B$11,Paramètres!$A$1:$I$89,3,0)*0.475*44/12</f>
        <v>13.456035506410601</v>
      </c>
      <c r="BR99" s="21">
        <f>EXP(-LN(2)/2)*BR98+(1-EXP(-LN(2)/2))/(LN(2)/2)*BL99*BO99*VLOOKUP('Données projet'!$B$11,Paramètres!$A$1:$I$89,3,0)*0.475*44/12</f>
        <v>0.17052543579080534</v>
      </c>
      <c r="BS99" s="22">
        <f t="shared" si="63"/>
        <v>19.227922582333473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7.1782051282051267</v>
      </c>
      <c r="BY99" s="12">
        <f>IF('Données projet'!$A$114&gt;35,BY98+BX99-CG98,IF(A99&lt;'Données projet'!$A$114,$BV$205^A99,IF(A99='Données projet'!$A$114,'Données projet'!$B$114,BY98+BX99-CG98)))</f>
        <v>296.71538461538506</v>
      </c>
      <c r="BZ99" s="13">
        <f>BY99*VLOOKUP('Données projet'!$B$12,Paramètres!$A$1:$I$89,3,0)*VLOOKUP('Données projet'!$B$12,Paramètres!$A$1:$I$89,5,0)</f>
        <v>268.46808000000038</v>
      </c>
      <c r="CA99" s="13">
        <f t="shared" si="93"/>
        <v>64.524049616897415</v>
      </c>
      <c r="CB99" s="20">
        <f t="shared" si="64"/>
        <v>579.96129241609697</v>
      </c>
      <c r="CC99" s="59">
        <f t="shared" si="65"/>
        <v>873.29462574943022</v>
      </c>
      <c r="CD99" s="59">
        <f ca="1">AVERAGE(OFFSET($CC$3,0,0,'Données projet'!$E$12+1,1))-AVERAGE(OFFSET($H$3,0,0,'Données projet'!$E$12+1,1))</f>
        <v>270.87836509222456</v>
      </c>
      <c r="CE99" s="59">
        <f t="shared" si="94"/>
        <v>205.24998237949734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36.81066477745334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36.81066477745334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3</v>
      </c>
      <c r="CT99" s="12">
        <f>IF('Données projet'!$A$140&gt;35,CT98+CS99-DB98,IF(A99&lt;'Données projet'!$A$140,$CQ$205^A99,IF(A99='Données projet'!$A$140,'Données projet'!$B$140,CT98+CS99-DB98)))</f>
        <v>211.00000000000009</v>
      </c>
      <c r="CU99" s="17">
        <f>CT99*VLOOKUP('Données projet'!$B$13,Paramètres!$A$1:$I$89,3,0)*VLOOKUP('Données projet'!$B$13,Paramètres!$A$1:$I$89,5,0)</f>
        <v>184.32960000000008</v>
      </c>
      <c r="CV99" s="13">
        <f t="shared" si="95"/>
        <v>46.284105851003098</v>
      </c>
      <c r="CW99" s="20">
        <f t="shared" si="67"/>
        <v>401.65220435716384</v>
      </c>
      <c r="CX99" s="59">
        <f t="shared" si="68"/>
        <v>694.98553769049715</v>
      </c>
      <c r="CY99" s="59">
        <f ca="1">AVERAGE(OFFSET($CX$3,0,0,'Données projet'!$E$13+1,1))-AVERAGE(OFFSET($H$3,0,0,'Données projet'!$E$13+1,1))</f>
        <v>207.4513063267579</v>
      </c>
      <c r="CZ99" s="59">
        <f t="shared" si="96"/>
        <v>191.63513530247218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13.693476903293911</v>
      </c>
      <c r="DG99" s="21">
        <f>EXP(-LN(2)/25)*DG98+(1-EXP(-LN(2)/25))/(LN(2)/25)*Calculateur!DB99*Calculateur!DD99*VLOOKUP('Données projet'!$B$13,Paramètres!$A$1:$I$89,3,0)*0.475*44/12</f>
        <v>13.594189481817269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27.28766638511118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66.814714696519275</v>
      </c>
      <c r="T100" s="59">
        <f t="shared" si="88"/>
        <v>199.56746335788068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10.2968586538812</v>
      </c>
      <c r="AA100" s="21">
        <f>EXP(-LN(2)/25)*AA99+(1-EXP(-LN(2)/25))/(LN(2)/25)*Calculateur!V100*Calculateur!X100*VLOOKUP('Données projet'!$B$9,Paramètres!$A$1:$I$89,3,0)*0.475*44/12</f>
        <v>1.1942031595774487</v>
      </c>
      <c r="AB100" s="21">
        <f>EXP(-LN(2)/2)*AB99+(1-EXP(-LN(2)/2))/(LN(2)/2)*V100*Y100*VLOOKUP('Données projet'!$B$9,Paramètres!$A$1:$I$89,3,0)*0.475*44/12</f>
        <v>3.7099244021068474E-11</v>
      </c>
      <c r="AC100" s="22">
        <f t="shared" si="57"/>
        <v>11.491061813495747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367.99999999999972</v>
      </c>
      <c r="AJ100" s="13">
        <f>AI100*VLOOKUP('Données projet'!$B$10,Paramètres!$A$1:$I$89,3,0)*VLOOKUP('Données projet'!$B$10,Paramètres!$A$1:$I$89,5,0)</f>
        <v>292.78079999999977</v>
      </c>
      <c r="AK100" s="13">
        <f t="shared" si="89"/>
        <v>69.660903052386217</v>
      </c>
      <c r="AL100" s="20">
        <f t="shared" si="58"/>
        <v>631.25263281623893</v>
      </c>
      <c r="AM100" s="59">
        <f t="shared" si="59"/>
        <v>924.58596614957219</v>
      </c>
      <c r="AN100" s="59">
        <f ca="1">AVERAGE(OFFSET($AM$3,0,0,'Données projet'!$E$10+1,1))-AVERAGE(OFFSET($H$3,0,0,'Données projet'!$E$10+1,1))</f>
        <v>325.72928944930294</v>
      </c>
      <c r="AO100" s="59">
        <f t="shared" si="90"/>
        <v>318.38876834819752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43.172108486899518</v>
      </c>
      <c r="AV100" s="21">
        <f>EXP(-LN(2)/25)*AV99+(1-EXP(-LN(2)/25))/(LN(2)/25)*Calculateur!AQ100*Calculateur!AS100*VLOOKUP('Données projet'!$B$10,Paramètres!$A$1:$I$89,3,0)*0.475*44/12</f>
        <v>4.4702165265675893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47.642325013467108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268.00000000000023</v>
      </c>
      <c r="BE100" s="13">
        <f>BD100*VLOOKUP('Données projet'!$B$11,Paramètres!$A$1:$I$89,3,0)*VLOOKUP('Données projet'!$B$11,Paramètres!$A$1:$I$89,5,0)</f>
        <v>175.59360000000015</v>
      </c>
      <c r="BF100" s="13">
        <f t="shared" si="91"/>
        <v>44.340433728638573</v>
      </c>
      <c r="BG100" s="20">
        <f t="shared" si="61"/>
        <v>383.05177541071242</v>
      </c>
      <c r="BH100" s="59">
        <f t="shared" si="62"/>
        <v>676.38510874404574</v>
      </c>
      <c r="BI100" s="59">
        <f ca="1">AVERAGE(OFFSET($BH$3,0,0,'Données projet'!$E$11+1,1))-AVERAGE(OFFSET($H$3,0,0,'Données projet'!$E$11+1,1))</f>
        <v>209.40885738157152</v>
      </c>
      <c r="BJ100" s="59">
        <f t="shared" si="92"/>
        <v>230.15385333954697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5.4915223548623278</v>
      </c>
      <c r="BQ100" s="21">
        <f>EXP(-LN(2)/25)*BQ99+(1-EXP(-LN(2)/25))/(LN(2)/25)*Calculateur!BL100*Calculateur!BN100*VLOOKUP('Données projet'!$B$11,Paramètres!$A$1:$I$89,3,0)*0.475*44/12</f>
        <v>13.08807950786565</v>
      </c>
      <c r="BR100" s="21">
        <f>EXP(-LN(2)/2)*BR99+(1-EXP(-LN(2)/2))/(LN(2)/2)*BL100*BO100*VLOOKUP('Données projet'!$B$11,Paramètres!$A$1:$I$89,3,0)*0.475*44/12</f>
        <v>0.12057969201246967</v>
      </c>
      <c r="BS100" s="22">
        <f t="shared" si="63"/>
        <v>18.700181554740446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7.1782051282051267</v>
      </c>
      <c r="BY100" s="12">
        <f>IF('Données projet'!$A$114&gt;35,BY99+BX100-CG99,IF(A100&lt;'Données projet'!$A$114,$BV$205^A100,IF(A100='Données projet'!$A$114,'Données projet'!$B$114,BY99+BX100-CG99)))</f>
        <v>303.89358974359021</v>
      </c>
      <c r="BZ100" s="13">
        <f>BY100*VLOOKUP('Données projet'!$B$12,Paramètres!$A$1:$I$89,3,0)*VLOOKUP('Données projet'!$B$12,Paramètres!$A$1:$I$89,5,0)</f>
        <v>274.96292000000045</v>
      </c>
      <c r="CA100" s="13">
        <f t="shared" si="93"/>
        <v>65.901407042348566</v>
      </c>
      <c r="CB100" s="20">
        <f t="shared" si="64"/>
        <v>593.67203626542459</v>
      </c>
      <c r="CC100" s="59">
        <f t="shared" si="65"/>
        <v>887.00536959875785</v>
      </c>
      <c r="CD100" s="59">
        <f ca="1">AVERAGE(OFFSET($CC$3,0,0,'Données projet'!$E$12+1,1))-AVERAGE(OFFSET($H$3,0,0,'Données projet'!$E$12+1,1))</f>
        <v>270.87836509222456</v>
      </c>
      <c r="CE100" s="59">
        <f t="shared" si="94"/>
        <v>205.24998237949734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36.088830093456018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36.088830093456018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3</v>
      </c>
      <c r="CT100" s="12">
        <f>IF('Données projet'!$A$140&gt;35,CT99+CS100-DB99,IF(A100&lt;'Données projet'!$A$140,$CQ$205^A100,IF(A100='Données projet'!$A$140,'Données projet'!$B$140,CT99+CS100-DB99)))</f>
        <v>214.00000000000009</v>
      </c>
      <c r="CU100" s="17">
        <f>CT100*VLOOKUP('Données projet'!$B$13,Paramètres!$A$1:$I$89,3,0)*VLOOKUP('Données projet'!$B$13,Paramètres!$A$1:$I$89,5,0)</f>
        <v>186.95040000000009</v>
      </c>
      <c r="CV100" s="13">
        <f t="shared" si="95"/>
        <v>46.865095976617653</v>
      </c>
      <c r="CW100" s="20">
        <f t="shared" si="67"/>
        <v>407.22865549260922</v>
      </c>
      <c r="CX100" s="59">
        <f t="shared" si="68"/>
        <v>700.56198882594254</v>
      </c>
      <c r="CY100" s="59">
        <f ca="1">AVERAGE(OFFSET($CX$3,0,0,'Données projet'!$E$13+1,1))-AVERAGE(OFFSET($H$3,0,0,'Données projet'!$E$13+1,1))</f>
        <v>207.4513063267579</v>
      </c>
      <c r="CZ100" s="59">
        <f t="shared" si="96"/>
        <v>191.63513530247218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13.424956173416518</v>
      </c>
      <c r="DG100" s="21">
        <f>EXP(-LN(2)/25)*DG99+(1-EXP(-LN(2)/25))/(LN(2)/25)*Calculateur!DB100*Calculateur!DD100*VLOOKUP('Données projet'!$B$13,Paramètres!$A$1:$I$89,3,0)*0.475*44/12</f>
        <v>13.22245565554962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26.647411828966138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66.814714696519275</v>
      </c>
      <c r="T101" s="59">
        <f t="shared" si="88"/>
        <v>199.56746335788068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10.094943536142225</v>
      </c>
      <c r="AA101" s="21">
        <f>EXP(-LN(2)/25)*AA100+(1-EXP(-LN(2)/25))/(LN(2)/25)*Calculateur!V101*Calculateur!X101*VLOOKUP('Données projet'!$B$9,Paramètres!$A$1:$I$89,3,0)*0.475*44/12</f>
        <v>1.1615476113783887</v>
      </c>
      <c r="AB101" s="21">
        <f>EXP(-LN(2)/2)*AB100+(1-EXP(-LN(2)/2))/(LN(2)/2)*V101*Y101*VLOOKUP('Données projet'!$B$9,Paramètres!$A$1:$I$89,3,0)*0.475*44/12</f>
        <v>2.6233127024191997E-11</v>
      </c>
      <c r="AC101" s="22">
        <f t="shared" si="57"/>
        <v>11.256491147546846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367.99999999999972</v>
      </c>
      <c r="AJ101" s="13">
        <f>AI101*VLOOKUP('Données projet'!$B$10,Paramètres!$A$1:$I$89,3,0)*VLOOKUP('Données projet'!$B$10,Paramètres!$A$1:$I$89,5,0)</f>
        <v>292.78079999999977</v>
      </c>
      <c r="AK101" s="13">
        <f t="shared" si="89"/>
        <v>69.660903052386217</v>
      </c>
      <c r="AL101" s="20">
        <f t="shared" si="58"/>
        <v>631.25263281623893</v>
      </c>
      <c r="AM101" s="59">
        <f t="shared" si="59"/>
        <v>924.58596614957219</v>
      </c>
      <c r="AN101" s="59">
        <f ca="1">AVERAGE(OFFSET($AM$3,0,0,'Données projet'!$E$10+1,1))-AVERAGE(OFFSET($H$3,0,0,'Données projet'!$E$10+1,1))</f>
        <v>325.72928944930294</v>
      </c>
      <c r="AO101" s="59">
        <f t="shared" si="90"/>
        <v>318.38876834819752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42.325529771857489</v>
      </c>
      <c r="AV101" s="21">
        <f>EXP(-LN(2)/25)*AV100+(1-EXP(-LN(2)/25))/(LN(2)/25)*Calculateur!AQ101*Calculateur!AS101*VLOOKUP('Données projet'!$B$10,Paramètres!$A$1:$I$89,3,0)*0.475*44/12</f>
        <v>4.3479782205701278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46.673507992427616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268.00000000000023</v>
      </c>
      <c r="BE101" s="13">
        <f>BD101*VLOOKUP('Données projet'!$B$11,Paramètres!$A$1:$I$89,3,0)*VLOOKUP('Données projet'!$B$11,Paramètres!$A$1:$I$89,5,0)</f>
        <v>175.59360000000015</v>
      </c>
      <c r="BF101" s="13">
        <f t="shared" si="91"/>
        <v>44.340433728638573</v>
      </c>
      <c r="BG101" s="20">
        <f t="shared" si="61"/>
        <v>383.05177541071242</v>
      </c>
      <c r="BH101" s="59">
        <f t="shared" si="62"/>
        <v>676.38510874404574</v>
      </c>
      <c r="BI101" s="59">
        <f ca="1">AVERAGE(OFFSET($BH$3,0,0,'Données projet'!$E$11+1,1))-AVERAGE(OFFSET($H$3,0,0,'Données projet'!$E$11+1,1))</f>
        <v>209.40885738157152</v>
      </c>
      <c r="BJ101" s="59">
        <f t="shared" si="92"/>
        <v>230.15385333954697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5.3838369509813786</v>
      </c>
      <c r="BQ101" s="21">
        <f>EXP(-LN(2)/25)*BQ100+(1-EXP(-LN(2)/25))/(LN(2)/25)*Calculateur!BL101*Calculateur!BN101*VLOOKUP('Données projet'!$B$11,Paramètres!$A$1:$I$89,3,0)*0.475*44/12</f>
        <v>12.730185285450876</v>
      </c>
      <c r="BR101" s="21">
        <f>EXP(-LN(2)/2)*BR100+(1-EXP(-LN(2)/2))/(LN(2)/2)*BL101*BO101*VLOOKUP('Données projet'!$B$11,Paramètres!$A$1:$I$89,3,0)*0.475*44/12</f>
        <v>8.5262717895402684E-2</v>
      </c>
      <c r="BS101" s="22">
        <f t="shared" si="63"/>
        <v>18.199284954327659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7.1782051282051267</v>
      </c>
      <c r="BY101" s="12">
        <f>IF('Données projet'!$A$114&gt;35,BY100+BX101-CG100,IF(A101&lt;'Données projet'!$A$114,$BV$205^A101,IF(A101='Données projet'!$A$114,'Données projet'!$B$114,BY100+BX101-CG100)))</f>
        <v>311.07179487179536</v>
      </c>
      <c r="BZ101" s="13">
        <f>BY101*VLOOKUP('Données projet'!$B$12,Paramètres!$A$1:$I$89,3,0)*VLOOKUP('Données projet'!$B$12,Paramètres!$A$1:$I$89,5,0)</f>
        <v>281.45776000000041</v>
      </c>
      <c r="CA101" s="13">
        <f t="shared" si="93"/>
        <v>67.274982309129811</v>
      </c>
      <c r="CB101" s="20">
        <f t="shared" si="64"/>
        <v>607.37619285506855</v>
      </c>
      <c r="CC101" s="59">
        <f t="shared" si="65"/>
        <v>900.70952618840192</v>
      </c>
      <c r="CD101" s="59">
        <f ca="1">AVERAGE(OFFSET($CC$3,0,0,'Données projet'!$E$12+1,1))-AVERAGE(OFFSET($H$3,0,0,'Données projet'!$E$12+1,1))</f>
        <v>270.87836509222456</v>
      </c>
      <c r="CE101" s="59">
        <f t="shared" si="94"/>
        <v>205.24998237949734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35.3811501473362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35.3811501473362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3</v>
      </c>
      <c r="CT101" s="12">
        <f>IF('Données projet'!$A$140&gt;35,CT100+CS101-DB100,IF(A101&lt;'Données projet'!$A$140,$CQ$205^A101,IF(A101='Données projet'!$A$140,'Données projet'!$B$140,CT100+CS101-DB100)))</f>
        <v>217.00000000000009</v>
      </c>
      <c r="CU101" s="17">
        <f>CT101*VLOOKUP('Données projet'!$B$13,Paramètres!$A$1:$I$89,3,0)*VLOOKUP('Données projet'!$B$13,Paramètres!$A$1:$I$89,5,0)</f>
        <v>189.57120000000009</v>
      </c>
      <c r="CV101" s="13">
        <f t="shared" si="95"/>
        <v>47.445138796932483</v>
      </c>
      <c r="CW101" s="20">
        <f t="shared" si="67"/>
        <v>412.80345673799087</v>
      </c>
      <c r="CX101" s="59">
        <f t="shared" si="68"/>
        <v>706.13679007132419</v>
      </c>
      <c r="CY101" s="59">
        <f ca="1">AVERAGE(OFFSET($CX$3,0,0,'Données projet'!$E$13+1,1))-AVERAGE(OFFSET($H$3,0,0,'Données projet'!$E$13+1,1))</f>
        <v>207.4513063267579</v>
      </c>
      <c r="CZ101" s="59">
        <f t="shared" si="96"/>
        <v>191.63513530247218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13.161700971270548</v>
      </c>
      <c r="DG101" s="21">
        <f>EXP(-LN(2)/25)*DG100+(1-EXP(-LN(2)/25))/(LN(2)/25)*Calculateur!DB101*Calculateur!DD101*VLOOKUP('Données projet'!$B$13,Paramètres!$A$1:$I$89,3,0)*0.475*44/12</f>
        <v>12.860886910309892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26.022587881580442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66.814714696519275</v>
      </c>
      <c r="T102" s="59">
        <f t="shared" si="88"/>
        <v>199.56746335788068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9.8969878507060489</v>
      </c>
      <c r="AA102" s="21">
        <f>EXP(-LN(2)/25)*AA101+(1-EXP(-LN(2)/25))/(LN(2)/25)*Calculateur!V102*Calculateur!X102*VLOOKUP('Données projet'!$B$9,Paramètres!$A$1:$I$89,3,0)*0.475*44/12</f>
        <v>1.1297850308621125</v>
      </c>
      <c r="AB102" s="21">
        <f>EXP(-LN(2)/2)*AB101+(1-EXP(-LN(2)/2))/(LN(2)/2)*V102*Y102*VLOOKUP('Données projet'!$B$9,Paramètres!$A$1:$I$89,3,0)*0.475*44/12</f>
        <v>1.8549622010534237E-11</v>
      </c>
      <c r="AC102" s="22">
        <f t="shared" si="57"/>
        <v>11.026772881586712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367.99999999999972</v>
      </c>
      <c r="AJ102" s="13">
        <f>AI102*VLOOKUP('Données projet'!$B$10,Paramètres!$A$1:$I$89,3,0)*VLOOKUP('Données projet'!$B$10,Paramètres!$A$1:$I$89,5,0)</f>
        <v>292.78079999999977</v>
      </c>
      <c r="AK102" s="13">
        <f t="shared" si="89"/>
        <v>69.660903052386217</v>
      </c>
      <c r="AL102" s="20">
        <f t="shared" si="58"/>
        <v>631.25263281623893</v>
      </c>
      <c r="AM102" s="59">
        <f t="shared" si="59"/>
        <v>924.58596614957219</v>
      </c>
      <c r="AN102" s="59">
        <f ca="1">AVERAGE(OFFSET($AM$3,0,0,'Données projet'!$E$10+1,1))-AVERAGE(OFFSET($H$3,0,0,'Données projet'!$E$10+1,1))</f>
        <v>325.72928944930294</v>
      </c>
      <c r="AO102" s="59">
        <f t="shared" si="90"/>
        <v>318.38876834819752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41.495551949055404</v>
      </c>
      <c r="AV102" s="21">
        <f>EXP(-LN(2)/25)*AV101+(1-EXP(-LN(2)/25))/(LN(2)/25)*Calculateur!AQ102*Calculateur!AS102*VLOOKUP('Données projet'!$B$10,Paramètres!$A$1:$I$89,3,0)*0.475*44/12</f>
        <v>4.2290825274784005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45.724634476533808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268.00000000000023</v>
      </c>
      <c r="BE102" s="13">
        <f>BD102*VLOOKUP('Données projet'!$B$11,Paramètres!$A$1:$I$89,3,0)*VLOOKUP('Données projet'!$B$11,Paramètres!$A$1:$I$89,5,0)</f>
        <v>175.59360000000015</v>
      </c>
      <c r="BF102" s="13">
        <f t="shared" si="91"/>
        <v>44.340433728638573</v>
      </c>
      <c r="BG102" s="20">
        <f t="shared" si="61"/>
        <v>383.05177541071242</v>
      </c>
      <c r="BH102" s="59">
        <f t="shared" si="62"/>
        <v>676.38510874404574</v>
      </c>
      <c r="BI102" s="59">
        <f ca="1">AVERAGE(OFFSET($BH$3,0,0,'Données projet'!$E$11+1,1))-AVERAGE(OFFSET($H$3,0,0,'Données projet'!$E$11+1,1))</f>
        <v>209.40885738157152</v>
      </c>
      <c r="BJ102" s="59">
        <f t="shared" si="92"/>
        <v>230.15385333954697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5.2782631921889243</v>
      </c>
      <c r="BQ102" s="21">
        <f>EXP(-LN(2)/25)*BQ101+(1-EXP(-LN(2)/25))/(LN(2)/25)*Calculateur!BL102*Calculateur!BN102*VLOOKUP('Données projet'!$B$11,Paramètres!$A$1:$I$89,3,0)*0.475*44/12</f>
        <v>12.382077699368873</v>
      </c>
      <c r="BR102" s="21">
        <f>EXP(-LN(2)/2)*BR101+(1-EXP(-LN(2)/2))/(LN(2)/2)*BL102*BO102*VLOOKUP('Données projet'!$B$11,Paramètres!$A$1:$I$89,3,0)*0.475*44/12</f>
        <v>6.028984600623484E-2</v>
      </c>
      <c r="BS102" s="22">
        <f t="shared" si="63"/>
        <v>17.720630737564033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>
        <f>VLOOKUP(A102,'Données projet'!$A$113:$I$133,2,0)</f>
        <v>318.25</v>
      </c>
      <c r="BW102" s="12">
        <f>VLOOKUP(A102,'Données projet'!$A$113:$I$133,9,0)</f>
        <v>7.1782051282051267</v>
      </c>
      <c r="BX102" s="12">
        <f t="array" ref="BX102">INDEX(BW:BW,MIN(IF(ISNUMBER(BW102:BW298),ROW(BW102:BW298),"")))</f>
        <v>7.1782051282051267</v>
      </c>
      <c r="BY102" s="12">
        <f>IF('Données projet'!$A$114&gt;35,BY101+BX102-CG101,IF(A102&lt;'Données projet'!$A$114,$BV$205^A102,IF(A102='Données projet'!$A$114,'Données projet'!$B$114,BY101+BX102-CG101)))</f>
        <v>318.25000000000051</v>
      </c>
      <c r="BZ102" s="13">
        <f>BY102*VLOOKUP('Données projet'!$B$12,Paramètres!$A$1:$I$89,3,0)*VLOOKUP('Données projet'!$B$12,Paramètres!$A$1:$I$89,5,0)</f>
        <v>287.95260000000047</v>
      </c>
      <c r="CA102" s="13">
        <f t="shared" si="93"/>
        <v>68.6448727389173</v>
      </c>
      <c r="CB102" s="20">
        <f t="shared" si="64"/>
        <v>621.07393168694841</v>
      </c>
      <c r="CC102" s="59">
        <f t="shared" si="65"/>
        <v>914.40726502028178</v>
      </c>
      <c r="CD102" s="59">
        <f ca="1">AVERAGE(OFFSET($CC$3,0,0,'Données projet'!$E$12+1,1))-AVERAGE(OFFSET($H$3,0,0,'Données projet'!$E$12+1,1))</f>
        <v>270.87836509222456</v>
      </c>
      <c r="CE102" s="59">
        <f t="shared" si="94"/>
        <v>205.24998237949734</v>
      </c>
      <c r="CF102" s="15">
        <f>IF(ISNA(VLOOKUP(A102,'Données projet'!$A$113:$I$133,3,0)),0,VLOOKUP(A102,'Données projet'!$A$113:$I$133,3,0))</f>
        <v>9</v>
      </c>
      <c r="CG102" s="15">
        <f>IF(ISNA(VLOOKUP(A102,'Données projet'!$A$113:$I$133,4,0)),0,VLOOKUP(A102,'Données projet'!$A$113:$I$133,4,0))</f>
        <v>48.019230769230766</v>
      </c>
      <c r="CH102" s="16">
        <f>IF(ISNA(VLOOKUP(A102,'Données projet'!$A$113:$I$133,5,0)),0%,VLOOKUP(A102,'Données projet'!$A$113:$I$133,5,0)*VLOOKUP('Données projet'!$B$12,Paramètres!$A$1:$I$89,7,0))</f>
        <v>0.30099999999999999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49.144454416035025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49.144454416035025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3</v>
      </c>
      <c r="CT102" s="12">
        <f>IF('Données projet'!$A$140&gt;35,CT101+CS102-DB101,IF(A102&lt;'Données projet'!$A$140,$CQ$205^A102,IF(A102='Données projet'!$A$140,'Données projet'!$B$140,CT101+CS102-DB101)))</f>
        <v>220.00000000000009</v>
      </c>
      <c r="CU102" s="17">
        <f>CT102*VLOOKUP('Données projet'!$B$13,Paramètres!$A$1:$I$89,3,0)*VLOOKUP('Données projet'!$B$13,Paramètres!$A$1:$I$89,5,0)</f>
        <v>192.19200000000009</v>
      </c>
      <c r="CV102" s="13">
        <f t="shared" si="95"/>
        <v>48.024248921932482</v>
      </c>
      <c r="CW102" s="20">
        <f t="shared" si="67"/>
        <v>418.37663353903253</v>
      </c>
      <c r="CX102" s="59">
        <f t="shared" si="68"/>
        <v>711.70996687236584</v>
      </c>
      <c r="CY102" s="59">
        <f ca="1">AVERAGE(OFFSET($CX$3,0,0,'Données projet'!$E$13+1,1))-AVERAGE(OFFSET($H$3,0,0,'Données projet'!$E$13+1,1))</f>
        <v>207.4513063267579</v>
      </c>
      <c r="CZ102" s="59">
        <f t="shared" si="96"/>
        <v>191.63513530247218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12.903608043068841</v>
      </c>
      <c r="DG102" s="21">
        <f>EXP(-LN(2)/25)*DG101+(1-EXP(-LN(2)/25))/(LN(2)/25)*Calculateur!DB102*Calculateur!DD102*VLOOKUP('Données projet'!$B$13,Paramètres!$A$1:$I$89,3,0)*0.475*44/12</f>
        <v>12.509205281422819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25.412813324491658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66.814714696519275</v>
      </c>
      <c r="T103" s="59">
        <f t="shared" si="88"/>
        <v>199.56746335788068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9.7029139555202306</v>
      </c>
      <c r="AA103" s="21">
        <f>EXP(-LN(2)/25)*AA102+(1-EXP(-LN(2)/25))/(LN(2)/25)*Calculateur!V103*Calculateur!X103*VLOOKUP('Données projet'!$B$9,Paramètres!$A$1:$I$89,3,0)*0.475*44/12</f>
        <v>1.0988909997803753</v>
      </c>
      <c r="AB103" s="21">
        <f>EXP(-LN(2)/2)*AB102+(1-EXP(-LN(2)/2))/(LN(2)/2)*V103*Y103*VLOOKUP('Données projet'!$B$9,Paramètres!$A$1:$I$89,3,0)*0.475*44/12</f>
        <v>1.3116563512095999E-11</v>
      </c>
      <c r="AC103" s="22">
        <f t="shared" si="57"/>
        <v>10.801804955313722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367.99999999999972</v>
      </c>
      <c r="AJ103" s="13">
        <f>AI103*VLOOKUP('Données projet'!$B$10,Paramètres!$A$1:$I$89,3,0)*VLOOKUP('Données projet'!$B$10,Paramètres!$A$1:$I$89,5,0)</f>
        <v>292.78079999999977</v>
      </c>
      <c r="AK103" s="13">
        <f t="shared" si="89"/>
        <v>69.660903052386217</v>
      </c>
      <c r="AL103" s="20">
        <f t="shared" si="58"/>
        <v>631.25263281623893</v>
      </c>
      <c r="AM103" s="59">
        <f t="shared" si="59"/>
        <v>924.58596614957219</v>
      </c>
      <c r="AN103" s="59">
        <f ca="1">AVERAGE(OFFSET($AM$3,0,0,'Données projet'!$E$10+1,1))-AVERAGE(OFFSET($H$3,0,0,'Données projet'!$E$10+1,1))</f>
        <v>325.72928944930294</v>
      </c>
      <c r="AO103" s="59">
        <f t="shared" si="90"/>
        <v>318.38876834819752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40.68184948512198</v>
      </c>
      <c r="AV103" s="21">
        <f>EXP(-LN(2)/25)*AV102+(1-EXP(-LN(2)/25))/(LN(2)/25)*Calculateur!AQ103*Calculateur!AS103*VLOOKUP('Données projet'!$B$10,Paramètres!$A$1:$I$89,3,0)*0.475*44/12</f>
        <v>4.1134380433667195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44.7952875284887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268.00000000000023</v>
      </c>
      <c r="BE103" s="13">
        <f>BD103*VLOOKUP('Données projet'!$B$11,Paramètres!$A$1:$I$89,3,0)*VLOOKUP('Données projet'!$B$11,Paramètres!$A$1:$I$89,5,0)</f>
        <v>175.59360000000015</v>
      </c>
      <c r="BF103" s="13">
        <f t="shared" si="91"/>
        <v>44.340433728638573</v>
      </c>
      <c r="BG103" s="20">
        <f t="shared" si="61"/>
        <v>383.05177541071242</v>
      </c>
      <c r="BH103" s="59">
        <f t="shared" si="62"/>
        <v>676.38510874404574</v>
      </c>
      <c r="BI103" s="59">
        <f ca="1">AVERAGE(OFFSET($BH$3,0,0,'Données projet'!$E$11+1,1))-AVERAGE(OFFSET($H$3,0,0,'Données projet'!$E$11+1,1))</f>
        <v>209.40885738157152</v>
      </c>
      <c r="BJ103" s="59">
        <f t="shared" si="92"/>
        <v>230.15385333954697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5.1747596704127554</v>
      </c>
      <c r="BQ103" s="21">
        <f>EXP(-LN(2)/25)*BQ102+(1-EXP(-LN(2)/25))/(LN(2)/25)*Calculateur!BL103*Calculateur!BN103*VLOOKUP('Données projet'!$B$11,Paramètres!$A$1:$I$89,3,0)*0.475*44/12</f>
        <v>12.043489133534464</v>
      </c>
      <c r="BR103" s="21">
        <f>EXP(-LN(2)/2)*BR102+(1-EXP(-LN(2)/2))/(LN(2)/2)*BL103*BO103*VLOOKUP('Données projet'!$B$11,Paramètres!$A$1:$I$89,3,0)*0.475*44/12</f>
        <v>4.2631358947701349E-2</v>
      </c>
      <c r="BS103" s="22">
        <f t="shared" si="63"/>
        <v>17.260880162894921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6.9935897435897401</v>
      </c>
      <c r="BY103" s="12">
        <f>IF('Données projet'!$A$114&gt;35,BY102+BX103-CG102,IF(A103&lt;'Données projet'!$A$114,$BV$205^A103,IF(A103='Données projet'!$A$114,'Données projet'!$B$114,BY102+BX103-CG102)))</f>
        <v>277.22435897435946</v>
      </c>
      <c r="BZ103" s="13">
        <f>BY103*VLOOKUP('Données projet'!$B$12,Paramètres!$A$1:$I$89,3,0)*VLOOKUP('Données projet'!$B$12,Paramètres!$A$1:$I$89,5,0)</f>
        <v>250.83260000000041</v>
      </c>
      <c r="CA103" s="13">
        <f t="shared" si="93"/>
        <v>60.764195096344402</v>
      </c>
      <c r="CB103" s="20">
        <f t="shared" si="64"/>
        <v>542.69775145946721</v>
      </c>
      <c r="CC103" s="59">
        <f t="shared" si="65"/>
        <v>836.03108479280058</v>
      </c>
      <c r="CD103" s="59">
        <f ca="1">AVERAGE(OFFSET($CC$3,0,0,'Données projet'!$E$12+1,1))-AVERAGE(OFFSET($H$3,0,0,'Données projet'!$E$12+1,1))</f>
        <v>270.87836509222456</v>
      </c>
      <c r="CE103" s="59">
        <f t="shared" si="94"/>
        <v>205.24998237949734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48.180761640093969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48.180761640093969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>
        <f>VLOOKUP(A103,'Données projet'!$A$139:$I$159,2,0)</f>
        <v>223</v>
      </c>
      <c r="CR103" s="12">
        <f>VLOOKUP(A103,'Données projet'!$A$139:$I$159,9,0)</f>
        <v>3</v>
      </c>
      <c r="CS103" s="12">
        <f t="array" ref="CS103">INDEX(CR:CR,MIN(IF(ISNUMBER(CR103:CR299),ROW(CR103:CR299),"")))</f>
        <v>3</v>
      </c>
      <c r="CT103" s="12">
        <f>IF('Données projet'!$A$140&gt;35,CT102+CS103-DB102,IF(A103&lt;'Données projet'!$A$140,$CQ$205^A103,IF(A103='Données projet'!$A$140,'Données projet'!$B$140,CT102+CS103-DB102)))</f>
        <v>223.00000000000009</v>
      </c>
      <c r="CU103" s="17">
        <f>CT103*VLOOKUP('Données projet'!$B$13,Paramètres!$A$1:$I$89,3,0)*VLOOKUP('Données projet'!$B$13,Paramètres!$A$1:$I$89,5,0)</f>
        <v>194.81280000000012</v>
      </c>
      <c r="CV103" s="13">
        <f t="shared" si="95"/>
        <v>48.602440540253902</v>
      </c>
      <c r="CW103" s="20">
        <f t="shared" si="67"/>
        <v>423.9482106076091</v>
      </c>
      <c r="CX103" s="59">
        <f t="shared" si="68"/>
        <v>717.28154394094236</v>
      </c>
      <c r="CY103" s="59">
        <f ca="1">AVERAGE(OFFSET($CX$3,0,0,'Données projet'!$E$13+1,1))-AVERAGE(OFFSET($H$3,0,0,'Données projet'!$E$13+1,1))</f>
        <v>207.4513063267579</v>
      </c>
      <c r="CZ103" s="59">
        <f t="shared" si="96"/>
        <v>191.63513530247218</v>
      </c>
      <c r="DA103" s="15">
        <f>IF(ISNA(VLOOKUP(A103,'Données projet'!$A$139:$I$159,3,0)),0,VLOOKUP(A103,'Données projet'!$A$139:$I$159,3,0))</f>
        <v>17</v>
      </c>
      <c r="DB103" s="15" t="str">
        <f>IF(ISNA(VLOOKUP(A103,'Données projet'!$A$139:$I$159,4,0)),0,VLOOKUP(A103,'Données projet'!$A$139:$I$159,4,0))</f>
        <v>11</v>
      </c>
      <c r="DC103" s="16">
        <f>IF(ISNA(VLOOKUP(A103,'Données projet'!$A$139:$I$159,5,0)),0%,VLOOKUP(A103,'Données projet'!$A$139:$I$159,5,0)*VLOOKUP('Données projet'!$B$13,Paramètres!$A$1:$I$89,7,0))</f>
        <v>0.215</v>
      </c>
      <c r="DD103" s="16">
        <f>IF(ISNA(VLOOKUP(A103,'Données projet'!$A$139:$I$159,6,0)),0%,VLOOKUP(A103,'Données projet'!$A$139:$I$159,6,0)*VLOOKUP('Données projet'!$B$13,Paramètres!$A$1:$I$89,7,0))</f>
        <v>0.17200000000000001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14.934548713987393</v>
      </c>
      <c r="DG103" s="21">
        <f>EXP(-LN(2)/25)*DG102+(1-EXP(-LN(2)/25))/(LN(2)/25)*Calculateur!DB103*Calculateur!DD103*VLOOKUP('Données projet'!$B$13,Paramètres!$A$1:$I$89,3,0)*0.475*44/12</f>
        <v>13.987124152381103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28.921672866368496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66.814714696519275</v>
      </c>
      <c r="T104" s="59">
        <f t="shared" si="88"/>
        <v>199.56746335788068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9.5126457310456196</v>
      </c>
      <c r="AA104" s="21">
        <f>EXP(-LN(2)/25)*AA103+(1-EXP(-LN(2)/25))/(LN(2)/25)*Calculateur!V104*Calculateur!X104*VLOOKUP('Données projet'!$B$9,Paramètres!$A$1:$I$89,3,0)*0.475*44/12</f>
        <v>1.0688417676032147</v>
      </c>
      <c r="AB104" s="21">
        <f>EXP(-LN(2)/2)*AB103+(1-EXP(-LN(2)/2))/(LN(2)/2)*V104*Y104*VLOOKUP('Données projet'!$B$9,Paramètres!$A$1:$I$89,3,0)*0.475*44/12</f>
        <v>9.2748110052671185E-12</v>
      </c>
      <c r="AC104" s="22">
        <f t="shared" si="57"/>
        <v>10.581487498658108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367.99999999999972</v>
      </c>
      <c r="AJ104" s="13">
        <f>AI104*VLOOKUP('Données projet'!$B$10,Paramètres!$A$1:$I$89,3,0)*VLOOKUP('Données projet'!$B$10,Paramètres!$A$1:$I$89,5,0)</f>
        <v>292.78079999999977</v>
      </c>
      <c r="AK104" s="13">
        <f t="shared" si="89"/>
        <v>69.660903052386217</v>
      </c>
      <c r="AL104" s="20">
        <f t="shared" si="58"/>
        <v>631.25263281623893</v>
      </c>
      <c r="AM104" s="59">
        <f t="shared" si="59"/>
        <v>924.58596614957219</v>
      </c>
      <c r="AN104" s="59">
        <f ca="1">AVERAGE(OFFSET($AM$3,0,0,'Données projet'!$E$10+1,1))-AVERAGE(OFFSET($H$3,0,0,'Données projet'!$E$10+1,1))</f>
        <v>325.72928944930294</v>
      </c>
      <c r="AO104" s="59">
        <f t="shared" si="90"/>
        <v>318.38876834819752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39.884103230196793</v>
      </c>
      <c r="AV104" s="21">
        <f>EXP(-LN(2)/25)*AV103+(1-EXP(-LN(2)/25))/(LN(2)/25)*Calculateur!AQ104*Calculateur!AS104*VLOOKUP('Données projet'!$B$10,Paramètres!$A$1:$I$89,3,0)*0.475*44/12</f>
        <v>4.0009558637545508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43.885059093951341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268.00000000000023</v>
      </c>
      <c r="BE104" s="13">
        <f>BD104*VLOOKUP('Données projet'!$B$11,Paramètres!$A$1:$I$89,3,0)*VLOOKUP('Données projet'!$B$11,Paramètres!$A$1:$I$89,5,0)</f>
        <v>175.59360000000015</v>
      </c>
      <c r="BF104" s="13">
        <f t="shared" si="91"/>
        <v>44.340433728638573</v>
      </c>
      <c r="BG104" s="20">
        <f t="shared" si="61"/>
        <v>383.05177541071242</v>
      </c>
      <c r="BH104" s="59">
        <f t="shared" si="62"/>
        <v>676.38510874404574</v>
      </c>
      <c r="BI104" s="59">
        <f ca="1">AVERAGE(OFFSET($BH$3,0,0,'Données projet'!$E$11+1,1))-AVERAGE(OFFSET($H$3,0,0,'Données projet'!$E$11+1,1))</f>
        <v>209.40885738157152</v>
      </c>
      <c r="BJ104" s="59">
        <f t="shared" si="92"/>
        <v>230.15385333954697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5.0732857895677022</v>
      </c>
      <c r="BQ104" s="21">
        <f>EXP(-LN(2)/25)*BQ103+(1-EXP(-LN(2)/25))/(LN(2)/25)*Calculateur!BL104*Calculateur!BN104*VLOOKUP('Données projet'!$B$11,Paramètres!$A$1:$I$89,3,0)*0.475*44/12</f>
        <v>11.714159289838397</v>
      </c>
      <c r="BR104" s="21">
        <f>EXP(-LN(2)/2)*BR103+(1-EXP(-LN(2)/2))/(LN(2)/2)*BL104*BO104*VLOOKUP('Données projet'!$B$11,Paramètres!$A$1:$I$89,3,0)*0.475*44/12</f>
        <v>3.0144923003117424E-2</v>
      </c>
      <c r="BS104" s="22">
        <f t="shared" si="63"/>
        <v>16.817590002409215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6.9935897435897401</v>
      </c>
      <c r="BY104" s="12">
        <f>IF('Données projet'!$A$114&gt;35,BY103+BX104-CG103,IF(A104&lt;'Données projet'!$A$114,$BV$205^A104,IF(A104='Données projet'!$A$114,'Données projet'!$B$114,BY103+BX104-CG103)))</f>
        <v>284.21794871794918</v>
      </c>
      <c r="BZ104" s="13">
        <f>BY104*VLOOKUP('Données projet'!$B$12,Paramètres!$A$1:$I$89,3,0)*VLOOKUP('Données projet'!$B$12,Paramètres!$A$1:$I$89,5,0)</f>
        <v>257.16040000000038</v>
      </c>
      <c r="CA104" s="13">
        <f t="shared" si="93"/>
        <v>62.116703672873726</v>
      </c>
      <c r="CB104" s="20">
        <f t="shared" si="64"/>
        <v>556.07428889692233</v>
      </c>
      <c r="CC104" s="59">
        <f t="shared" si="65"/>
        <v>849.40762223025558</v>
      </c>
      <c r="CD104" s="59">
        <f ca="1">AVERAGE(OFFSET($CC$3,0,0,'Données projet'!$E$12+1,1))-AVERAGE(OFFSET($H$3,0,0,'Données projet'!$E$12+1,1))</f>
        <v>270.87836509222456</v>
      </c>
      <c r="CE104" s="59">
        <f t="shared" si="94"/>
        <v>205.24998237949734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47.235966291694567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47.235966291694567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212.00000000000009</v>
      </c>
      <c r="CU104" s="17">
        <f>CT104*VLOOKUP('Données projet'!$B$13,Paramètres!$A$1:$I$89,3,0)*VLOOKUP('Données projet'!$B$13,Paramètres!$A$1:$I$89,5,0)</f>
        <v>185.20320000000009</v>
      </c>
      <c r="CV104" s="13">
        <f t="shared" si="95"/>
        <v>46.477875402099386</v>
      </c>
      <c r="CW104" s="20">
        <f t="shared" si="67"/>
        <v>403.5112063253232</v>
      </c>
      <c r="CX104" s="59">
        <f t="shared" si="68"/>
        <v>696.84453965865646</v>
      </c>
      <c r="CY104" s="59">
        <f ca="1">AVERAGE(OFFSET($CX$3,0,0,'Données projet'!$E$13+1,1))-AVERAGE(OFFSET($H$3,0,0,'Données projet'!$E$13+1,1))</f>
        <v>207.4513063267579</v>
      </c>
      <c r="CZ104" s="59">
        <f t="shared" si="96"/>
        <v>191.63513530247218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14.641691322881359</v>
      </c>
      <c r="DG104" s="21">
        <f>EXP(-LN(2)/25)*DG103+(1-EXP(-LN(2)/25))/(LN(2)/25)*Calculateur!DB104*Calculateur!DD104*VLOOKUP('Données projet'!$B$13,Paramètres!$A$1:$I$89,3,0)*0.475*44/12</f>
        <v>13.604645506883351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28.246336829764708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66.814714696519275</v>
      </c>
      <c r="T105" s="59">
        <f t="shared" si="88"/>
        <v>199.56746335788068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9.3261085504007966</v>
      </c>
      <c r="AA105" s="21">
        <f>EXP(-LN(2)/25)*AA104+(1-EXP(-LN(2)/25))/(LN(2)/25)*Calculateur!V105*Calculateur!X105*VLOOKUP('Données projet'!$B$9,Paramètres!$A$1:$I$89,3,0)*0.475*44/12</f>
        <v>1.039614233260159</v>
      </c>
      <c r="AB105" s="21">
        <f>EXP(-LN(2)/2)*AB104+(1-EXP(-LN(2)/2))/(LN(2)/2)*V105*Y105*VLOOKUP('Données projet'!$B$9,Paramètres!$A$1:$I$89,3,0)*0.475*44/12</f>
        <v>6.5582817560479993E-12</v>
      </c>
      <c r="AC105" s="22">
        <f t="shared" si="57"/>
        <v>10.365722783667515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367.99999999999972</v>
      </c>
      <c r="AJ105" s="13">
        <f>AI105*VLOOKUP('Données projet'!$B$10,Paramètres!$A$1:$I$89,3,0)*VLOOKUP('Données projet'!$B$10,Paramètres!$A$1:$I$89,5,0)</f>
        <v>292.78079999999977</v>
      </c>
      <c r="AK105" s="13">
        <f t="shared" si="89"/>
        <v>69.660903052386217</v>
      </c>
      <c r="AL105" s="20">
        <f t="shared" si="58"/>
        <v>631.25263281623893</v>
      </c>
      <c r="AM105" s="59">
        <f t="shared" si="59"/>
        <v>924.58596614957219</v>
      </c>
      <c r="AN105" s="59">
        <f ca="1">AVERAGE(OFFSET($AM$3,0,0,'Données projet'!$E$10+1,1))-AVERAGE(OFFSET($H$3,0,0,'Données projet'!$E$10+1,1))</f>
        <v>325.72928944930294</v>
      </c>
      <c r="AO105" s="59">
        <f t="shared" si="90"/>
        <v>318.38876834819752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39.102000292753523</v>
      </c>
      <c r="AV105" s="21">
        <f>EXP(-LN(2)/25)*AV104+(1-EXP(-LN(2)/25))/(LN(2)/25)*Calculateur!AQ105*Calculateur!AS105*VLOOKUP('Données projet'!$B$10,Paramètres!$A$1:$I$89,3,0)*0.475*44/12</f>
        <v>3.891549515259058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42.993549808012581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268.00000000000023</v>
      </c>
      <c r="BE105" s="13">
        <f>BD105*VLOOKUP('Données projet'!$B$11,Paramètres!$A$1:$I$89,3,0)*VLOOKUP('Données projet'!$B$11,Paramètres!$A$1:$I$89,5,0)</f>
        <v>175.59360000000015</v>
      </c>
      <c r="BF105" s="13">
        <f t="shared" si="91"/>
        <v>44.340433728638573</v>
      </c>
      <c r="BG105" s="20">
        <f t="shared" si="61"/>
        <v>383.05177541071242</v>
      </c>
      <c r="BH105" s="59">
        <f t="shared" si="62"/>
        <v>676.38510874404574</v>
      </c>
      <c r="BI105" s="59">
        <f ca="1">AVERAGE(OFFSET($BH$3,0,0,'Données projet'!$E$11+1,1))-AVERAGE(OFFSET($H$3,0,0,'Données projet'!$E$11+1,1))</f>
        <v>209.40885738157152</v>
      </c>
      <c r="BJ105" s="59">
        <f t="shared" si="92"/>
        <v>230.15385333954697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4.9738017496330649</v>
      </c>
      <c r="BQ105" s="21">
        <f>EXP(-LN(2)/25)*BQ104+(1-EXP(-LN(2)/25))/(LN(2)/25)*Calculateur!BL105*Calculateur!BN105*VLOOKUP('Données projet'!$B$11,Paramètres!$A$1:$I$89,3,0)*0.475*44/12</f>
        <v>11.393834988036902</v>
      </c>
      <c r="BR105" s="21">
        <f>EXP(-LN(2)/2)*BR104+(1-EXP(-LN(2)/2))/(LN(2)/2)*BL105*BO105*VLOOKUP('Données projet'!$B$11,Paramètres!$A$1:$I$89,3,0)*0.475*44/12</f>
        <v>2.1315679473850678E-2</v>
      </c>
      <c r="BS105" s="22">
        <f t="shared" si="63"/>
        <v>16.38895241714382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6.9935897435897401</v>
      </c>
      <c r="BY105" s="12">
        <f>IF('Données projet'!$A$114&gt;35,BY104+BX105-CG104,IF(A105&lt;'Données projet'!$A$114,$BV$205^A105,IF(A105='Données projet'!$A$114,'Données projet'!$B$114,BY104+BX105-CG104)))</f>
        <v>291.21153846153891</v>
      </c>
      <c r="BZ105" s="13">
        <f>BY105*VLOOKUP('Données projet'!$B$12,Paramètres!$A$1:$I$89,3,0)*VLOOKUP('Données projet'!$B$12,Paramètres!$A$1:$I$89,5,0)</f>
        <v>263.4882000000004</v>
      </c>
      <c r="CA105" s="13">
        <f t="shared" si="93"/>
        <v>63.465343539396919</v>
      </c>
      <c r="CB105" s="20">
        <f t="shared" si="64"/>
        <v>569.44408833111697</v>
      </c>
      <c r="CC105" s="59">
        <f t="shared" si="65"/>
        <v>862.77742166445023</v>
      </c>
      <c r="CD105" s="59">
        <f ca="1">AVERAGE(OFFSET($CC$3,0,0,'Données projet'!$E$12+1,1))-AVERAGE(OFFSET($H$3,0,0,'Données projet'!$E$12+1,1))</f>
        <v>270.87836509222456</v>
      </c>
      <c r="CE105" s="59">
        <f t="shared" si="94"/>
        <v>205.24998237949734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46.309697803809016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46.309697803809016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212.00000000000009</v>
      </c>
      <c r="CU105" s="17">
        <f>CT105*VLOOKUP('Données projet'!$B$13,Paramètres!$A$1:$I$89,3,0)*VLOOKUP('Données projet'!$B$13,Paramètres!$A$1:$I$89,5,0)</f>
        <v>185.20320000000009</v>
      </c>
      <c r="CV105" s="13">
        <f t="shared" si="95"/>
        <v>46.477875402099386</v>
      </c>
      <c r="CW105" s="20">
        <f t="shared" si="67"/>
        <v>403.5112063253232</v>
      </c>
      <c r="CX105" s="59">
        <f t="shared" si="68"/>
        <v>696.84453965865646</v>
      </c>
      <c r="CY105" s="59">
        <f ca="1">AVERAGE(OFFSET($CX$3,0,0,'Données projet'!$E$13+1,1))-AVERAGE(OFFSET($H$3,0,0,'Données projet'!$E$13+1,1))</f>
        <v>207.4513063267579</v>
      </c>
      <c r="CZ105" s="59">
        <f t="shared" si="96"/>
        <v>191.63513530247218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14.354576686589544</v>
      </c>
      <c r="DG105" s="21">
        <f>EXP(-LN(2)/25)*DG104+(1-EXP(-LN(2)/25))/(LN(2)/25)*Calculateur!DB105*Calculateur!DD105*VLOOKUP('Données projet'!$B$13,Paramètres!$A$1:$I$89,3,0)*0.475*44/12</f>
        <v>13.232625760060412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27.587202446649954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66.814714696519275</v>
      </c>
      <c r="T106" s="59">
        <f t="shared" si="88"/>
        <v>199.56746335788068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9.1432292500919736</v>
      </c>
      <c r="AA106" s="21">
        <f>EXP(-LN(2)/25)*AA105+(1-EXP(-LN(2)/25))/(LN(2)/25)*Calculateur!V106*Calculateur!X106*VLOOKUP('Données projet'!$B$9,Paramètres!$A$1:$I$89,3,0)*0.475*44/12</f>
        <v>1.0111859273807235</v>
      </c>
      <c r="AB106" s="21">
        <f>EXP(-LN(2)/2)*AB105+(1-EXP(-LN(2)/2))/(LN(2)/2)*V106*Y106*VLOOKUP('Données projet'!$B$9,Paramètres!$A$1:$I$89,3,0)*0.475*44/12</f>
        <v>4.6374055026335593E-12</v>
      </c>
      <c r="AC106" s="22">
        <f t="shared" si="57"/>
        <v>10.154415177477334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367.99999999999972</v>
      </c>
      <c r="AJ106" s="13">
        <f>AI106*VLOOKUP('Données projet'!$B$10,Paramètres!$A$1:$I$89,3,0)*VLOOKUP('Données projet'!$B$10,Paramètres!$A$1:$I$89,5,0)</f>
        <v>292.78079999999977</v>
      </c>
      <c r="AK106" s="13">
        <f t="shared" si="89"/>
        <v>69.660903052386217</v>
      </c>
      <c r="AL106" s="20">
        <f t="shared" si="58"/>
        <v>631.25263281623893</v>
      </c>
      <c r="AM106" s="59">
        <f t="shared" si="59"/>
        <v>924.58596614957219</v>
      </c>
      <c r="AN106" s="59">
        <f ca="1">AVERAGE(OFFSET($AM$3,0,0,'Données projet'!$E$10+1,1))-AVERAGE(OFFSET($H$3,0,0,'Données projet'!$E$10+1,1))</f>
        <v>325.72928944930294</v>
      </c>
      <c r="AO106" s="59">
        <f t="shared" si="90"/>
        <v>318.38876834819752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38.335233916877826</v>
      </c>
      <c r="AV106" s="21">
        <f>EXP(-LN(2)/25)*AV105+(1-EXP(-LN(2)/25))/(LN(2)/25)*Calculateur!AQ106*Calculateur!AS106*VLOOKUP('Données projet'!$B$10,Paramètres!$A$1:$I$89,3,0)*0.475*44/12</f>
        <v>3.7851348891166041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42.120368805994431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268.00000000000023</v>
      </c>
      <c r="BE106" s="13">
        <f>BD106*VLOOKUP('Données projet'!$B$11,Paramètres!$A$1:$I$89,3,0)*VLOOKUP('Données projet'!$B$11,Paramètres!$A$1:$I$89,5,0)</f>
        <v>175.59360000000015</v>
      </c>
      <c r="BF106" s="13">
        <f t="shared" si="91"/>
        <v>44.340433728638573</v>
      </c>
      <c r="BG106" s="20">
        <f t="shared" si="61"/>
        <v>383.05177541071242</v>
      </c>
      <c r="BH106" s="59">
        <f t="shared" si="62"/>
        <v>676.38510874404574</v>
      </c>
      <c r="BI106" s="59">
        <f ca="1">AVERAGE(OFFSET($BH$3,0,0,'Données projet'!$E$11+1,1))-AVERAGE(OFFSET($H$3,0,0,'Données projet'!$E$11+1,1))</f>
        <v>209.40885738157152</v>
      </c>
      <c r="BJ106" s="59">
        <f t="shared" si="92"/>
        <v>230.15385333954697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4.8762685310422729</v>
      </c>
      <c r="BQ106" s="21">
        <f>EXP(-LN(2)/25)*BQ105+(1-EXP(-LN(2)/25))/(LN(2)/25)*Calculateur!BL106*Calculateur!BN106*VLOOKUP('Données projet'!$B$11,Paramètres!$A$1:$I$89,3,0)*0.475*44/12</f>
        <v>11.082269971113291</v>
      </c>
      <c r="BR106" s="21">
        <f>EXP(-LN(2)/2)*BR105+(1-EXP(-LN(2)/2))/(LN(2)/2)*BL106*BO106*VLOOKUP('Données projet'!$B$11,Paramètres!$A$1:$I$89,3,0)*0.475*44/12</f>
        <v>1.5072461501558715E-2</v>
      </c>
      <c r="BS106" s="22">
        <f t="shared" si="63"/>
        <v>15.973610963657123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6.9935897435897401</v>
      </c>
      <c r="BY106" s="12">
        <f>IF('Données projet'!$A$114&gt;35,BY105+BX106-CG105,IF(A106&lt;'Données projet'!$A$114,$BV$205^A106,IF(A106='Données projet'!$A$114,'Données projet'!$B$114,BY105+BX106-CG105)))</f>
        <v>298.20512820512863</v>
      </c>
      <c r="BZ106" s="13">
        <f>BY106*VLOOKUP('Données projet'!$B$12,Paramètres!$A$1:$I$89,3,0)*VLOOKUP('Données projet'!$B$12,Paramètres!$A$1:$I$89,5,0)</f>
        <v>269.81600000000037</v>
      </c>
      <c r="CA106" s="13">
        <f t="shared" si="93"/>
        <v>64.810218294809729</v>
      </c>
      <c r="CB106" s="20">
        <f t="shared" si="64"/>
        <v>582.80733019679417</v>
      </c>
      <c r="CC106" s="59">
        <f t="shared" si="65"/>
        <v>876.14066353012754</v>
      </c>
      <c r="CD106" s="59">
        <f ca="1">AVERAGE(OFFSET($CC$3,0,0,'Données projet'!$E$12+1,1))-AVERAGE(OFFSET($H$3,0,0,'Données projet'!$E$12+1,1))</f>
        <v>270.87836509222456</v>
      </c>
      <c r="CE106" s="59">
        <f t="shared" si="94"/>
        <v>205.24998237949734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45.401592876002908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45.401592876002908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212.00000000000009</v>
      </c>
      <c r="CU106" s="17">
        <f>CT106*VLOOKUP('Données projet'!$B$13,Paramètres!$A$1:$I$89,3,0)*VLOOKUP('Données projet'!$B$13,Paramètres!$A$1:$I$89,5,0)</f>
        <v>185.20320000000009</v>
      </c>
      <c r="CV106" s="13">
        <f t="shared" si="95"/>
        <v>46.477875402099386</v>
      </c>
      <c r="CW106" s="20">
        <f t="shared" si="67"/>
        <v>403.5112063253232</v>
      </c>
      <c r="CX106" s="59">
        <f t="shared" si="68"/>
        <v>696.84453965865646</v>
      </c>
      <c r="CY106" s="59">
        <f ca="1">AVERAGE(OFFSET($CX$3,0,0,'Données projet'!$E$13+1,1))-AVERAGE(OFFSET($H$3,0,0,'Données projet'!$E$13+1,1))</f>
        <v>207.4513063267579</v>
      </c>
      <c r="CZ106" s="59">
        <f t="shared" si="96"/>
        <v>191.63513530247218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14.073092193192775</v>
      </c>
      <c r="DG106" s="21">
        <f>EXP(-LN(2)/25)*DG105+(1-EXP(-LN(2)/25))/(LN(2)/25)*Calculateur!DB106*Calculateur!DD106*VLOOKUP('Données projet'!$B$13,Paramètres!$A$1:$I$89,3,0)*0.475*44/12</f>
        <v>12.870778912778015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26.943871105970789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66.814714696519275</v>
      </c>
      <c r="T107" s="59">
        <f t="shared" si="88"/>
        <v>199.56746335788068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8.9639361013168468</v>
      </c>
      <c r="AA107" s="21">
        <f>EXP(-LN(2)/25)*AA106+(1-EXP(-LN(2)/25))/(LN(2)/25)*Calculateur!V107*Calculateur!X107*VLOOKUP('Données projet'!$B$9,Paramètres!$A$1:$I$89,3,0)*0.475*44/12</f>
        <v>0.98353499502054087</v>
      </c>
      <c r="AB107" s="21">
        <f>EXP(-LN(2)/2)*AB106+(1-EXP(-LN(2)/2))/(LN(2)/2)*V107*Y107*VLOOKUP('Données projet'!$B$9,Paramètres!$A$1:$I$89,3,0)*0.475*44/12</f>
        <v>3.2791408780239997E-12</v>
      </c>
      <c r="AC107" s="22">
        <f t="shared" si="57"/>
        <v>9.9474710963406672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367.99999999999972</v>
      </c>
      <c r="AJ107" s="13">
        <f>AI107*VLOOKUP('Données projet'!$B$10,Paramètres!$A$1:$I$89,3,0)*VLOOKUP('Données projet'!$B$10,Paramètres!$A$1:$I$89,5,0)</f>
        <v>292.78079999999977</v>
      </c>
      <c r="AK107" s="13">
        <f t="shared" si="89"/>
        <v>69.660903052386217</v>
      </c>
      <c r="AL107" s="20">
        <f t="shared" si="58"/>
        <v>631.25263281623893</v>
      </c>
      <c r="AM107" s="59">
        <f t="shared" si="59"/>
        <v>924.58596614957219</v>
      </c>
      <c r="AN107" s="59">
        <f ca="1">AVERAGE(OFFSET($AM$3,0,0,'Données projet'!$E$10+1,1))-AVERAGE(OFFSET($H$3,0,0,'Données projet'!$E$10+1,1))</f>
        <v>325.72928944930294</v>
      </c>
      <c r="AO107" s="59">
        <f t="shared" si="90"/>
        <v>318.38876834819752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37.583503361951742</v>
      </c>
      <c r="AV107" s="21">
        <f>EXP(-LN(2)/25)*AV106+(1-EXP(-LN(2)/25))/(LN(2)/25)*Calculateur!AQ107*Calculateur!AS107*VLOOKUP('Données projet'!$B$10,Paramètres!$A$1:$I$89,3,0)*0.475*44/12</f>
        <v>3.681630176522118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41.265133538473862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268.00000000000023</v>
      </c>
      <c r="BE107" s="13">
        <f>BD107*VLOOKUP('Données projet'!$B$11,Paramètres!$A$1:$I$89,3,0)*VLOOKUP('Données projet'!$B$11,Paramètres!$A$1:$I$89,5,0)</f>
        <v>175.59360000000015</v>
      </c>
      <c r="BF107" s="13">
        <f t="shared" si="91"/>
        <v>44.340433728638573</v>
      </c>
      <c r="BG107" s="20">
        <f t="shared" si="61"/>
        <v>383.05177541071242</v>
      </c>
      <c r="BH107" s="59">
        <f t="shared" si="62"/>
        <v>676.38510874404574</v>
      </c>
      <c r="BI107" s="59">
        <f ca="1">AVERAGE(OFFSET($BH$3,0,0,'Données projet'!$E$11+1,1))-AVERAGE(OFFSET($H$3,0,0,'Données projet'!$E$11+1,1))</f>
        <v>209.40885738157152</v>
      </c>
      <c r="BJ107" s="59">
        <f t="shared" si="92"/>
        <v>230.15385333954697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4.7806478793786571</v>
      </c>
      <c r="BQ107" s="21">
        <f>EXP(-LN(2)/25)*BQ106+(1-EXP(-LN(2)/25))/(LN(2)/25)*Calculateur!BL107*Calculateur!BN107*VLOOKUP('Données projet'!$B$11,Paramètres!$A$1:$I$89,3,0)*0.475*44/12</f>
        <v>10.779224715961949</v>
      </c>
      <c r="BR107" s="21">
        <f>EXP(-LN(2)/2)*BR106+(1-EXP(-LN(2)/2))/(LN(2)/2)*BL107*BO107*VLOOKUP('Données projet'!$B$11,Paramètres!$A$1:$I$89,3,0)*0.475*44/12</f>
        <v>1.0657839736925341E-2</v>
      </c>
      <c r="BS107" s="22">
        <f t="shared" si="63"/>
        <v>15.570530435077531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6.9935897435897401</v>
      </c>
      <c r="BY107" s="12">
        <f>IF('Données projet'!$A$114&gt;35,BY106+BX107-CG106,IF(A107&lt;'Données projet'!$A$114,$BV$205^A107,IF(A107='Données projet'!$A$114,'Données projet'!$B$114,BY106+BX107-CG106)))</f>
        <v>305.19871794871835</v>
      </c>
      <c r="BZ107" s="13">
        <f>BY107*VLOOKUP('Données projet'!$B$12,Paramètres!$A$1:$I$89,3,0)*VLOOKUP('Données projet'!$B$12,Paramètres!$A$1:$I$89,5,0)</f>
        <v>276.14380000000034</v>
      </c>
      <c r="CA107" s="13">
        <f t="shared" si="93"/>
        <v>66.151426401533939</v>
      </c>
      <c r="CB107" s="20">
        <f t="shared" si="64"/>
        <v>596.16418598267205</v>
      </c>
      <c r="CC107" s="59">
        <f t="shared" si="65"/>
        <v>889.49751931600531</v>
      </c>
      <c r="CD107" s="59">
        <f ca="1">AVERAGE(OFFSET($CC$3,0,0,'Données projet'!$E$12+1,1))-AVERAGE(OFFSET($H$3,0,0,'Données projet'!$E$12+1,1))</f>
        <v>270.87836509222456</v>
      </c>
      <c r="CE107" s="59">
        <f t="shared" si="94"/>
        <v>205.24998237949734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44.511295331941767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44.511295331941767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212.00000000000009</v>
      </c>
      <c r="CU107" s="17">
        <f>CT107*VLOOKUP('Données projet'!$B$13,Paramètres!$A$1:$I$89,3,0)*VLOOKUP('Données projet'!$B$13,Paramètres!$A$1:$I$89,5,0)</f>
        <v>185.20320000000009</v>
      </c>
      <c r="CV107" s="13">
        <f t="shared" si="95"/>
        <v>46.477875402099386</v>
      </c>
      <c r="CW107" s="20">
        <f t="shared" si="67"/>
        <v>403.5112063253232</v>
      </c>
      <c r="CX107" s="59">
        <f t="shared" si="68"/>
        <v>696.84453965865646</v>
      </c>
      <c r="CY107" s="59">
        <f ca="1">AVERAGE(OFFSET($CX$3,0,0,'Données projet'!$E$13+1,1))-AVERAGE(OFFSET($H$3,0,0,'Données projet'!$E$13+1,1))</f>
        <v>207.4513063267579</v>
      </c>
      <c r="CZ107" s="59">
        <f t="shared" si="96"/>
        <v>191.63513530247218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13.797127439022928</v>
      </c>
      <c r="DG107" s="21">
        <f>EXP(-LN(2)/25)*DG106+(1-EXP(-LN(2)/25))/(LN(2)/25)*Calculateur!DB107*Calculateur!DD107*VLOOKUP('Données projet'!$B$13,Paramètres!$A$1:$I$89,3,0)*0.475*44/12</f>
        <v>12.518826786563253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26.315954225586182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66.814714696519275</v>
      </c>
      <c r="T108" s="59">
        <f t="shared" si="88"/>
        <v>199.56746335788068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8.7881587818311786</v>
      </c>
      <c r="AA108" s="21">
        <f>EXP(-LN(2)/25)*AA107+(1-EXP(-LN(2)/25))/(LN(2)/25)*Calculateur!V108*Calculateur!X108*VLOOKUP('Données projet'!$B$9,Paramètres!$A$1:$I$89,3,0)*0.475*44/12</f>
        <v>0.95664017885984665</v>
      </c>
      <c r="AB108" s="21">
        <f>EXP(-LN(2)/2)*AB107+(1-EXP(-LN(2)/2))/(LN(2)/2)*V108*Y108*VLOOKUP('Données projet'!$B$9,Paramètres!$A$1:$I$89,3,0)*0.475*44/12</f>
        <v>2.3187027513167796E-12</v>
      </c>
      <c r="AC108" s="22">
        <f t="shared" si="57"/>
        <v>9.7447989606933429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367.99999999999972</v>
      </c>
      <c r="AJ108" s="13">
        <f>AI108*VLOOKUP('Données projet'!$B$10,Paramètres!$A$1:$I$89,3,0)*VLOOKUP('Données projet'!$B$10,Paramètres!$A$1:$I$89,5,0)</f>
        <v>292.78079999999977</v>
      </c>
      <c r="AK108" s="13">
        <f t="shared" si="89"/>
        <v>69.660903052386217</v>
      </c>
      <c r="AL108" s="20">
        <f t="shared" si="58"/>
        <v>631.25263281623893</v>
      </c>
      <c r="AM108" s="59">
        <f t="shared" si="59"/>
        <v>924.58596614957219</v>
      </c>
      <c r="AN108" s="59">
        <f ca="1">AVERAGE(OFFSET($AM$3,0,0,'Données projet'!$E$10+1,1))-AVERAGE(OFFSET($H$3,0,0,'Données projet'!$E$10+1,1))</f>
        <v>325.72928944930294</v>
      </c>
      <c r="AO108" s="59">
        <f t="shared" si="90"/>
        <v>318.38876834819752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36.846513784697393</v>
      </c>
      <c r="AV108" s="21">
        <f>EXP(-LN(2)/25)*AV107+(1-EXP(-LN(2)/25))/(LN(2)/25)*Calculateur!AQ108*Calculateur!AS108*VLOOKUP('Données projet'!$B$10,Paramètres!$A$1:$I$89,3,0)*0.475*44/12</f>
        <v>3.580955805736604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40.427469590434001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268.00000000000023</v>
      </c>
      <c r="BE108" s="13">
        <f>BD108*VLOOKUP('Données projet'!$B$11,Paramètres!$A$1:$I$89,3,0)*VLOOKUP('Données projet'!$B$11,Paramètres!$A$1:$I$89,5,0)</f>
        <v>175.59360000000015</v>
      </c>
      <c r="BF108" s="13">
        <f t="shared" si="91"/>
        <v>44.340433728638573</v>
      </c>
      <c r="BG108" s="20">
        <f t="shared" si="61"/>
        <v>383.05177541071242</v>
      </c>
      <c r="BH108" s="59">
        <f t="shared" si="62"/>
        <v>676.38510874404574</v>
      </c>
      <c r="BI108" s="59">
        <f ca="1">AVERAGE(OFFSET($BH$3,0,0,'Données projet'!$E$11+1,1))-AVERAGE(OFFSET($H$3,0,0,'Données projet'!$E$11+1,1))</f>
        <v>209.40885738157152</v>
      </c>
      <c r="BJ108" s="59">
        <f t="shared" si="92"/>
        <v>230.15385333954697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4.686902290371326</v>
      </c>
      <c r="BQ108" s="21">
        <f>EXP(-LN(2)/25)*BQ107+(1-EXP(-LN(2)/25))/(LN(2)/25)*Calculateur!BL108*Calculateur!BN108*VLOOKUP('Données projet'!$B$11,Paramètres!$A$1:$I$89,3,0)*0.475*44/12</f>
        <v>10.484466249249177</v>
      </c>
      <c r="BR108" s="21">
        <f>EXP(-LN(2)/2)*BR107+(1-EXP(-LN(2)/2))/(LN(2)/2)*BL108*BO108*VLOOKUP('Données projet'!$B$11,Paramètres!$A$1:$I$89,3,0)*0.475*44/12</f>
        <v>7.5362307507793585E-3</v>
      </c>
      <c r="BS108" s="22">
        <f t="shared" si="63"/>
        <v>15.178904770371281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6.9935897435897401</v>
      </c>
      <c r="BY108" s="12">
        <f>IF('Données projet'!$A$114&gt;35,BY107+BX108-CG107,IF(A108&lt;'Données projet'!$A$114,$BV$205^A108,IF(A108='Données projet'!$A$114,'Données projet'!$B$114,BY107+BX108-CG107)))</f>
        <v>312.19230769230808</v>
      </c>
      <c r="BZ108" s="13">
        <f>BY108*VLOOKUP('Données projet'!$B$12,Paramètres!$A$1:$I$89,3,0)*VLOOKUP('Données projet'!$B$12,Paramètres!$A$1:$I$89,5,0)</f>
        <v>282.47160000000031</v>
      </c>
      <c r="CA108" s="13">
        <f t="shared" si="93"/>
        <v>67.489061551962138</v>
      </c>
      <c r="CB108" s="20">
        <f t="shared" si="64"/>
        <v>609.51481886966792</v>
      </c>
      <c r="CC108" s="59">
        <f t="shared" si="65"/>
        <v>902.84815220300129</v>
      </c>
      <c r="CD108" s="59">
        <f ca="1">AVERAGE(OFFSET($CC$3,0,0,'Données projet'!$E$12+1,1))-AVERAGE(OFFSET($H$3,0,0,'Données projet'!$E$12+1,1))</f>
        <v>270.87836509222456</v>
      </c>
      <c r="CE108" s="59">
        <f t="shared" si="94"/>
        <v>205.24998237949734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43.638455979691777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43.638455979691777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212.00000000000009</v>
      </c>
      <c r="CU108" s="17">
        <f>CT108*VLOOKUP('Données projet'!$B$13,Paramètres!$A$1:$I$89,3,0)*VLOOKUP('Données projet'!$B$13,Paramètres!$A$1:$I$89,5,0)</f>
        <v>185.20320000000009</v>
      </c>
      <c r="CV108" s="13">
        <f t="shared" si="95"/>
        <v>46.477875402099386</v>
      </c>
      <c r="CW108" s="20">
        <f t="shared" si="67"/>
        <v>403.5112063253232</v>
      </c>
      <c r="CX108" s="59">
        <f t="shared" si="68"/>
        <v>696.84453965865646</v>
      </c>
      <c r="CY108" s="59">
        <f ca="1">AVERAGE(OFFSET($CX$3,0,0,'Données projet'!$E$13+1,1))-AVERAGE(OFFSET($H$3,0,0,'Données projet'!$E$13+1,1))</f>
        <v>207.4513063267579</v>
      </c>
      <c r="CZ108" s="59">
        <f t="shared" si="96"/>
        <v>191.63513530247218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13.526574185360472</v>
      </c>
      <c r="DG108" s="21">
        <f>EXP(-LN(2)/25)*DG107+(1-EXP(-LN(2)/25))/(LN(2)/25)*Calculateur!DB108*Calculateur!DD108*VLOOKUP('Données projet'!$B$13,Paramètres!$A$1:$I$89,3,0)*0.475*44/12</f>
        <v>12.176498809748193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25.703072995108663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66.814714696519275</v>
      </c>
      <c r="T109" s="59">
        <f t="shared" si="88"/>
        <v>199.56746335788068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8.6158283483670459</v>
      </c>
      <c r="AA109" s="21">
        <f>EXP(-LN(2)/25)*AA108+(1-EXP(-LN(2)/25))/(LN(2)/25)*Calculateur!V109*Calculateur!X109*VLOOKUP('Données projet'!$B$9,Paramètres!$A$1:$I$89,3,0)*0.475*44/12</f>
        <v>0.93048080286140356</v>
      </c>
      <c r="AB109" s="21">
        <f>EXP(-LN(2)/2)*AB108+(1-EXP(-LN(2)/2))/(LN(2)/2)*V109*Y109*VLOOKUP('Données projet'!$B$9,Paramètres!$A$1:$I$89,3,0)*0.475*44/12</f>
        <v>1.6395704390119998E-12</v>
      </c>
      <c r="AC109" s="22">
        <f t="shared" si="57"/>
        <v>9.5463091512300888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367.99999999999972</v>
      </c>
      <c r="AJ109" s="13">
        <f>AI109*VLOOKUP('Données projet'!$B$10,Paramètres!$A$1:$I$89,3,0)*VLOOKUP('Données projet'!$B$10,Paramètres!$A$1:$I$89,5,0)</f>
        <v>292.78079999999977</v>
      </c>
      <c r="AK109" s="13">
        <f t="shared" si="89"/>
        <v>69.660903052386217</v>
      </c>
      <c r="AL109" s="20">
        <f t="shared" si="58"/>
        <v>631.25263281623893</v>
      </c>
      <c r="AM109" s="59">
        <f t="shared" si="59"/>
        <v>924.58596614957219</v>
      </c>
      <c r="AN109" s="59">
        <f ca="1">AVERAGE(OFFSET($AM$3,0,0,'Données projet'!$E$10+1,1))-AVERAGE(OFFSET($H$3,0,0,'Données projet'!$E$10+1,1))</f>
        <v>325.72928944930294</v>
      </c>
      <c r="AO109" s="59">
        <f t="shared" si="90"/>
        <v>318.38876834819752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36.123976123533744</v>
      </c>
      <c r="AV109" s="21">
        <f>EXP(-LN(2)/25)*AV108+(1-EXP(-LN(2)/25))/(LN(2)/25)*Calculateur!AQ109*Calculateur!AS109*VLOOKUP('Données projet'!$B$10,Paramètres!$A$1:$I$89,3,0)*0.475*44/12</f>
        <v>3.4830343809144551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39.607010504448198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268.00000000000023</v>
      </c>
      <c r="BE109" s="13">
        <f>BD109*VLOOKUP('Données projet'!$B$11,Paramètres!$A$1:$I$89,3,0)*VLOOKUP('Données projet'!$B$11,Paramètres!$A$1:$I$89,5,0)</f>
        <v>175.59360000000015</v>
      </c>
      <c r="BF109" s="13">
        <f t="shared" si="91"/>
        <v>44.340433728638573</v>
      </c>
      <c r="BG109" s="20">
        <f t="shared" si="61"/>
        <v>383.05177541071242</v>
      </c>
      <c r="BH109" s="59">
        <f t="shared" si="62"/>
        <v>676.38510874404574</v>
      </c>
      <c r="BI109" s="59">
        <f ca="1">AVERAGE(OFFSET($BH$3,0,0,'Données projet'!$E$11+1,1))-AVERAGE(OFFSET($H$3,0,0,'Données projet'!$E$11+1,1))</f>
        <v>209.40885738157152</v>
      </c>
      <c r="BJ109" s="59">
        <f t="shared" si="92"/>
        <v>230.15385333954697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4.5949949951852656</v>
      </c>
      <c r="BQ109" s="21">
        <f>EXP(-LN(2)/25)*BQ108+(1-EXP(-LN(2)/25))/(LN(2)/25)*Calculateur!BL109*Calculateur!BN109*VLOOKUP('Données projet'!$B$11,Paramètres!$A$1:$I$89,3,0)*0.475*44/12</f>
        <v>10.197767968309341</v>
      </c>
      <c r="BR109" s="21">
        <f>EXP(-LN(2)/2)*BR108+(1-EXP(-LN(2)/2))/(LN(2)/2)*BL109*BO109*VLOOKUP('Données projet'!$B$11,Paramètres!$A$1:$I$89,3,0)*0.475*44/12</f>
        <v>5.3289198684626712E-3</v>
      </c>
      <c r="BS109" s="22">
        <f t="shared" si="63"/>
        <v>14.798091883363069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6.9935897435897401</v>
      </c>
      <c r="BY109" s="12">
        <f>IF('Données projet'!$A$114&gt;35,BY108+BX109-CG108,IF(A109&lt;'Données projet'!$A$114,$BV$205^A109,IF(A109='Données projet'!$A$114,'Données projet'!$B$114,BY108+BX109-CG108)))</f>
        <v>319.1858974358978</v>
      </c>
      <c r="BZ109" s="13">
        <f>BY109*VLOOKUP('Données projet'!$B$12,Paramètres!$A$1:$I$89,3,0)*VLOOKUP('Données projet'!$B$12,Paramètres!$A$1:$I$89,5,0)</f>
        <v>288.79940000000033</v>
      </c>
      <c r="CA109" s="13">
        <f t="shared" si="93"/>
        <v>68.82321300114252</v>
      </c>
      <c r="CB109" s="20">
        <f t="shared" si="64"/>
        <v>622.85938431032366</v>
      </c>
      <c r="CC109" s="59">
        <f t="shared" si="65"/>
        <v>916.19271764365703</v>
      </c>
      <c r="CD109" s="59">
        <f ca="1">AVERAGE(OFFSET($CC$3,0,0,'Données projet'!$E$12+1,1))-AVERAGE(OFFSET($H$3,0,0,'Données projet'!$E$12+1,1))</f>
        <v>270.87836509222456</v>
      </c>
      <c r="CE109" s="59">
        <f t="shared" si="94"/>
        <v>205.24998237949734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42.782732474759975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42.782732474759975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212.00000000000009</v>
      </c>
      <c r="CU109" s="17">
        <f>CT109*VLOOKUP('Données projet'!$B$13,Paramètres!$A$1:$I$89,3,0)*VLOOKUP('Données projet'!$B$13,Paramètres!$A$1:$I$89,5,0)</f>
        <v>185.20320000000009</v>
      </c>
      <c r="CV109" s="13">
        <f t="shared" si="95"/>
        <v>46.477875402099386</v>
      </c>
      <c r="CW109" s="20">
        <f t="shared" si="67"/>
        <v>403.5112063253232</v>
      </c>
      <c r="CX109" s="59">
        <f t="shared" si="68"/>
        <v>696.84453965865646</v>
      </c>
      <c r="CY109" s="59">
        <f ca="1">AVERAGE(OFFSET($CX$3,0,0,'Données projet'!$E$13+1,1))-AVERAGE(OFFSET($H$3,0,0,'Données projet'!$E$13+1,1))</f>
        <v>207.4513063267579</v>
      </c>
      <c r="CZ109" s="59">
        <f t="shared" si="96"/>
        <v>191.63513530247218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13.261326315981147</v>
      </c>
      <c r="DG109" s="21">
        <f>EXP(-LN(2)/25)*DG108+(1-EXP(-LN(2)/25))/(LN(2)/25)*Calculateur!DB109*Calculateur!DD109*VLOOKUP('Données projet'!$B$13,Paramètres!$A$1:$I$89,3,0)*0.475*44/12</f>
        <v>11.843531809461386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25.104858125442533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66.814714696519275</v>
      </c>
      <c r="T110" s="59">
        <f t="shared" si="88"/>
        <v>199.56746335788068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8.4468772095919586</v>
      </c>
      <c r="AA110" s="21">
        <f>EXP(-LN(2)/25)*AA109+(1-EXP(-LN(2)/25))/(LN(2)/25)*Calculateur!V110*Calculateur!X110*VLOOKUP('Données projet'!$B$9,Paramètres!$A$1:$I$89,3,0)*0.475*44/12</f>
        <v>0.90503675637529968</v>
      </c>
      <c r="AB110" s="21">
        <f>EXP(-LN(2)/2)*AB109+(1-EXP(-LN(2)/2))/(LN(2)/2)*V110*Y110*VLOOKUP('Données projet'!$B$9,Paramètres!$A$1:$I$89,3,0)*0.475*44/12</f>
        <v>1.1593513756583898E-12</v>
      </c>
      <c r="AC110" s="22">
        <f t="shared" si="57"/>
        <v>9.3519139659684178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367.99999999999972</v>
      </c>
      <c r="AJ110" s="13">
        <f>AI110*VLOOKUP('Données projet'!$B$10,Paramètres!$A$1:$I$89,3,0)*VLOOKUP('Données projet'!$B$10,Paramètres!$A$1:$I$89,5,0)</f>
        <v>292.78079999999977</v>
      </c>
      <c r="AK110" s="13">
        <f t="shared" si="89"/>
        <v>69.660903052386217</v>
      </c>
      <c r="AL110" s="20">
        <f t="shared" si="58"/>
        <v>631.25263281623893</v>
      </c>
      <c r="AM110" s="59">
        <f t="shared" si="59"/>
        <v>924.58596614957219</v>
      </c>
      <c r="AN110" s="59">
        <f ca="1">AVERAGE(OFFSET($AM$3,0,0,'Données projet'!$E$10+1,1))-AVERAGE(OFFSET($H$3,0,0,'Données projet'!$E$10+1,1))</f>
        <v>325.72928944930294</v>
      </c>
      <c r="AO110" s="59">
        <f t="shared" si="90"/>
        <v>318.38876834819752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35.415606985201059</v>
      </c>
      <c r="AV110" s="21">
        <f>EXP(-LN(2)/25)*AV109+(1-EXP(-LN(2)/25))/(LN(2)/25)*Calculateur!AQ110*Calculateur!AS110*VLOOKUP('Données projet'!$B$10,Paramètres!$A$1:$I$89,3,0)*0.475*44/12</f>
        <v>3.3877906226035317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38.803397607804591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268.00000000000023</v>
      </c>
      <c r="BE110" s="13">
        <f>BD110*VLOOKUP('Données projet'!$B$11,Paramètres!$A$1:$I$89,3,0)*VLOOKUP('Données projet'!$B$11,Paramètres!$A$1:$I$89,5,0)</f>
        <v>175.59360000000015</v>
      </c>
      <c r="BF110" s="13">
        <f t="shared" si="91"/>
        <v>44.340433728638573</v>
      </c>
      <c r="BG110" s="20">
        <f t="shared" si="61"/>
        <v>383.05177541071242</v>
      </c>
      <c r="BH110" s="59">
        <f t="shared" si="62"/>
        <v>676.38510874404574</v>
      </c>
      <c r="BI110" s="59">
        <f ca="1">AVERAGE(OFFSET($BH$3,0,0,'Données projet'!$E$11+1,1))-AVERAGE(OFFSET($H$3,0,0,'Données projet'!$E$11+1,1))</f>
        <v>209.40885738157152</v>
      </c>
      <c r="BJ110" s="59">
        <f t="shared" si="92"/>
        <v>230.15385333954697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4.5048899459998886</v>
      </c>
      <c r="BQ110" s="21">
        <f>EXP(-LN(2)/25)*BQ109+(1-EXP(-LN(2)/25))/(LN(2)/25)*Calculateur!BL110*Calculateur!BN110*VLOOKUP('Données projet'!$B$11,Paramètres!$A$1:$I$89,3,0)*0.475*44/12</f>
        <v>9.9189094669386115</v>
      </c>
      <c r="BR110" s="21">
        <f>EXP(-LN(2)/2)*BR109+(1-EXP(-LN(2)/2))/(LN(2)/2)*BL110*BO110*VLOOKUP('Données projet'!$B$11,Paramètres!$A$1:$I$89,3,0)*0.475*44/12</f>
        <v>3.7681153753896801E-3</v>
      </c>
      <c r="BS110" s="22">
        <f t="shared" si="63"/>
        <v>14.42756752831389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6.9935897435897401</v>
      </c>
      <c r="BY110" s="12">
        <f>IF('Données projet'!$A$114&gt;35,BY109+BX110-CG109,IF(A110&lt;'Données projet'!$A$114,$BV$205^A110,IF(A110='Données projet'!$A$114,'Données projet'!$B$114,BY109+BX110-CG109)))</f>
        <v>326.17948717948752</v>
      </c>
      <c r="BZ110" s="13">
        <f>BY110*VLOOKUP('Données projet'!$B$12,Paramètres!$A$1:$I$89,3,0)*VLOOKUP('Données projet'!$B$12,Paramètres!$A$1:$I$89,5,0)</f>
        <v>295.1272000000003</v>
      </c>
      <c r="CA110" s="13">
        <f t="shared" si="93"/>
        <v>70.153965869482519</v>
      </c>
      <c r="CB110" s="20">
        <f t="shared" si="64"/>
        <v>636.19803055601596</v>
      </c>
      <c r="CC110" s="59">
        <f t="shared" si="65"/>
        <v>929.53136388934922</v>
      </c>
      <c r="CD110" s="59">
        <f ca="1">AVERAGE(OFFSET($CC$3,0,0,'Données projet'!$E$12+1,1))-AVERAGE(OFFSET($H$3,0,0,'Données projet'!$E$12+1,1))</f>
        <v>270.87836509222456</v>
      </c>
      <c r="CE110" s="59">
        <f t="shared" si="94"/>
        <v>205.24998237949734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41.943789185820087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41.943789185820087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212.00000000000009</v>
      </c>
      <c r="CU110" s="17">
        <f>CT110*VLOOKUP('Données projet'!$B$13,Paramètres!$A$1:$I$89,3,0)*VLOOKUP('Données projet'!$B$13,Paramètres!$A$1:$I$89,5,0)</f>
        <v>185.20320000000009</v>
      </c>
      <c r="CV110" s="13">
        <f t="shared" si="95"/>
        <v>46.477875402099386</v>
      </c>
      <c r="CW110" s="20">
        <f t="shared" si="67"/>
        <v>403.5112063253232</v>
      </c>
      <c r="CX110" s="59">
        <f t="shared" si="68"/>
        <v>696.84453965865646</v>
      </c>
      <c r="CY110" s="59">
        <f ca="1">AVERAGE(OFFSET($CX$3,0,0,'Données projet'!$E$13+1,1))-AVERAGE(OFFSET($H$3,0,0,'Données projet'!$E$13+1,1))</f>
        <v>207.4513063267579</v>
      </c>
      <c r="CZ110" s="59">
        <f t="shared" si="96"/>
        <v>191.63513530247218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13.001279795535126</v>
      </c>
      <c r="DG110" s="21">
        <f>EXP(-LN(2)/25)*DG109+(1-EXP(-LN(2)/25))/(LN(2)/25)*Calculateur!DB110*Calculateur!DD110*VLOOKUP('Données projet'!$B$13,Paramètres!$A$1:$I$89,3,0)*0.475*44/12</f>
        <v>11.519669809307395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24.520949604842521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66.814714696519275</v>
      </c>
      <c r="T111" s="59">
        <f t="shared" si="88"/>
        <v>199.56746335788068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8.2812390995982312</v>
      </c>
      <c r="AA111" s="21">
        <f>EXP(-LN(2)/25)*AA110+(1-EXP(-LN(2)/25))/(LN(2)/25)*Calculateur!V111*Calculateur!X111*VLOOKUP('Données projet'!$B$9,Paramètres!$A$1:$I$89,3,0)*0.475*44/12</f>
        <v>0.88028847867840254</v>
      </c>
      <c r="AB111" s="21">
        <f>EXP(-LN(2)/2)*AB110+(1-EXP(-LN(2)/2))/(LN(2)/2)*V111*Y111*VLOOKUP('Données projet'!$B$9,Paramètres!$A$1:$I$89,3,0)*0.475*44/12</f>
        <v>8.1978521950599991E-13</v>
      </c>
      <c r="AC111" s="22">
        <f t="shared" si="57"/>
        <v>9.1615275782774521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367.99999999999972</v>
      </c>
      <c r="AJ111" s="13">
        <f>AI111*VLOOKUP('Données projet'!$B$10,Paramètres!$A$1:$I$89,3,0)*VLOOKUP('Données projet'!$B$10,Paramètres!$A$1:$I$89,5,0)</f>
        <v>292.78079999999977</v>
      </c>
      <c r="AK111" s="13">
        <f t="shared" si="89"/>
        <v>69.660903052386217</v>
      </c>
      <c r="AL111" s="20">
        <f t="shared" si="58"/>
        <v>631.25263281623893</v>
      </c>
      <c r="AM111" s="59">
        <f t="shared" si="59"/>
        <v>924.58596614957219</v>
      </c>
      <c r="AN111" s="59">
        <f ca="1">AVERAGE(OFFSET($AM$3,0,0,'Données projet'!$E$10+1,1))-AVERAGE(OFFSET($H$3,0,0,'Données projet'!$E$10+1,1))</f>
        <v>325.72928944930294</v>
      </c>
      <c r="AO111" s="59">
        <f t="shared" si="90"/>
        <v>318.38876834819752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34.721128533608564</v>
      </c>
      <c r="AV111" s="21">
        <f>EXP(-LN(2)/25)*AV110+(1-EXP(-LN(2)/25))/(LN(2)/25)*Calculateur!AQ111*Calculateur!AS111*VLOOKUP('Données projet'!$B$10,Paramètres!$A$1:$I$89,3,0)*0.475*44/12</f>
        <v>3.295151309872272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38.016279843480838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268.00000000000023</v>
      </c>
      <c r="BE111" s="13">
        <f>BD111*VLOOKUP('Données projet'!$B$11,Paramètres!$A$1:$I$89,3,0)*VLOOKUP('Données projet'!$B$11,Paramètres!$A$1:$I$89,5,0)</f>
        <v>175.59360000000015</v>
      </c>
      <c r="BF111" s="13">
        <f t="shared" si="91"/>
        <v>44.340433728638573</v>
      </c>
      <c r="BG111" s="20">
        <f t="shared" si="61"/>
        <v>383.05177541071242</v>
      </c>
      <c r="BH111" s="59">
        <f t="shared" si="62"/>
        <v>676.38510874404574</v>
      </c>
      <c r="BI111" s="59">
        <f ca="1">AVERAGE(OFFSET($BH$3,0,0,'Données projet'!$E$11+1,1))-AVERAGE(OFFSET($H$3,0,0,'Données projet'!$E$11+1,1))</f>
        <v>209.40885738157152</v>
      </c>
      <c r="BJ111" s="59">
        <f t="shared" si="92"/>
        <v>230.15385333954697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4.4165518018703835</v>
      </c>
      <c r="BQ111" s="21">
        <f>EXP(-LN(2)/25)*BQ110+(1-EXP(-LN(2)/25))/(LN(2)/25)*Calculateur!BL111*Calculateur!BN111*VLOOKUP('Données projet'!$B$11,Paramètres!$A$1:$I$89,3,0)*0.475*44/12</f>
        <v>9.6476763659523961</v>
      </c>
      <c r="BR111" s="21">
        <f>EXP(-LN(2)/2)*BR110+(1-EXP(-LN(2)/2))/(LN(2)/2)*BL111*BO111*VLOOKUP('Données projet'!$B$11,Paramètres!$A$1:$I$89,3,0)*0.475*44/12</f>
        <v>2.6644599342313361E-3</v>
      </c>
      <c r="BS111" s="22">
        <f t="shared" si="63"/>
        <v>14.06689262775701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6.9935897435897401</v>
      </c>
      <c r="BY111" s="12">
        <f>IF('Données projet'!$A$114&gt;35,BY110+BX111-CG110,IF(A111&lt;'Données projet'!$A$114,$BV$205^A111,IF(A111='Données projet'!$A$114,'Données projet'!$B$114,BY110+BX111-CG110)))</f>
        <v>333.17307692307725</v>
      </c>
      <c r="BZ111" s="13">
        <f>BY111*VLOOKUP('Données projet'!$B$12,Paramètres!$A$1:$I$89,3,0)*VLOOKUP('Données projet'!$B$12,Paramètres!$A$1:$I$89,5,0)</f>
        <v>301.45500000000027</v>
      </c>
      <c r="CA111" s="13">
        <f t="shared" si="93"/>
        <v>71.481401418760342</v>
      </c>
      <c r="CB111" s="20">
        <f t="shared" si="64"/>
        <v>649.53089913767474</v>
      </c>
      <c r="CC111" s="59">
        <f t="shared" si="65"/>
        <v>942.86423247100811</v>
      </c>
      <c r="CD111" s="59">
        <f ca="1">AVERAGE(OFFSET($CC$3,0,0,'Données projet'!$E$12+1,1))-AVERAGE(OFFSET($H$3,0,0,'Données projet'!$E$12+1,1))</f>
        <v>270.87836509222456</v>
      </c>
      <c r="CE111" s="59">
        <f t="shared" si="94"/>
        <v>205.24998237949734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41.121297063071431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41.121297063071431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212.00000000000009</v>
      </c>
      <c r="CU111" s="17">
        <f>CT111*VLOOKUP('Données projet'!$B$13,Paramètres!$A$1:$I$89,3,0)*VLOOKUP('Données projet'!$B$13,Paramètres!$A$1:$I$89,5,0)</f>
        <v>185.20320000000009</v>
      </c>
      <c r="CV111" s="13">
        <f t="shared" si="95"/>
        <v>46.477875402099386</v>
      </c>
      <c r="CW111" s="20">
        <f t="shared" si="67"/>
        <v>403.5112063253232</v>
      </c>
      <c r="CX111" s="59">
        <f t="shared" si="68"/>
        <v>696.84453965865646</v>
      </c>
      <c r="CY111" s="59">
        <f ca="1">AVERAGE(OFFSET($CX$3,0,0,'Données projet'!$E$13+1,1))-AVERAGE(OFFSET($H$3,0,0,'Données projet'!$E$13+1,1))</f>
        <v>207.4513063267579</v>
      </c>
      <c r="CZ111" s="59">
        <f t="shared" si="96"/>
        <v>191.63513530247218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12.746332628742335</v>
      </c>
      <c r="DG111" s="21">
        <f>EXP(-LN(2)/25)*DG110+(1-EXP(-LN(2)/25))/(LN(2)/25)*Calculateur!DB111*Calculateur!DD111*VLOOKUP('Données projet'!$B$13,Paramètres!$A$1:$I$89,3,0)*0.475*44/12</f>
        <v>11.204663832578778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23.950996461321111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66.814714696519275</v>
      </c>
      <c r="T112" s="59">
        <f t="shared" si="88"/>
        <v>199.56746335788068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8.1188490519122105</v>
      </c>
      <c r="AA112" s="21">
        <f>EXP(-LN(2)/25)*AA111+(1-EXP(-LN(2)/25))/(LN(2)/25)*Calculateur!V112*Calculateur!X112*VLOOKUP('Données projet'!$B$9,Paramètres!$A$1:$I$89,3,0)*0.475*44/12</f>
        <v>0.85621694393658243</v>
      </c>
      <c r="AB112" s="21">
        <f>EXP(-LN(2)/2)*AB111+(1-EXP(-LN(2)/2))/(LN(2)/2)*V112*Y112*VLOOKUP('Données projet'!$B$9,Paramètres!$A$1:$I$89,3,0)*0.475*44/12</f>
        <v>5.7967568782919491E-13</v>
      </c>
      <c r="AC112" s="22">
        <f t="shared" si="57"/>
        <v>8.9750659958493717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367.99999999999972</v>
      </c>
      <c r="AJ112" s="13">
        <f>AI112*VLOOKUP('Données projet'!$B$10,Paramètres!$A$1:$I$89,3,0)*VLOOKUP('Données projet'!$B$10,Paramètres!$A$1:$I$89,5,0)</f>
        <v>292.78079999999977</v>
      </c>
      <c r="AK112" s="13">
        <f t="shared" si="89"/>
        <v>69.660903052386217</v>
      </c>
      <c r="AL112" s="20">
        <f t="shared" si="58"/>
        <v>631.25263281623893</v>
      </c>
      <c r="AM112" s="59">
        <f t="shared" si="59"/>
        <v>924.58596614957219</v>
      </c>
      <c r="AN112" s="59">
        <f ca="1">AVERAGE(OFFSET($AM$3,0,0,'Données projet'!$E$10+1,1))-AVERAGE(OFFSET($H$3,0,0,'Données projet'!$E$10+1,1))</f>
        <v>325.72928944930294</v>
      </c>
      <c r="AO112" s="59">
        <f t="shared" si="90"/>
        <v>318.38876834819752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34.040268380861768</v>
      </c>
      <c r="AV112" s="21">
        <f>EXP(-LN(2)/25)*AV111+(1-EXP(-LN(2)/25))/(LN(2)/25)*Calculateur!AQ112*Calculateur!AS112*VLOOKUP('Données projet'!$B$10,Paramètres!$A$1:$I$89,3,0)*0.475*44/12</f>
        <v>3.2050452240193383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37.245313604881105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268.00000000000023</v>
      </c>
      <c r="BE112" s="13">
        <f>BD112*VLOOKUP('Données projet'!$B$11,Paramètres!$A$1:$I$89,3,0)*VLOOKUP('Données projet'!$B$11,Paramètres!$A$1:$I$89,5,0)</f>
        <v>175.59360000000015</v>
      </c>
      <c r="BF112" s="13">
        <f t="shared" si="91"/>
        <v>44.340433728638573</v>
      </c>
      <c r="BG112" s="20">
        <f t="shared" si="61"/>
        <v>383.05177541071242</v>
      </c>
      <c r="BH112" s="59">
        <f t="shared" si="62"/>
        <v>676.38510874404574</v>
      </c>
      <c r="BI112" s="59">
        <f ca="1">AVERAGE(OFFSET($BH$3,0,0,'Données projet'!$E$11+1,1))-AVERAGE(OFFSET($H$3,0,0,'Données projet'!$E$11+1,1))</f>
        <v>209.40885738157152</v>
      </c>
      <c r="BJ112" s="59">
        <f t="shared" si="92"/>
        <v>230.15385333954697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4.3299459148663111</v>
      </c>
      <c r="BQ112" s="21">
        <f>EXP(-LN(2)/25)*BQ111+(1-EXP(-LN(2)/25))/(LN(2)/25)*Calculateur!BL112*Calculateur!BN112*VLOOKUP('Données projet'!$B$11,Paramètres!$A$1:$I$89,3,0)*0.475*44/12</f>
        <v>9.3838601483761774</v>
      </c>
      <c r="BR112" s="21">
        <f>EXP(-LN(2)/2)*BR111+(1-EXP(-LN(2)/2))/(LN(2)/2)*BL112*BO112*VLOOKUP('Données projet'!$B$11,Paramètres!$A$1:$I$89,3,0)*0.475*44/12</f>
        <v>1.8840576876948403E-3</v>
      </c>
      <c r="BS112" s="22">
        <f t="shared" si="63"/>
        <v>13.715690120930184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>
        <f>VLOOKUP(A112,'Données projet'!$A$113:$I$133,2,0)</f>
        <v>340.16666666666663</v>
      </c>
      <c r="BW112" s="12">
        <f>VLOOKUP(A112,'Données projet'!$A$113:$I$133,9,0)</f>
        <v>6.9935897435897401</v>
      </c>
      <c r="BX112" s="12">
        <f t="array" ref="BX112">INDEX(BW:BW,MIN(IF(ISNUMBER(BW112:BW308),ROW(BW112:BW308),"")))</f>
        <v>6.9935897435897401</v>
      </c>
      <c r="BY112" s="12">
        <f>IF('Données projet'!$A$114&gt;35,BY111+BX112-CG111,IF(A112&lt;'Données projet'!$A$114,$BV$205^A112,IF(A112='Données projet'!$A$114,'Données projet'!$B$114,BY111+BX112-CG111)))</f>
        <v>340.16666666666697</v>
      </c>
      <c r="BZ112" s="13">
        <f>BY112*VLOOKUP('Données projet'!$B$12,Paramètres!$A$1:$I$89,3,0)*VLOOKUP('Données projet'!$B$12,Paramètres!$A$1:$I$89,5,0)</f>
        <v>307.78280000000024</v>
      </c>
      <c r="CA112" s="13">
        <f t="shared" si="93"/>
        <v>72.805597304306232</v>
      </c>
      <c r="CB112" s="20">
        <f t="shared" si="64"/>
        <v>662.85812530500039</v>
      </c>
      <c r="CC112" s="59">
        <f t="shared" si="65"/>
        <v>956.19145863833364</v>
      </c>
      <c r="CD112" s="59">
        <f ca="1">AVERAGE(OFFSET($CC$3,0,0,'Données projet'!$E$12+1,1))-AVERAGE(OFFSET($H$3,0,0,'Données projet'!$E$12+1,1))</f>
        <v>270.87836509222456</v>
      </c>
      <c r="CE112" s="59">
        <f t="shared" si="94"/>
        <v>205.24998237949734</v>
      </c>
      <c r="CF112" s="15">
        <f>IF(ISNA(VLOOKUP(A112,'Données projet'!$A$113:$I$133,3,0)),0,VLOOKUP(A112,'Données projet'!$A$113:$I$133,3,0))</f>
        <v>10</v>
      </c>
      <c r="CG112" s="15">
        <f>IF(ISNA(VLOOKUP(A112,'Données projet'!$A$113:$I$133,4,0)),0,VLOOKUP(A112,'Données projet'!$A$113:$I$133,4,0))</f>
        <v>51.28846153846154</v>
      </c>
      <c r="CH112" s="16">
        <f>IF(ISNA(VLOOKUP(A112,'Données projet'!$A$113:$I$133,5,0)),0%,VLOOKUP(A112,'Données projet'!$A$113:$I$133,5,0)*VLOOKUP('Données projet'!$B$12,Paramètres!$A$1:$I$89,7,0))</f>
        <v>0.38700000000000001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60.168125359190398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60.168125359190398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212.00000000000009</v>
      </c>
      <c r="CU112" s="17">
        <f>CT112*VLOOKUP('Données projet'!$B$13,Paramètres!$A$1:$I$89,3,0)*VLOOKUP('Données projet'!$B$13,Paramètres!$A$1:$I$89,5,0)</f>
        <v>185.20320000000009</v>
      </c>
      <c r="CV112" s="13">
        <f t="shared" si="95"/>
        <v>46.477875402099386</v>
      </c>
      <c r="CW112" s="20">
        <f t="shared" si="67"/>
        <v>403.5112063253232</v>
      </c>
      <c r="CX112" s="59">
        <f t="shared" si="68"/>
        <v>696.84453965865646</v>
      </c>
      <c r="CY112" s="59">
        <f ca="1">AVERAGE(OFFSET($CX$3,0,0,'Données projet'!$E$13+1,1))-AVERAGE(OFFSET($H$3,0,0,'Données projet'!$E$13+1,1))</f>
        <v>207.4513063267579</v>
      </c>
      <c r="CZ112" s="59">
        <f t="shared" si="96"/>
        <v>191.63513530247218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12.496384820387934</v>
      </c>
      <c r="DG112" s="21">
        <f>EXP(-LN(2)/25)*DG111+(1-EXP(-LN(2)/25))/(LN(2)/25)*Calculateur!DB112*Calculateur!DD112*VLOOKUP('Données projet'!$B$13,Paramètres!$A$1:$I$89,3,0)*0.475*44/12</f>
        <v>10.898271710849249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23.394656531237182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66.814714696519275</v>
      </c>
      <c r="T113" s="59">
        <f t="shared" si="88"/>
        <v>199.56746335788068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7.9596433740131634</v>
      </c>
      <c r="AA113" s="21">
        <f>EXP(-LN(2)/25)*AA112+(1-EXP(-LN(2)/25))/(LN(2)/25)*Calculateur!V113*Calculateur!X113*VLOOKUP('Données projet'!$B$9,Paramètres!$A$1:$I$89,3,0)*0.475*44/12</f>
        <v>0.83280364657814443</v>
      </c>
      <c r="AB113" s="21">
        <f>EXP(-LN(2)/2)*AB112+(1-EXP(-LN(2)/2))/(LN(2)/2)*V113*Y113*VLOOKUP('Données projet'!$B$9,Paramètres!$A$1:$I$89,3,0)*0.475*44/12</f>
        <v>4.0989260975299996E-13</v>
      </c>
      <c r="AC113" s="22">
        <f t="shared" si="57"/>
        <v>8.7924470205917178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367.99999999999972</v>
      </c>
      <c r="AJ113" s="13">
        <f>AI113*VLOOKUP('Données projet'!$B$10,Paramètres!$A$1:$I$89,3,0)*VLOOKUP('Données projet'!$B$10,Paramètres!$A$1:$I$89,5,0)</f>
        <v>292.78079999999977</v>
      </c>
      <c r="AK113" s="13">
        <f t="shared" si="89"/>
        <v>69.660903052386217</v>
      </c>
      <c r="AL113" s="20">
        <f t="shared" si="58"/>
        <v>631.25263281623893</v>
      </c>
      <c r="AM113" s="59">
        <f t="shared" si="59"/>
        <v>924.58596614957219</v>
      </c>
      <c r="AN113" s="59">
        <f ca="1">AVERAGE(OFFSET($AM$3,0,0,'Données projet'!$E$10+1,1))-AVERAGE(OFFSET($H$3,0,0,'Données projet'!$E$10+1,1))</f>
        <v>325.72928944930294</v>
      </c>
      <c r="AO113" s="59">
        <f t="shared" si="90"/>
        <v>318.38876834819752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33.372759480426652</v>
      </c>
      <c r="AV113" s="21">
        <f>EXP(-LN(2)/25)*AV112+(1-EXP(-LN(2)/25))/(LN(2)/25)*Calculateur!AQ113*Calculateur!AS113*VLOOKUP('Données projet'!$B$10,Paramètres!$A$1:$I$89,3,0)*0.475*44/12</f>
        <v>3.1174030938225266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36.490162574249176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268.00000000000023</v>
      </c>
      <c r="BE113" s="13">
        <f>BD113*VLOOKUP('Données projet'!$B$11,Paramètres!$A$1:$I$89,3,0)*VLOOKUP('Données projet'!$B$11,Paramètres!$A$1:$I$89,5,0)</f>
        <v>175.59360000000015</v>
      </c>
      <c r="BF113" s="13">
        <f t="shared" si="91"/>
        <v>44.340433728638573</v>
      </c>
      <c r="BG113" s="20">
        <f t="shared" si="61"/>
        <v>383.05177541071242</v>
      </c>
      <c r="BH113" s="59">
        <f t="shared" si="62"/>
        <v>676.38510874404574</v>
      </c>
      <c r="BI113" s="59">
        <f ca="1">AVERAGE(OFFSET($BH$3,0,0,'Données projet'!$E$11+1,1))-AVERAGE(OFFSET($H$3,0,0,'Données projet'!$E$11+1,1))</f>
        <v>209.40885738157152</v>
      </c>
      <c r="BJ113" s="59">
        <f t="shared" si="92"/>
        <v>230.15385333954697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4.2450383164820131</v>
      </c>
      <c r="BQ113" s="21">
        <f>EXP(-LN(2)/25)*BQ112+(1-EXP(-LN(2)/25))/(LN(2)/25)*Calculateur!BL113*Calculateur!BN113*VLOOKUP('Données projet'!$B$11,Paramètres!$A$1:$I$89,3,0)*0.475*44/12</f>
        <v>9.1272579991430725</v>
      </c>
      <c r="BR113" s="21">
        <f>EXP(-LN(2)/2)*BR112+(1-EXP(-LN(2)/2))/(LN(2)/2)*BL113*BO113*VLOOKUP('Données projet'!$B$11,Paramètres!$A$1:$I$89,3,0)*0.475*44/12</f>
        <v>1.3322299671156682E-3</v>
      </c>
      <c r="BS113" s="22">
        <f t="shared" si="63"/>
        <v>13.373628545592201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6.8461538461538511</v>
      </c>
      <c r="BY113" s="12">
        <f>IF('Données projet'!$A$114&gt;35,BY112+BX113-CG112,IF(A113&lt;'Données projet'!$A$114,$BV$205^A113,IF(A113='Données projet'!$A$114,'Données projet'!$B$114,BY112+BX113-CG112)))</f>
        <v>295.72435897435929</v>
      </c>
      <c r="BZ113" s="13">
        <f>BY113*VLOOKUP('Données projet'!$B$12,Paramètres!$A$1:$I$89,3,0)*VLOOKUP('Données projet'!$B$12,Paramètres!$A$1:$I$89,5,0)</f>
        <v>267.57140000000027</v>
      </c>
      <c r="CA113" s="13">
        <f t="shared" si="93"/>
        <v>64.333588350286504</v>
      </c>
      <c r="CB113" s="20">
        <f t="shared" si="64"/>
        <v>578.06785471008277</v>
      </c>
      <c r="CC113" s="59">
        <f t="shared" si="65"/>
        <v>871.40118804341614</v>
      </c>
      <c r="CD113" s="59">
        <f ca="1">AVERAGE(OFFSET($CC$3,0,0,'Données projet'!$E$12+1,1))-AVERAGE(OFFSET($H$3,0,0,'Données projet'!$E$12+1,1))</f>
        <v>270.87836509222456</v>
      </c>
      <c r="CE113" s="59">
        <f t="shared" si="94"/>
        <v>205.24998237949734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58.988265119829428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58.988265119829428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212.00000000000009</v>
      </c>
      <c r="CU113" s="17">
        <f>CT113*VLOOKUP('Données projet'!$B$13,Paramètres!$A$1:$I$89,3,0)*VLOOKUP('Données projet'!$B$13,Paramètres!$A$1:$I$89,5,0)</f>
        <v>185.20320000000009</v>
      </c>
      <c r="CV113" s="13">
        <f t="shared" si="95"/>
        <v>46.477875402099386</v>
      </c>
      <c r="CW113" s="20">
        <f t="shared" si="67"/>
        <v>403.5112063253232</v>
      </c>
      <c r="CX113" s="59">
        <f t="shared" si="68"/>
        <v>696.84453965865646</v>
      </c>
      <c r="CY113" s="59">
        <f ca="1">AVERAGE(OFFSET($CX$3,0,0,'Données projet'!$E$13+1,1))-AVERAGE(OFFSET($H$3,0,0,'Données projet'!$E$13+1,1))</f>
        <v>207.4513063267579</v>
      </c>
      <c r="CZ113" s="59">
        <f t="shared" si="96"/>
        <v>191.63513530247218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12.251338336102254</v>
      </c>
      <c r="DG113" s="21">
        <f>EXP(-LN(2)/25)*DG112+(1-EXP(-LN(2)/25))/(LN(2)/25)*Calculateur!DB113*Calculateur!DD113*VLOOKUP('Données projet'!$B$13,Paramètres!$A$1:$I$89,3,0)*0.475*44/12</f>
        <v>10.600257897800875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22.85159623390313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66.814714696519275</v>
      </c>
      <c r="T114" s="59">
        <f t="shared" si="88"/>
        <v>199.56746335788068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7.8035596223518411</v>
      </c>
      <c r="AA114" s="21">
        <f>EXP(-LN(2)/25)*AA113+(1-EXP(-LN(2)/25))/(LN(2)/25)*Calculateur!V114*Calculateur!X114*VLOOKUP('Données projet'!$B$9,Paramètres!$A$1:$I$89,3,0)*0.475*44/12</f>
        <v>0.81003058706722475</v>
      </c>
      <c r="AB114" s="21">
        <f>EXP(-LN(2)/2)*AB113+(1-EXP(-LN(2)/2))/(LN(2)/2)*V114*Y114*VLOOKUP('Données projet'!$B$9,Paramètres!$A$1:$I$89,3,0)*0.475*44/12</f>
        <v>2.8983784391459745E-13</v>
      </c>
      <c r="AC114" s="22">
        <f t="shared" si="57"/>
        <v>8.613590209419355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367.99999999999972</v>
      </c>
      <c r="AJ114" s="13">
        <f>AI114*VLOOKUP('Données projet'!$B$10,Paramètres!$A$1:$I$89,3,0)*VLOOKUP('Données projet'!$B$10,Paramètres!$A$1:$I$89,5,0)</f>
        <v>292.78079999999977</v>
      </c>
      <c r="AK114" s="13">
        <f t="shared" si="89"/>
        <v>69.660903052386217</v>
      </c>
      <c r="AL114" s="20">
        <f t="shared" si="58"/>
        <v>631.25263281623893</v>
      </c>
      <c r="AM114" s="59">
        <f t="shared" si="59"/>
        <v>924.58596614957219</v>
      </c>
      <c r="AN114" s="59">
        <f ca="1">AVERAGE(OFFSET($AM$3,0,0,'Données projet'!$E$10+1,1))-AVERAGE(OFFSET($H$3,0,0,'Données projet'!$E$10+1,1))</f>
        <v>325.72928944930294</v>
      </c>
      <c r="AO114" s="59">
        <f t="shared" si="90"/>
        <v>318.38876834819752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32.718340022388844</v>
      </c>
      <c r="AV114" s="21">
        <f>EXP(-LN(2)/25)*AV113+(1-EXP(-LN(2)/25))/(LN(2)/25)*Calculateur!AQ114*Calculateur!AS114*VLOOKUP('Données projet'!$B$10,Paramètres!$A$1:$I$89,3,0)*0.475*44/12</f>
        <v>3.0321575422848457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35.750497564673687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268.00000000000023</v>
      </c>
      <c r="BE114" s="13">
        <f>BD114*VLOOKUP('Données projet'!$B$11,Paramètres!$A$1:$I$89,3,0)*VLOOKUP('Données projet'!$B$11,Paramètres!$A$1:$I$89,5,0)</f>
        <v>175.59360000000015</v>
      </c>
      <c r="BF114" s="13">
        <f t="shared" si="91"/>
        <v>44.340433728638573</v>
      </c>
      <c r="BG114" s="20">
        <f t="shared" si="61"/>
        <v>383.05177541071242</v>
      </c>
      <c r="BH114" s="59">
        <f t="shared" si="62"/>
        <v>676.38510874404574</v>
      </c>
      <c r="BI114" s="59">
        <f ca="1">AVERAGE(OFFSET($BH$3,0,0,'Données projet'!$E$11+1,1))-AVERAGE(OFFSET($H$3,0,0,'Données projet'!$E$11+1,1))</f>
        <v>209.40885738157152</v>
      </c>
      <c r="BJ114" s="59">
        <f t="shared" si="92"/>
        <v>230.15385333954697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4.1617957043135103</v>
      </c>
      <c r="BQ114" s="21">
        <f>EXP(-LN(2)/25)*BQ113+(1-EXP(-LN(2)/25))/(LN(2)/25)*Calculateur!BL114*Calculateur!BN114*VLOOKUP('Données projet'!$B$11,Paramètres!$A$1:$I$89,3,0)*0.475*44/12</f>
        <v>8.8776726491748672</v>
      </c>
      <c r="BR114" s="21">
        <f>EXP(-LN(2)/2)*BR113+(1-EXP(-LN(2)/2))/(LN(2)/2)*BL114*BO114*VLOOKUP('Données projet'!$B$11,Paramètres!$A$1:$I$89,3,0)*0.475*44/12</f>
        <v>9.4202884384742024E-4</v>
      </c>
      <c r="BS114" s="22">
        <f t="shared" si="63"/>
        <v>13.040410382332224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6.8461538461538511</v>
      </c>
      <c r="BY114" s="12">
        <f>IF('Données projet'!$A$114&gt;35,BY113+BX114-CG113,IF(A114&lt;'Données projet'!$A$114,$BV$205^A114,IF(A114='Données projet'!$A$114,'Données projet'!$B$114,BY113+BX114-CG113)))</f>
        <v>302.57051282051316</v>
      </c>
      <c r="BZ114" s="13">
        <f>BY114*VLOOKUP('Données projet'!$B$12,Paramètres!$A$1:$I$89,3,0)*VLOOKUP('Données projet'!$B$12,Paramètres!$A$1:$I$89,5,0)</f>
        <v>273.7658000000003</v>
      </c>
      <c r="CA114" s="13">
        <f t="shared" si="93"/>
        <v>65.647821692657914</v>
      </c>
      <c r="CB114" s="20">
        <f t="shared" si="64"/>
        <v>591.14539111471311</v>
      </c>
      <c r="CC114" s="59">
        <f t="shared" si="65"/>
        <v>884.47872444804648</v>
      </c>
      <c r="CD114" s="59">
        <f ca="1">AVERAGE(OFFSET($CC$3,0,0,'Données projet'!$E$12+1,1))-AVERAGE(OFFSET($H$3,0,0,'Données projet'!$E$12+1,1))</f>
        <v>270.87836509222456</v>
      </c>
      <c r="CE114" s="59">
        <f t="shared" si="94"/>
        <v>205.24998237949734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57.831541220118638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57.831541220118638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212.00000000000009</v>
      </c>
      <c r="CU114" s="17">
        <f>CT114*VLOOKUP('Données projet'!$B$13,Paramètres!$A$1:$I$89,3,0)*VLOOKUP('Données projet'!$B$13,Paramètres!$A$1:$I$89,5,0)</f>
        <v>185.20320000000009</v>
      </c>
      <c r="CV114" s="13">
        <f t="shared" si="95"/>
        <v>46.477875402099386</v>
      </c>
      <c r="CW114" s="20">
        <f t="shared" si="67"/>
        <v>403.5112063253232</v>
      </c>
      <c r="CX114" s="59">
        <f t="shared" si="68"/>
        <v>696.84453965865646</v>
      </c>
      <c r="CY114" s="59">
        <f ca="1">AVERAGE(OFFSET($CX$3,0,0,'Données projet'!$E$13+1,1))-AVERAGE(OFFSET($H$3,0,0,'Données projet'!$E$13+1,1))</f>
        <v>207.4513063267579</v>
      </c>
      <c r="CZ114" s="59">
        <f t="shared" si="96"/>
        <v>191.63513530247218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12.011097063909817</v>
      </c>
      <c r="DG114" s="21">
        <f>EXP(-LN(2)/25)*DG113+(1-EXP(-LN(2)/25))/(LN(2)/25)*Calculateur!DB114*Calculateur!DD114*VLOOKUP('Données projet'!$B$13,Paramètres!$A$1:$I$89,3,0)*0.475*44/12</f>
        <v>10.310393288142174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22.321490352051992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66.814714696519275</v>
      </c>
      <c r="T115" s="59">
        <f t="shared" si="88"/>
        <v>199.56746335788068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7.6505365778589098</v>
      </c>
      <c r="AA115" s="21">
        <f>EXP(-LN(2)/25)*AA114+(1-EXP(-LN(2)/25))/(LN(2)/25)*Calculateur!V115*Calculateur!X115*VLOOKUP('Données projet'!$B$9,Paramètres!$A$1:$I$89,3,0)*0.475*44/12</f>
        <v>0.78788025806621431</v>
      </c>
      <c r="AB115" s="21">
        <f>EXP(-LN(2)/2)*AB114+(1-EXP(-LN(2)/2))/(LN(2)/2)*V115*Y115*VLOOKUP('Données projet'!$B$9,Paramètres!$A$1:$I$89,3,0)*0.475*44/12</f>
        <v>2.0494630487649998E-13</v>
      </c>
      <c r="AC115" s="22">
        <f t="shared" si="57"/>
        <v>8.4384168359253291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367.99999999999972</v>
      </c>
      <c r="AJ115" s="13">
        <f>AI115*VLOOKUP('Données projet'!$B$10,Paramètres!$A$1:$I$89,3,0)*VLOOKUP('Données projet'!$B$10,Paramètres!$A$1:$I$89,5,0)</f>
        <v>292.78079999999977</v>
      </c>
      <c r="AK115" s="13">
        <f t="shared" si="89"/>
        <v>69.660903052386217</v>
      </c>
      <c r="AL115" s="20">
        <f t="shared" si="58"/>
        <v>631.25263281623893</v>
      </c>
      <c r="AM115" s="59">
        <f t="shared" si="59"/>
        <v>924.58596614957219</v>
      </c>
      <c r="AN115" s="59">
        <f ca="1">AVERAGE(OFFSET($AM$3,0,0,'Données projet'!$E$10+1,1))-AVERAGE(OFFSET($H$3,0,0,'Données projet'!$E$10+1,1))</f>
        <v>325.72928944930294</v>
      </c>
      <c r="AO115" s="59">
        <f t="shared" si="90"/>
        <v>318.38876834819752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32.076753330766699</v>
      </c>
      <c r="AV115" s="21">
        <f>EXP(-LN(2)/25)*AV114+(1-EXP(-LN(2)/25))/(LN(2)/25)*Calculateur!AQ115*Calculateur!AS115*VLOOKUP('Données projet'!$B$10,Paramètres!$A$1:$I$89,3,0)*0.475*44/12</f>
        <v>2.9492430348368317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35.025996365603532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268.00000000000023</v>
      </c>
      <c r="BE115" s="13">
        <f>BD115*VLOOKUP('Données projet'!$B$11,Paramètres!$A$1:$I$89,3,0)*VLOOKUP('Données projet'!$B$11,Paramètres!$A$1:$I$89,5,0)</f>
        <v>175.59360000000015</v>
      </c>
      <c r="BF115" s="13">
        <f t="shared" si="91"/>
        <v>44.340433728638573</v>
      </c>
      <c r="BG115" s="20">
        <f t="shared" si="61"/>
        <v>383.05177541071242</v>
      </c>
      <c r="BH115" s="59">
        <f t="shared" si="62"/>
        <v>676.38510874404574</v>
      </c>
      <c r="BI115" s="59">
        <f ca="1">AVERAGE(OFFSET($BH$3,0,0,'Données projet'!$E$11+1,1))-AVERAGE(OFFSET($H$3,0,0,'Données projet'!$E$11+1,1))</f>
        <v>209.40885738157152</v>
      </c>
      <c r="BJ115" s="59">
        <f t="shared" si="92"/>
        <v>230.15385333954697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4.0801854289966517</v>
      </c>
      <c r="BQ115" s="21">
        <f>EXP(-LN(2)/25)*BQ114+(1-EXP(-LN(2)/25))/(LN(2)/25)*Calculateur!BL115*Calculateur!BN115*VLOOKUP('Données projet'!$B$11,Paramètres!$A$1:$I$89,3,0)*0.475*44/12</f>
        <v>8.6349122237266656</v>
      </c>
      <c r="BR115" s="21">
        <f>EXP(-LN(2)/2)*BR114+(1-EXP(-LN(2)/2))/(LN(2)/2)*BL115*BO115*VLOOKUP('Données projet'!$B$11,Paramètres!$A$1:$I$89,3,0)*0.475*44/12</f>
        <v>6.6611498355783423E-4</v>
      </c>
      <c r="BS115" s="22">
        <f t="shared" si="63"/>
        <v>12.715763767706875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6.8461538461538511</v>
      </c>
      <c r="BY115" s="12">
        <f>IF('Données projet'!$A$114&gt;35,BY114+BX115-CG114,IF(A115&lt;'Données projet'!$A$114,$BV$205^A115,IF(A115='Données projet'!$A$114,'Données projet'!$B$114,BY114+BX115-CG114)))</f>
        <v>309.41666666666703</v>
      </c>
      <c r="BZ115" s="13">
        <f>BY115*VLOOKUP('Données projet'!$B$12,Paramètres!$A$1:$I$89,3,0)*VLOOKUP('Données projet'!$B$12,Paramètres!$A$1:$I$89,5,0)</f>
        <v>279.96020000000033</v>
      </c>
      <c r="CA115" s="13">
        <f t="shared" si="93"/>
        <v>66.958597927408931</v>
      </c>
      <c r="CB115" s="20">
        <f t="shared" si="64"/>
        <v>604.2169063902378</v>
      </c>
      <c r="CC115" s="59">
        <f t="shared" si="65"/>
        <v>897.55023972357117</v>
      </c>
      <c r="CD115" s="59">
        <f ca="1">AVERAGE(OFFSET($CC$3,0,0,'Données projet'!$E$12+1,1))-AVERAGE(OFFSET($H$3,0,0,'Données projet'!$E$12+1,1))</f>
        <v>270.87836509222456</v>
      </c>
      <c r="CE115" s="59">
        <f t="shared" si="94"/>
        <v>205.24998237949734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56.697499970549259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56.697499970549259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212.00000000000009</v>
      </c>
      <c r="CU115" s="17">
        <f>CT115*VLOOKUP('Données projet'!$B$13,Paramètres!$A$1:$I$89,3,0)*VLOOKUP('Données projet'!$B$13,Paramètres!$A$1:$I$89,5,0)</f>
        <v>185.20320000000009</v>
      </c>
      <c r="CV115" s="13">
        <f t="shared" si="95"/>
        <v>46.477875402099386</v>
      </c>
      <c r="CW115" s="20">
        <f t="shared" si="67"/>
        <v>403.5112063253232</v>
      </c>
      <c r="CX115" s="59">
        <f t="shared" si="68"/>
        <v>696.84453965865646</v>
      </c>
      <c r="CY115" s="59">
        <f ca="1">AVERAGE(OFFSET($CX$3,0,0,'Données projet'!$E$13+1,1))-AVERAGE(OFFSET($H$3,0,0,'Données projet'!$E$13+1,1))</f>
        <v>207.4513063267579</v>
      </c>
      <c r="CZ115" s="59">
        <f t="shared" si="96"/>
        <v>191.63513530247218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11.775566776532369</v>
      </c>
      <c r="DG115" s="21">
        <f>EXP(-LN(2)/25)*DG114+(1-EXP(-LN(2)/25))/(LN(2)/25)*Calculateur!DB115*Calculateur!DD115*VLOOKUP('Données projet'!$B$13,Paramètres!$A$1:$I$89,3,0)*0.475*44/12</f>
        <v>10.028455041477908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21.804021818010277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66.814714696519275</v>
      </c>
      <c r="T116" s="59">
        <f t="shared" si="88"/>
        <v>199.56746335788068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7.5005142219336438</v>
      </c>
      <c r="AA116" s="21">
        <f>EXP(-LN(2)/25)*AA115+(1-EXP(-LN(2)/25))/(LN(2)/25)*Calculateur!V116*Calculateur!X116*VLOOKUP('Données projet'!$B$9,Paramètres!$A$1:$I$89,3,0)*0.475*44/12</f>
        <v>0.76633563097657165</v>
      </c>
      <c r="AB116" s="21">
        <f>EXP(-LN(2)/2)*AB115+(1-EXP(-LN(2)/2))/(LN(2)/2)*V116*Y116*VLOOKUP('Données projet'!$B$9,Paramètres!$A$1:$I$89,3,0)*0.475*44/12</f>
        <v>1.4491892195729873E-13</v>
      </c>
      <c r="AC116" s="22">
        <f t="shared" si="57"/>
        <v>8.2668498529103616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367.99999999999972</v>
      </c>
      <c r="AJ116" s="13">
        <f>AI116*VLOOKUP('Données projet'!$B$10,Paramètres!$A$1:$I$89,3,0)*VLOOKUP('Données projet'!$B$10,Paramètres!$A$1:$I$89,5,0)</f>
        <v>292.78079999999977</v>
      </c>
      <c r="AK116" s="13">
        <f t="shared" si="89"/>
        <v>69.660903052386217</v>
      </c>
      <c r="AL116" s="20">
        <f t="shared" si="58"/>
        <v>631.25263281623893</v>
      </c>
      <c r="AM116" s="59">
        <f t="shared" si="59"/>
        <v>924.58596614957219</v>
      </c>
      <c r="AN116" s="59">
        <f ca="1">AVERAGE(OFFSET($AM$3,0,0,'Données projet'!$E$10+1,1))-AVERAGE(OFFSET($H$3,0,0,'Données projet'!$E$10+1,1))</f>
        <v>325.72928944930294</v>
      </c>
      <c r="AO116" s="59">
        <f t="shared" si="90"/>
        <v>318.38876834819752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31.447747762838024</v>
      </c>
      <c r="AV116" s="21">
        <f>EXP(-LN(2)/25)*AV115+(1-EXP(-LN(2)/25))/(LN(2)/25)*Calculateur!AQ116*Calculateur!AS116*VLOOKUP('Données projet'!$B$10,Paramètres!$A$1:$I$89,3,0)*0.475*44/12</f>
        <v>2.868595828955268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34.316343591793292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268.00000000000023</v>
      </c>
      <c r="BE116" s="13">
        <f>BD116*VLOOKUP('Données projet'!$B$11,Paramètres!$A$1:$I$89,3,0)*VLOOKUP('Données projet'!$B$11,Paramètres!$A$1:$I$89,5,0)</f>
        <v>175.59360000000015</v>
      </c>
      <c r="BF116" s="13">
        <f t="shared" si="91"/>
        <v>44.340433728638573</v>
      </c>
      <c r="BG116" s="20">
        <f t="shared" si="61"/>
        <v>383.05177541071242</v>
      </c>
      <c r="BH116" s="59">
        <f t="shared" si="62"/>
        <v>676.38510874404574</v>
      </c>
      <c r="BI116" s="59">
        <f ca="1">AVERAGE(OFFSET($BH$3,0,0,'Données projet'!$E$11+1,1))-AVERAGE(OFFSET($H$3,0,0,'Données projet'!$E$11+1,1))</f>
        <v>209.40885738157152</v>
      </c>
      <c r="BJ116" s="59">
        <f t="shared" si="92"/>
        <v>230.15385333954697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4.0001754814014037</v>
      </c>
      <c r="BQ116" s="21">
        <f>EXP(-LN(2)/25)*BQ115+(1-EXP(-LN(2)/25))/(LN(2)/25)*Calculateur!BL116*Calculateur!BN116*VLOOKUP('Données projet'!$B$11,Paramètres!$A$1:$I$89,3,0)*0.475*44/12</f>
        <v>8.3987900948785619</v>
      </c>
      <c r="BR116" s="21">
        <f>EXP(-LN(2)/2)*BR115+(1-EXP(-LN(2)/2))/(LN(2)/2)*BL116*BO116*VLOOKUP('Données projet'!$B$11,Paramètres!$A$1:$I$89,3,0)*0.475*44/12</f>
        <v>4.7101442192371023E-4</v>
      </c>
      <c r="BS116" s="22">
        <f t="shared" si="63"/>
        <v>12.399436590701891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6.8461538461538511</v>
      </c>
      <c r="BY116" s="12">
        <f>IF('Données projet'!$A$114&gt;35,BY115+BX116-CG115,IF(A116&lt;'Données projet'!$A$114,$BV$205^A116,IF(A116='Données projet'!$A$114,'Données projet'!$B$114,BY115+BX116-CG115)))</f>
        <v>316.26282051282089</v>
      </c>
      <c r="BZ116" s="13">
        <f>BY116*VLOOKUP('Données projet'!$B$12,Paramètres!$A$1:$I$89,3,0)*VLOOKUP('Données projet'!$B$12,Paramètres!$A$1:$I$89,5,0)</f>
        <v>286.15460000000036</v>
      </c>
      <c r="CA116" s="13">
        <f t="shared" si="93"/>
        <v>68.266002354364261</v>
      </c>
      <c r="CB116" s="20">
        <f t="shared" si="64"/>
        <v>617.28254910051839</v>
      </c>
      <c r="CC116" s="59">
        <f t="shared" si="65"/>
        <v>910.61588243385177</v>
      </c>
      <c r="CD116" s="59">
        <f ca="1">AVERAGE(OFFSET($CC$3,0,0,'Données projet'!$E$12+1,1))-AVERAGE(OFFSET($H$3,0,0,'Données projet'!$E$12+1,1))</f>
        <v>270.87836509222456</v>
      </c>
      <c r="CE116" s="59">
        <f t="shared" si="94"/>
        <v>205.24998237949734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55.585696578187076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55.585696578187076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212.00000000000009</v>
      </c>
      <c r="CU116" s="17">
        <f>CT116*VLOOKUP('Données projet'!$B$13,Paramètres!$A$1:$I$89,3,0)*VLOOKUP('Données projet'!$B$13,Paramètres!$A$1:$I$89,5,0)</f>
        <v>185.20320000000009</v>
      </c>
      <c r="CV116" s="13">
        <f t="shared" si="95"/>
        <v>46.477875402099386</v>
      </c>
      <c r="CW116" s="20">
        <f t="shared" si="67"/>
        <v>403.5112063253232</v>
      </c>
      <c r="CX116" s="59">
        <f t="shared" si="68"/>
        <v>696.84453965865646</v>
      </c>
      <c r="CY116" s="59">
        <f ca="1">AVERAGE(OFFSET($CX$3,0,0,'Données projet'!$E$13+1,1))-AVERAGE(OFFSET($H$3,0,0,'Données projet'!$E$13+1,1))</f>
        <v>207.4513063267579</v>
      </c>
      <c r="CZ116" s="59">
        <f t="shared" si="96"/>
        <v>191.63513530247218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11.5446550944311</v>
      </c>
      <c r="DG116" s="21">
        <f>EXP(-LN(2)/25)*DG115+(1-EXP(-LN(2)/25))/(LN(2)/25)*Calculateur!DB116*Calculateur!DD116*VLOOKUP('Données projet'!$B$13,Paramètres!$A$1:$I$89,3,0)*0.475*44/12</f>
        <v>9.7542264109951642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21.298881505426266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66.814714696519275</v>
      </c>
      <c r="T117" s="59">
        <f t="shared" si="88"/>
        <v>199.56746335788068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7.3534337129034704</v>
      </c>
      <c r="AA117" s="21">
        <f>EXP(-LN(2)/25)*AA116+(1-EXP(-LN(2)/25))/(LN(2)/25)*Calculateur!V117*Calculateur!X117*VLOOKUP('Données projet'!$B$9,Paramètres!$A$1:$I$89,3,0)*0.475*44/12</f>
        <v>0.74538014284767795</v>
      </c>
      <c r="AB117" s="21">
        <f>EXP(-LN(2)/2)*AB116+(1-EXP(-LN(2)/2))/(LN(2)/2)*V117*Y117*VLOOKUP('Données projet'!$B$9,Paramètres!$A$1:$I$89,3,0)*0.475*44/12</f>
        <v>1.0247315243824999E-13</v>
      </c>
      <c r="AC117" s="22">
        <f t="shared" si="57"/>
        <v>8.098813855751251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367.99999999999972</v>
      </c>
      <c r="AJ117" s="13">
        <f>AI117*VLOOKUP('Données projet'!$B$10,Paramètres!$A$1:$I$89,3,0)*VLOOKUP('Données projet'!$B$10,Paramètres!$A$1:$I$89,5,0)</f>
        <v>292.78079999999977</v>
      </c>
      <c r="AK117" s="13">
        <f t="shared" si="89"/>
        <v>69.660903052386217</v>
      </c>
      <c r="AL117" s="20">
        <f t="shared" si="58"/>
        <v>631.25263281623893</v>
      </c>
      <c r="AM117" s="59">
        <f t="shared" si="59"/>
        <v>924.58596614957219</v>
      </c>
      <c r="AN117" s="59">
        <f ca="1">AVERAGE(OFFSET($AM$3,0,0,'Données projet'!$E$10+1,1))-AVERAGE(OFFSET($H$3,0,0,'Données projet'!$E$10+1,1))</f>
        <v>325.72928944930294</v>
      </c>
      <c r="AO117" s="59">
        <f t="shared" si="90"/>
        <v>318.38876834819752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30.831076610440917</v>
      </c>
      <c r="AV117" s="21">
        <f>EXP(-LN(2)/25)*AV116+(1-EXP(-LN(2)/25))/(LN(2)/25)*Calculateur!AQ117*Calculateur!AS117*VLOOKUP('Données projet'!$B$10,Paramètres!$A$1:$I$89,3,0)*0.475*44/12</f>
        <v>2.7901539251595877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33.621230535600503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268.00000000000023</v>
      </c>
      <c r="BE117" s="13">
        <f>BD117*VLOOKUP('Données projet'!$B$11,Paramètres!$A$1:$I$89,3,0)*VLOOKUP('Données projet'!$B$11,Paramètres!$A$1:$I$89,5,0)</f>
        <v>175.59360000000015</v>
      </c>
      <c r="BF117" s="13">
        <f t="shared" si="91"/>
        <v>44.340433728638573</v>
      </c>
      <c r="BG117" s="20">
        <f t="shared" si="61"/>
        <v>383.05177541071242</v>
      </c>
      <c r="BH117" s="59">
        <f t="shared" si="62"/>
        <v>676.38510874404574</v>
      </c>
      <c r="BI117" s="59">
        <f ca="1">AVERAGE(OFFSET($BH$3,0,0,'Données projet'!$E$11+1,1))-AVERAGE(OFFSET($H$3,0,0,'Données projet'!$E$11+1,1))</f>
        <v>209.40885738157152</v>
      </c>
      <c r="BJ117" s="59">
        <f t="shared" si="92"/>
        <v>230.15385333954697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3.9217344800772489</v>
      </c>
      <c r="BQ117" s="21">
        <f>EXP(-LN(2)/25)*BQ116+(1-EXP(-LN(2)/25))/(LN(2)/25)*Calculateur!BL117*Calculateur!BN117*VLOOKUP('Données projet'!$B$11,Paramètres!$A$1:$I$89,3,0)*0.475*44/12</f>
        <v>8.1691247380609315</v>
      </c>
      <c r="BR117" s="21">
        <f>EXP(-LN(2)/2)*BR116+(1-EXP(-LN(2)/2))/(LN(2)/2)*BL117*BO117*VLOOKUP('Données projet'!$B$11,Paramètres!$A$1:$I$89,3,0)*0.475*44/12</f>
        <v>3.3305749177891717E-4</v>
      </c>
      <c r="BS117" s="22">
        <f t="shared" si="63"/>
        <v>12.091192275629961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6.8461538461538511</v>
      </c>
      <c r="BY117" s="12">
        <f>IF('Données projet'!$A$114&gt;35,BY116+BX117-CG116,IF(A117&lt;'Données projet'!$A$114,$BV$205^A117,IF(A117='Données projet'!$A$114,'Données projet'!$B$114,BY116+BX117-CG116)))</f>
        <v>323.10897435897476</v>
      </c>
      <c r="BZ117" s="13">
        <f>BY117*VLOOKUP('Données projet'!$B$12,Paramètres!$A$1:$I$89,3,0)*VLOOKUP('Données projet'!$B$12,Paramètres!$A$1:$I$89,5,0)</f>
        <v>292.34900000000033</v>
      </c>
      <c r="CA117" s="13">
        <f t="shared" si="93"/>
        <v>69.570116369442999</v>
      </c>
      <c r="CB117" s="20">
        <f t="shared" si="64"/>
        <v>630.34246101011377</v>
      </c>
      <c r="CC117" s="59">
        <f t="shared" si="65"/>
        <v>923.67579434344702</v>
      </c>
      <c r="CD117" s="59">
        <f ca="1">AVERAGE(OFFSET($CC$3,0,0,'Données projet'!$E$12+1,1))-AVERAGE(OFFSET($H$3,0,0,'Données projet'!$E$12+1,1))</f>
        <v>270.87836509222456</v>
      </c>
      <c r="CE117" s="59">
        <f t="shared" si="94"/>
        <v>205.24998237949734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54.495694972216008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54.495694972216008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212.00000000000009</v>
      </c>
      <c r="CU117" s="17">
        <f>CT117*VLOOKUP('Données projet'!$B$13,Paramètres!$A$1:$I$89,3,0)*VLOOKUP('Données projet'!$B$13,Paramètres!$A$1:$I$89,5,0)</f>
        <v>185.20320000000009</v>
      </c>
      <c r="CV117" s="13">
        <f t="shared" si="95"/>
        <v>46.477875402099386</v>
      </c>
      <c r="CW117" s="20">
        <f t="shared" si="67"/>
        <v>403.5112063253232</v>
      </c>
      <c r="CX117" s="59">
        <f t="shared" si="68"/>
        <v>696.84453965865646</v>
      </c>
      <c r="CY117" s="59">
        <f ca="1">AVERAGE(OFFSET($CX$3,0,0,'Données projet'!$E$13+1,1))-AVERAGE(OFFSET($H$3,0,0,'Données projet'!$E$13+1,1))</f>
        <v>207.4513063267579</v>
      </c>
      <c r="CZ117" s="59">
        <f t="shared" si="96"/>
        <v>191.63513530247218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11.318271449573619</v>
      </c>
      <c r="DG117" s="21">
        <f>EXP(-LN(2)/25)*DG116+(1-EXP(-LN(2)/25))/(LN(2)/25)*Calculateur!DB117*Calculateur!DD117*VLOOKUP('Données projet'!$B$13,Paramètres!$A$1:$I$89,3,0)*0.475*44/12</f>
        <v>9.4874965768340278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20.805768026407648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66.814714696519275</v>
      </c>
      <c r="T118" s="59">
        <f t="shared" si="88"/>
        <v>199.56746335788068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7.2092373629451263</v>
      </c>
      <c r="AA118" s="21">
        <f>EXP(-LN(2)/25)*AA117+(1-EXP(-LN(2)/25))/(LN(2)/25)*Calculateur!V118*Calculateur!X118*VLOOKUP('Données projet'!$B$9,Paramètres!$A$1:$I$89,3,0)*0.475*44/12</f>
        <v>0.72499768364367012</v>
      </c>
      <c r="AB118" s="21">
        <f>EXP(-LN(2)/2)*AB117+(1-EXP(-LN(2)/2))/(LN(2)/2)*V118*Y118*VLOOKUP('Données projet'!$B$9,Paramètres!$A$1:$I$89,3,0)*0.475*44/12</f>
        <v>7.2459460978649363E-14</v>
      </c>
      <c r="AC118" s="22">
        <f t="shared" si="57"/>
        <v>7.9342350465888689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367.99999999999972</v>
      </c>
      <c r="AJ118" s="13">
        <f>AI118*VLOOKUP('Données projet'!$B$10,Paramètres!$A$1:$I$89,3,0)*VLOOKUP('Données projet'!$B$10,Paramètres!$A$1:$I$89,5,0)</f>
        <v>292.78079999999977</v>
      </c>
      <c r="AK118" s="13">
        <f t="shared" si="89"/>
        <v>69.660903052386217</v>
      </c>
      <c r="AL118" s="20">
        <f t="shared" si="58"/>
        <v>631.25263281623893</v>
      </c>
      <c r="AM118" s="59">
        <f t="shared" si="59"/>
        <v>924.58596614957219</v>
      </c>
      <c r="AN118" s="59">
        <f ca="1">AVERAGE(OFFSET($AM$3,0,0,'Données projet'!$E$10+1,1))-AVERAGE(OFFSET($H$3,0,0,'Données projet'!$E$10+1,1))</f>
        <v>325.72928944930294</v>
      </c>
      <c r="AO118" s="59">
        <f t="shared" si="90"/>
        <v>318.38876834819752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30.226498003210054</v>
      </c>
      <c r="AV118" s="21">
        <f>EXP(-LN(2)/25)*AV117+(1-EXP(-LN(2)/25))/(LN(2)/25)*Calculateur!AQ118*Calculateur!AS118*VLOOKUP('Données projet'!$B$10,Paramètres!$A$1:$I$89,3,0)*0.475*44/12</f>
        <v>2.7138570193482807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32.940355022558336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268.00000000000023</v>
      </c>
      <c r="BE118" s="13">
        <f>BD118*VLOOKUP('Données projet'!$B$11,Paramètres!$A$1:$I$89,3,0)*VLOOKUP('Données projet'!$B$11,Paramètres!$A$1:$I$89,5,0)</f>
        <v>175.59360000000015</v>
      </c>
      <c r="BF118" s="13">
        <f t="shared" si="91"/>
        <v>44.340433728638573</v>
      </c>
      <c r="BG118" s="20">
        <f t="shared" si="61"/>
        <v>383.05177541071242</v>
      </c>
      <c r="BH118" s="59">
        <f t="shared" si="62"/>
        <v>676.38510874404574</v>
      </c>
      <c r="BI118" s="59">
        <f ca="1">AVERAGE(OFFSET($BH$3,0,0,'Données projet'!$E$11+1,1))-AVERAGE(OFFSET($H$3,0,0,'Données projet'!$E$11+1,1))</f>
        <v>209.40885738157152</v>
      </c>
      <c r="BJ118" s="59">
        <f t="shared" si="92"/>
        <v>230.15385333954697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3.8448316589447744</v>
      </c>
      <c r="BQ118" s="21">
        <f>EXP(-LN(2)/25)*BQ117+(1-EXP(-LN(2)/25))/(LN(2)/25)*Calculateur!BL118*Calculateur!BN118*VLOOKUP('Données projet'!$B$11,Paramètres!$A$1:$I$89,3,0)*0.475*44/12</f>
        <v>7.9457395925030561</v>
      </c>
      <c r="BR118" s="21">
        <f>EXP(-LN(2)/2)*BR117+(1-EXP(-LN(2)/2))/(LN(2)/2)*BL118*BO118*VLOOKUP('Données projet'!$B$11,Paramètres!$A$1:$I$89,3,0)*0.475*44/12</f>
        <v>2.3550721096185514E-4</v>
      </c>
      <c r="BS118" s="22">
        <f t="shared" si="63"/>
        <v>11.790806758658791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6.8461538461538511</v>
      </c>
      <c r="BY118" s="12">
        <f>IF('Données projet'!$A$114&gt;35,BY117+BX118-CG117,IF(A118&lt;'Données projet'!$A$114,$BV$205^A118,IF(A118='Données projet'!$A$114,'Données projet'!$B$114,BY117+BX118-CG117)))</f>
        <v>329.95512820512863</v>
      </c>
      <c r="BZ118" s="13">
        <f>BY118*VLOOKUP('Données projet'!$B$12,Paramètres!$A$1:$I$89,3,0)*VLOOKUP('Données projet'!$B$12,Paramètres!$A$1:$I$89,5,0)</f>
        <v>298.54340000000036</v>
      </c>
      <c r="CA118" s="13">
        <f t="shared" si="93"/>
        <v>70.871017722198957</v>
      </c>
      <c r="CB118" s="20">
        <f t="shared" si="64"/>
        <v>643.39677753283047</v>
      </c>
      <c r="CC118" s="59">
        <f t="shared" si="65"/>
        <v>936.73011086616384</v>
      </c>
      <c r="CD118" s="59">
        <f ca="1">AVERAGE(OFFSET($CC$3,0,0,'Données projet'!$E$12+1,1))-AVERAGE(OFFSET($H$3,0,0,'Données projet'!$E$12+1,1))</f>
        <v>270.87836509222456</v>
      </c>
      <c r="CE118" s="59">
        <f t="shared" si="94"/>
        <v>205.24998237949734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53.427067632902698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53.427067632902698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212.00000000000009</v>
      </c>
      <c r="CU118" s="17">
        <f>CT118*VLOOKUP('Données projet'!$B$13,Paramètres!$A$1:$I$89,3,0)*VLOOKUP('Données projet'!$B$13,Paramètres!$A$1:$I$89,5,0)</f>
        <v>185.20320000000009</v>
      </c>
      <c r="CV118" s="13">
        <f t="shared" si="95"/>
        <v>46.477875402099386</v>
      </c>
      <c r="CW118" s="20">
        <f t="shared" si="67"/>
        <v>403.5112063253232</v>
      </c>
      <c r="CX118" s="59">
        <f t="shared" si="68"/>
        <v>696.84453965865646</v>
      </c>
      <c r="CY118" s="59">
        <f ca="1">AVERAGE(OFFSET($CX$3,0,0,'Données projet'!$E$13+1,1))-AVERAGE(OFFSET($H$3,0,0,'Données projet'!$E$13+1,1))</f>
        <v>207.4513063267579</v>
      </c>
      <c r="CZ118" s="59">
        <f t="shared" si="96"/>
        <v>191.63513530247218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11.096327049911404</v>
      </c>
      <c r="DG118" s="21">
        <f>EXP(-LN(2)/25)*DG117+(1-EXP(-LN(2)/25))/(LN(2)/25)*Calculateur!DB118*Calculateur!DD118*VLOOKUP('Données projet'!$B$13,Paramètres!$A$1:$I$89,3,0)*0.475*44/12</f>
        <v>9.2280604840147404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20.324387533926142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66.814714696519275</v>
      </c>
      <c r="T119" s="59">
        <f t="shared" si="88"/>
        <v>199.56746335788068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7.0678686154583765</v>
      </c>
      <c r="AA119" s="21">
        <f>EXP(-LN(2)/25)*AA118+(1-EXP(-LN(2)/25))/(LN(2)/25)*Calculateur!V119*Calculateur!X119*VLOOKUP('Données projet'!$B$9,Paramètres!$A$1:$I$89,3,0)*0.475*44/12</f>
        <v>0.70517258385846282</v>
      </c>
      <c r="AB119" s="21">
        <f>EXP(-LN(2)/2)*AB118+(1-EXP(-LN(2)/2))/(LN(2)/2)*V119*Y119*VLOOKUP('Données projet'!$B$9,Paramètres!$A$1:$I$89,3,0)*0.475*44/12</f>
        <v>5.1236576219124995E-14</v>
      </c>
      <c r="AC119" s="22">
        <f t="shared" si="57"/>
        <v>7.7730411993168911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367.99999999999972</v>
      </c>
      <c r="AJ119" s="13">
        <f>AI119*VLOOKUP('Données projet'!$B$10,Paramètres!$A$1:$I$89,3,0)*VLOOKUP('Données projet'!$B$10,Paramètres!$A$1:$I$89,5,0)</f>
        <v>292.78079999999977</v>
      </c>
      <c r="AK119" s="13">
        <f t="shared" si="89"/>
        <v>69.660903052386217</v>
      </c>
      <c r="AL119" s="20">
        <f t="shared" si="58"/>
        <v>631.25263281623893</v>
      </c>
      <c r="AM119" s="59">
        <f t="shared" si="59"/>
        <v>924.58596614957219</v>
      </c>
      <c r="AN119" s="59">
        <f ca="1">AVERAGE(OFFSET($AM$3,0,0,'Données projet'!$E$10+1,1))-AVERAGE(OFFSET($H$3,0,0,'Données projet'!$E$10+1,1))</f>
        <v>325.72928944930294</v>
      </c>
      <c r="AO119" s="59">
        <f t="shared" si="90"/>
        <v>318.38876834819752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29.633774813710449</v>
      </c>
      <c r="AV119" s="21">
        <f>EXP(-LN(2)/25)*AV118+(1-EXP(-LN(2)/25))/(LN(2)/25)*Calculateur!AQ119*Calculateur!AS119*VLOOKUP('Données projet'!$B$10,Paramètres!$A$1:$I$89,3,0)*0.475*44/12</f>
        <v>2.6396464564386641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32.273421270149115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268.00000000000023</v>
      </c>
      <c r="BE119" s="13">
        <f>BD119*VLOOKUP('Données projet'!$B$11,Paramètres!$A$1:$I$89,3,0)*VLOOKUP('Données projet'!$B$11,Paramètres!$A$1:$I$89,5,0)</f>
        <v>175.59360000000015</v>
      </c>
      <c r="BF119" s="13">
        <f t="shared" si="91"/>
        <v>44.340433728638573</v>
      </c>
      <c r="BG119" s="20">
        <f t="shared" si="61"/>
        <v>383.05177541071242</v>
      </c>
      <c r="BH119" s="59">
        <f t="shared" si="62"/>
        <v>676.38510874404574</v>
      </c>
      <c r="BI119" s="59">
        <f ca="1">AVERAGE(OFFSET($BH$3,0,0,'Données projet'!$E$11+1,1))-AVERAGE(OFFSET($H$3,0,0,'Données projet'!$E$11+1,1))</f>
        <v>209.40885738157152</v>
      </c>
      <c r="BJ119" s="59">
        <f t="shared" si="92"/>
        <v>230.15385333954697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3.7694368552286184</v>
      </c>
      <c r="BQ119" s="21">
        <f>EXP(-LN(2)/25)*BQ118+(1-EXP(-LN(2)/25))/(LN(2)/25)*Calculateur!BL119*Calculateur!BN119*VLOOKUP('Données projet'!$B$11,Paramètres!$A$1:$I$89,3,0)*0.475*44/12</f>
        <v>7.7284629254977748</v>
      </c>
      <c r="BR119" s="21">
        <f>EXP(-LN(2)/2)*BR118+(1-EXP(-LN(2)/2))/(LN(2)/2)*BL119*BO119*VLOOKUP('Données projet'!$B$11,Paramètres!$A$1:$I$89,3,0)*0.475*44/12</f>
        <v>1.6652874588945861E-4</v>
      </c>
      <c r="BS119" s="22">
        <f t="shared" si="63"/>
        <v>11.498066309472282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6.8461538461538511</v>
      </c>
      <c r="BY119" s="12">
        <f>IF('Données projet'!$A$114&gt;35,BY118+BX119-CG118,IF(A119&lt;'Données projet'!$A$114,$BV$205^A119,IF(A119='Données projet'!$A$114,'Données projet'!$B$114,BY118+BX119-CG118)))</f>
        <v>336.8012820512825</v>
      </c>
      <c r="BZ119" s="13">
        <f>BY119*VLOOKUP('Données projet'!$B$12,Paramètres!$A$1:$I$89,3,0)*VLOOKUP('Données projet'!$B$12,Paramètres!$A$1:$I$89,5,0)</f>
        <v>304.73780000000039</v>
      </c>
      <c r="CA119" s="13">
        <f t="shared" si="93"/>
        <v>72.168780751383139</v>
      </c>
      <c r="CB119" s="20">
        <f t="shared" si="64"/>
        <v>656.4456281419931</v>
      </c>
      <c r="CC119" s="59">
        <f t="shared" si="65"/>
        <v>949.77896147532647</v>
      </c>
      <c r="CD119" s="59">
        <f ca="1">AVERAGE(OFFSET($CC$3,0,0,'Données projet'!$E$12+1,1))-AVERAGE(OFFSET($H$3,0,0,'Données projet'!$E$12+1,1))</f>
        <v>270.87836509222456</v>
      </c>
      <c r="CE119" s="59">
        <f t="shared" si="94"/>
        <v>205.24998237949734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52.379395423915007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52.379395423915007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212.00000000000009</v>
      </c>
      <c r="CU119" s="17">
        <f>CT119*VLOOKUP('Données projet'!$B$13,Paramètres!$A$1:$I$89,3,0)*VLOOKUP('Données projet'!$B$13,Paramètres!$A$1:$I$89,5,0)</f>
        <v>185.20320000000009</v>
      </c>
      <c r="CV119" s="13">
        <f t="shared" si="95"/>
        <v>46.477875402099386</v>
      </c>
      <c r="CW119" s="20">
        <f t="shared" si="67"/>
        <v>403.5112063253232</v>
      </c>
      <c r="CX119" s="59">
        <f t="shared" si="68"/>
        <v>696.84453965865646</v>
      </c>
      <c r="CY119" s="59">
        <f ca="1">AVERAGE(OFFSET($CX$3,0,0,'Données projet'!$E$13+1,1))-AVERAGE(OFFSET($H$3,0,0,'Données projet'!$E$13+1,1))</f>
        <v>207.4513063267579</v>
      </c>
      <c r="CZ119" s="59">
        <f t="shared" si="96"/>
        <v>191.63513530247218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10.878734844553847</v>
      </c>
      <c r="DG119" s="21">
        <f>EXP(-LN(2)/25)*DG118+(1-EXP(-LN(2)/25))/(LN(2)/25)*Calculateur!DB119*Calculateur!DD119*VLOOKUP('Données projet'!$B$13,Paramètres!$A$1:$I$89,3,0)*0.475*44/12</f>
        <v>8.9757186847967478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19.854453529350593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66.814714696519275</v>
      </c>
      <c r="T120" s="59">
        <f t="shared" si="88"/>
        <v>199.56746335788068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6.9292720228834197</v>
      </c>
      <c r="AA120" s="21">
        <f>EXP(-LN(2)/25)*AA119+(1-EXP(-LN(2)/25))/(LN(2)/25)*Calculateur!V120*Calculateur!X120*VLOOKUP('Données projet'!$B$9,Paramètres!$A$1:$I$89,3,0)*0.475*44/12</f>
        <v>0.68588960246943864</v>
      </c>
      <c r="AB120" s="21">
        <f>EXP(-LN(2)/2)*AB119+(1-EXP(-LN(2)/2))/(LN(2)/2)*V120*Y120*VLOOKUP('Données projet'!$B$9,Paramètres!$A$1:$I$89,3,0)*0.475*44/12</f>
        <v>3.6229730489324682E-14</v>
      </c>
      <c r="AC120" s="22">
        <f t="shared" si="57"/>
        <v>7.6151616253528944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367.99999999999972</v>
      </c>
      <c r="AJ120" s="13">
        <f>AI120*VLOOKUP('Données projet'!$B$10,Paramètres!$A$1:$I$89,3,0)*VLOOKUP('Données projet'!$B$10,Paramètres!$A$1:$I$89,5,0)</f>
        <v>292.78079999999977</v>
      </c>
      <c r="AK120" s="13">
        <f t="shared" si="89"/>
        <v>69.660903052386217</v>
      </c>
      <c r="AL120" s="20">
        <f t="shared" si="58"/>
        <v>631.25263281623893</v>
      </c>
      <c r="AM120" s="59">
        <f t="shared" si="59"/>
        <v>924.58596614957219</v>
      </c>
      <c r="AN120" s="59">
        <f ca="1">AVERAGE(OFFSET($AM$3,0,0,'Données projet'!$E$10+1,1))-AVERAGE(OFFSET($H$3,0,0,'Données projet'!$E$10+1,1))</f>
        <v>325.72928944930294</v>
      </c>
      <c r="AO120" s="59">
        <f t="shared" si="90"/>
        <v>318.38876834819752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29.052674564431484</v>
      </c>
      <c r="AV120" s="21">
        <f>EXP(-LN(2)/25)*AV119+(1-EXP(-LN(2)/25))/(LN(2)/25)*Calculateur!AQ120*Calculateur!AS120*VLOOKUP('Données projet'!$B$10,Paramètres!$A$1:$I$89,3,0)*0.475*44/12</f>
        <v>2.5674651852743748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31.62013974970586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268.00000000000023</v>
      </c>
      <c r="BE120" s="13">
        <f>BD120*VLOOKUP('Données projet'!$B$11,Paramètres!$A$1:$I$89,3,0)*VLOOKUP('Données projet'!$B$11,Paramètres!$A$1:$I$89,5,0)</f>
        <v>175.59360000000015</v>
      </c>
      <c r="BF120" s="13">
        <f t="shared" si="91"/>
        <v>44.340433728638573</v>
      </c>
      <c r="BG120" s="20">
        <f t="shared" si="61"/>
        <v>383.05177541071242</v>
      </c>
      <c r="BH120" s="59">
        <f t="shared" si="62"/>
        <v>676.38510874404574</v>
      </c>
      <c r="BI120" s="59">
        <f ca="1">AVERAGE(OFFSET($BH$3,0,0,'Données projet'!$E$11+1,1))-AVERAGE(OFFSET($H$3,0,0,'Données projet'!$E$11+1,1))</f>
        <v>209.40885738157152</v>
      </c>
      <c r="BJ120" s="59">
        <f t="shared" si="92"/>
        <v>230.15385333954697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3.6955204976270468</v>
      </c>
      <c r="BQ120" s="21">
        <f>EXP(-LN(2)/25)*BQ119+(1-EXP(-LN(2)/25))/(LN(2)/25)*Calculateur!BL120*Calculateur!BN120*VLOOKUP('Données projet'!$B$11,Paramètres!$A$1:$I$89,3,0)*0.475*44/12</f>
        <v>7.517127700377837</v>
      </c>
      <c r="BR120" s="21">
        <f>EXP(-LN(2)/2)*BR119+(1-EXP(-LN(2)/2))/(LN(2)/2)*BL120*BO120*VLOOKUP('Données projet'!$B$11,Paramètres!$A$1:$I$89,3,0)*0.475*44/12</f>
        <v>1.177536054809276E-4</v>
      </c>
      <c r="BS120" s="22">
        <f t="shared" si="63"/>
        <v>11.212765951610365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6.8461538461538511</v>
      </c>
      <c r="BY120" s="12">
        <f>IF('Données projet'!$A$114&gt;35,BY119+BX120-CG119,IF(A120&lt;'Données projet'!$A$114,$BV$205^A120,IF(A120='Données projet'!$A$114,'Données projet'!$B$114,BY119+BX120-CG119)))</f>
        <v>343.64743589743637</v>
      </c>
      <c r="BZ120" s="13">
        <f>BY120*VLOOKUP('Données projet'!$B$12,Paramètres!$A$1:$I$89,3,0)*VLOOKUP('Données projet'!$B$12,Paramètres!$A$1:$I$89,5,0)</f>
        <v>310.93220000000042</v>
      </c>
      <c r="CA120" s="13">
        <f t="shared" si="93"/>
        <v>73.463476600811546</v>
      </c>
      <c r="CB120" s="20">
        <f t="shared" si="64"/>
        <v>669.48913674641415</v>
      </c>
      <c r="CC120" s="59">
        <f t="shared" si="65"/>
        <v>962.82247007974752</v>
      </c>
      <c r="CD120" s="59">
        <f ca="1">AVERAGE(OFFSET($CC$3,0,0,'Données projet'!$E$12+1,1))-AVERAGE(OFFSET($H$3,0,0,'Données projet'!$E$12+1,1))</f>
        <v>270.87836509222456</v>
      </c>
      <c r="CE120" s="59">
        <f t="shared" si="94"/>
        <v>205.24998237949734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51.352267427928609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51.352267427928609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212.00000000000009</v>
      </c>
      <c r="CU120" s="17">
        <f>CT120*VLOOKUP('Données projet'!$B$13,Paramètres!$A$1:$I$89,3,0)*VLOOKUP('Données projet'!$B$13,Paramètres!$A$1:$I$89,5,0)</f>
        <v>185.20320000000009</v>
      </c>
      <c r="CV120" s="13">
        <f t="shared" si="95"/>
        <v>46.477875402099386</v>
      </c>
      <c r="CW120" s="20">
        <f t="shared" si="67"/>
        <v>403.5112063253232</v>
      </c>
      <c r="CX120" s="59">
        <f t="shared" si="68"/>
        <v>696.84453965865646</v>
      </c>
      <c r="CY120" s="59">
        <f ca="1">AVERAGE(OFFSET($CX$3,0,0,'Données projet'!$E$13+1,1))-AVERAGE(OFFSET($H$3,0,0,'Données projet'!$E$13+1,1))</f>
        <v>207.4513063267579</v>
      </c>
      <c r="CZ120" s="59">
        <f t="shared" si="96"/>
        <v>191.63513530247218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10.665409489625212</v>
      </c>
      <c r="DG120" s="21">
        <f>EXP(-LN(2)/25)*DG119+(1-EXP(-LN(2)/25))/(LN(2)/25)*Calculateur!DB120*Calculateur!DD120*VLOOKUP('Données projet'!$B$13,Paramètres!$A$1:$I$89,3,0)*0.475*44/12</f>
        <v>8.7302771853484487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19.395686674973661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66.814714696519275</v>
      </c>
      <c r="T121" s="59">
        <f t="shared" si="88"/>
        <v>199.56746335788068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6.7933932249532836</v>
      </c>
      <c r="AA121" s="21">
        <f>EXP(-LN(2)/25)*AA120+(1-EXP(-LN(2)/25))/(LN(2)/25)*Calculateur!V121*Calculateur!X121*VLOOKUP('Données projet'!$B$9,Paramètres!$A$1:$I$89,3,0)*0.475*44/12</f>
        <v>0.66713391522054521</v>
      </c>
      <c r="AB121" s="21">
        <f>EXP(-LN(2)/2)*AB120+(1-EXP(-LN(2)/2))/(LN(2)/2)*V121*Y121*VLOOKUP('Données projet'!$B$9,Paramètres!$A$1:$I$89,3,0)*0.475*44/12</f>
        <v>2.5618288109562497E-14</v>
      </c>
      <c r="AC121" s="22">
        <f t="shared" si="57"/>
        <v>7.4605271401738547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367.99999999999972</v>
      </c>
      <c r="AJ121" s="13">
        <f>AI121*VLOOKUP('Données projet'!$B$10,Paramètres!$A$1:$I$89,3,0)*VLOOKUP('Données projet'!$B$10,Paramètres!$A$1:$I$89,5,0)</f>
        <v>292.78079999999977</v>
      </c>
      <c r="AK121" s="13">
        <f t="shared" si="89"/>
        <v>69.660903052386217</v>
      </c>
      <c r="AL121" s="20">
        <f t="shared" si="58"/>
        <v>631.25263281623893</v>
      </c>
      <c r="AM121" s="59">
        <f t="shared" si="59"/>
        <v>924.58596614957219</v>
      </c>
      <c r="AN121" s="59">
        <f ca="1">AVERAGE(OFFSET($AM$3,0,0,'Données projet'!$E$10+1,1))-AVERAGE(OFFSET($H$3,0,0,'Données projet'!$E$10+1,1))</f>
        <v>325.72928944930294</v>
      </c>
      <c r="AO121" s="59">
        <f t="shared" si="90"/>
        <v>318.38876834819752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28.482969336604725</v>
      </c>
      <c r="AV121" s="21">
        <f>EXP(-LN(2)/25)*AV120+(1-EXP(-LN(2)/25))/(LN(2)/25)*Calculateur!AQ121*Calculateur!AS121*VLOOKUP('Données projet'!$B$10,Paramètres!$A$1:$I$89,3,0)*0.475*44/12</f>
        <v>2.497257714765921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30.980227051370647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268.00000000000023</v>
      </c>
      <c r="BE121" s="13">
        <f>BD121*VLOOKUP('Données projet'!$B$11,Paramètres!$A$1:$I$89,3,0)*VLOOKUP('Données projet'!$B$11,Paramètres!$A$1:$I$89,5,0)</f>
        <v>175.59360000000015</v>
      </c>
      <c r="BF121" s="13">
        <f t="shared" si="91"/>
        <v>44.340433728638573</v>
      </c>
      <c r="BG121" s="20">
        <f t="shared" si="61"/>
        <v>383.05177541071242</v>
      </c>
      <c r="BH121" s="59">
        <f t="shared" si="62"/>
        <v>676.38510874404574</v>
      </c>
      <c r="BI121" s="59">
        <f ca="1">AVERAGE(OFFSET($BH$3,0,0,'Données projet'!$E$11+1,1))-AVERAGE(OFFSET($H$3,0,0,'Données projet'!$E$11+1,1))</f>
        <v>209.40885738157152</v>
      </c>
      <c r="BJ121" s="59">
        <f t="shared" si="92"/>
        <v>230.15385333954697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3.6230535947135154</v>
      </c>
      <c r="BQ121" s="21">
        <f>EXP(-LN(2)/25)*BQ120+(1-EXP(-LN(2)/25))/(LN(2)/25)*Calculateur!BL121*Calculateur!BN121*VLOOKUP('Données projet'!$B$11,Paramètres!$A$1:$I$89,3,0)*0.475*44/12</f>
        <v>7.3115714481024403</v>
      </c>
      <c r="BR121" s="21">
        <f>EXP(-LN(2)/2)*BR120+(1-EXP(-LN(2)/2))/(LN(2)/2)*BL121*BO121*VLOOKUP('Données projet'!$B$11,Paramètres!$A$1:$I$89,3,0)*0.475*44/12</f>
        <v>8.3264372944729319E-5</v>
      </c>
      <c r="BS121" s="22">
        <f t="shared" si="63"/>
        <v>10.934708307188901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6.8461538461538511</v>
      </c>
      <c r="BY121" s="12">
        <f>IF('Données projet'!$A$114&gt;35,BY120+BX121-CG120,IF(A121&lt;'Données projet'!$A$114,$BV$205^A121,IF(A121='Données projet'!$A$114,'Données projet'!$B$114,BY120+BX121-CG120)))</f>
        <v>350.49358974359023</v>
      </c>
      <c r="BZ121" s="13">
        <f>BY121*VLOOKUP('Données projet'!$B$12,Paramètres!$A$1:$I$89,3,0)*VLOOKUP('Données projet'!$B$12,Paramètres!$A$1:$I$89,5,0)</f>
        <v>317.12660000000039</v>
      </c>
      <c r="CA121" s="13">
        <f t="shared" si="93"/>
        <v>74.755173417545677</v>
      </c>
      <c r="CB121" s="20">
        <f t="shared" si="64"/>
        <v>682.52742203555931</v>
      </c>
      <c r="CC121" s="59">
        <f t="shared" si="65"/>
        <v>975.86075536889257</v>
      </c>
      <c r="CD121" s="59">
        <f ca="1">AVERAGE(OFFSET($CC$3,0,0,'Données projet'!$E$12+1,1))-AVERAGE(OFFSET($H$3,0,0,'Données projet'!$E$12+1,1))</f>
        <v>270.87836509222456</v>
      </c>
      <c r="CE121" s="59">
        <f t="shared" si="94"/>
        <v>205.24998237949734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50.345280785457291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50.345280785457291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212.00000000000009</v>
      </c>
      <c r="CU121" s="17">
        <f>CT121*VLOOKUP('Données projet'!$B$13,Paramètres!$A$1:$I$89,3,0)*VLOOKUP('Données projet'!$B$13,Paramètres!$A$1:$I$89,5,0)</f>
        <v>185.20320000000009</v>
      </c>
      <c r="CV121" s="13">
        <f t="shared" si="95"/>
        <v>46.477875402099386</v>
      </c>
      <c r="CW121" s="20">
        <f t="shared" si="67"/>
        <v>403.5112063253232</v>
      </c>
      <c r="CX121" s="59">
        <f t="shared" si="68"/>
        <v>696.84453965865646</v>
      </c>
      <c r="CY121" s="59">
        <f ca="1">AVERAGE(OFFSET($CX$3,0,0,'Données projet'!$E$13+1,1))-AVERAGE(OFFSET($H$3,0,0,'Données projet'!$E$13+1,1))</f>
        <v>207.4513063267579</v>
      </c>
      <c r="CZ121" s="59">
        <f t="shared" si="96"/>
        <v>191.63513530247218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10.456267314791109</v>
      </c>
      <c r="DG121" s="21">
        <f>EXP(-LN(2)/25)*DG120+(1-EXP(-LN(2)/25))/(LN(2)/25)*Calculateur!DB121*Calculateur!DD121*VLOOKUP('Données projet'!$B$13,Paramètres!$A$1:$I$89,3,0)*0.475*44/12</f>
        <v>8.491547296609772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18.947814611400879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66.814714696519275</v>
      </c>
      <c r="T122" s="59">
        <f t="shared" si="88"/>
        <v>199.56746335788068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6.6601789273726739</v>
      </c>
      <c r="AA122" s="21">
        <f>EXP(-LN(2)/25)*AA121+(1-EXP(-LN(2)/25))/(LN(2)/25)*Calculateur!V122*Calculateur!X122*VLOOKUP('Données projet'!$B$9,Paramètres!$A$1:$I$89,3,0)*0.475*44/12</f>
        <v>0.64889110322579158</v>
      </c>
      <c r="AB122" s="21">
        <f>EXP(-LN(2)/2)*AB121+(1-EXP(-LN(2)/2))/(LN(2)/2)*V122*Y122*VLOOKUP('Données projet'!$B$9,Paramètres!$A$1:$I$89,3,0)*0.475*44/12</f>
        <v>1.8114865244662341E-14</v>
      </c>
      <c r="AC122" s="22">
        <f t="shared" si="57"/>
        <v>7.309070030598483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367.99999999999972</v>
      </c>
      <c r="AJ122" s="13">
        <f>AI122*VLOOKUP('Données projet'!$B$10,Paramètres!$A$1:$I$89,3,0)*VLOOKUP('Données projet'!$B$10,Paramètres!$A$1:$I$89,5,0)</f>
        <v>292.78079999999977</v>
      </c>
      <c r="AK122" s="13">
        <f t="shared" si="89"/>
        <v>69.660903052386217</v>
      </c>
      <c r="AL122" s="20">
        <f t="shared" si="58"/>
        <v>631.25263281623893</v>
      </c>
      <c r="AM122" s="59">
        <f t="shared" si="59"/>
        <v>924.58596614957219</v>
      </c>
      <c r="AN122" s="59">
        <f ca="1">AVERAGE(OFFSET($AM$3,0,0,'Données projet'!$E$10+1,1))-AVERAGE(OFFSET($H$3,0,0,'Données projet'!$E$10+1,1))</f>
        <v>325.72928944930294</v>
      </c>
      <c r="AO122" s="59">
        <f t="shared" si="90"/>
        <v>318.38876834819752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27.924435680809772</v>
      </c>
      <c r="AV122" s="21">
        <f>EXP(-LN(2)/25)*AV121+(1-EXP(-LN(2)/25))/(LN(2)/25)*Calculateur!AQ122*Calculateur!AS122*VLOOKUP('Données projet'!$B$10,Paramètres!$A$1:$I$89,3,0)*0.475*44/12</f>
        <v>2.4289700712305713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30.353405752040345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268.00000000000023</v>
      </c>
      <c r="BE122" s="13">
        <f>BD122*VLOOKUP('Données projet'!$B$11,Paramètres!$A$1:$I$89,3,0)*VLOOKUP('Données projet'!$B$11,Paramètres!$A$1:$I$89,5,0)</f>
        <v>175.59360000000015</v>
      </c>
      <c r="BF122" s="13">
        <f t="shared" si="91"/>
        <v>44.340433728638573</v>
      </c>
      <c r="BG122" s="20">
        <f t="shared" si="61"/>
        <v>383.05177541071242</v>
      </c>
      <c r="BH122" s="59">
        <f t="shared" si="62"/>
        <v>676.38510874404574</v>
      </c>
      <c r="BI122" s="59">
        <f ca="1">AVERAGE(OFFSET($BH$3,0,0,'Données projet'!$E$11+1,1))-AVERAGE(OFFSET($H$3,0,0,'Données projet'!$E$11+1,1))</f>
        <v>209.40885738157152</v>
      </c>
      <c r="BJ122" s="59">
        <f t="shared" si="92"/>
        <v>230.15385333954697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3.552007723565672</v>
      </c>
      <c r="BQ122" s="21">
        <f>EXP(-LN(2)/25)*BQ121+(1-EXP(-LN(2)/25))/(LN(2)/25)*Calculateur!BL122*Calculateur!BN122*VLOOKUP('Données projet'!$B$11,Paramètres!$A$1:$I$89,3,0)*0.475*44/12</f>
        <v>7.1116361423552474</v>
      </c>
      <c r="BR122" s="21">
        <f>EXP(-LN(2)/2)*BR121+(1-EXP(-LN(2)/2))/(LN(2)/2)*BL122*BO122*VLOOKUP('Données projet'!$B$11,Paramètres!$A$1:$I$89,3,0)*0.475*44/12</f>
        <v>5.8876802740463806E-5</v>
      </c>
      <c r="BS122" s="22">
        <f t="shared" si="63"/>
        <v>10.663702742723659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>
        <f>VLOOKUP(A122,'Données projet'!$A$113:$I$133,2,0)</f>
        <v>357.33974358974359</v>
      </c>
      <c r="BW122" s="12">
        <f>VLOOKUP(A122,'Données projet'!$A$113:$I$133,9,0)</f>
        <v>6.8461538461538511</v>
      </c>
      <c r="BX122" s="12">
        <f t="array" ref="BX122">INDEX(BW:BW,MIN(IF(ISNUMBER(BW122:BW318),ROW(BW122:BW318),"")))</f>
        <v>6.8461538461538511</v>
      </c>
      <c r="BY122" s="12">
        <f>IF('Données projet'!$A$114&gt;35,BY121+BX122-CG121,IF(A122&lt;'Données projet'!$A$114,$BV$205^A122,IF(A122='Données projet'!$A$114,'Données projet'!$B$114,BY121+BX122-CG121)))</f>
        <v>357.3397435897441</v>
      </c>
      <c r="BZ122" s="13">
        <f>BY122*VLOOKUP('Données projet'!$B$12,Paramètres!$A$1:$I$89,3,0)*VLOOKUP('Données projet'!$B$12,Paramètres!$A$1:$I$89,5,0)</f>
        <v>323.32100000000048</v>
      </c>
      <c r="CA122" s="13">
        <f t="shared" si="93"/>
        <v>76.043936534151186</v>
      </c>
      <c r="CB122" s="20">
        <f t="shared" si="64"/>
        <v>695.56059779698069</v>
      </c>
      <c r="CC122" s="59">
        <f t="shared" si="65"/>
        <v>988.89393113031406</v>
      </c>
      <c r="CD122" s="59">
        <f ca="1">AVERAGE(OFFSET($CC$3,0,0,'Données projet'!$E$12+1,1))-AVERAGE(OFFSET($H$3,0,0,'Données projet'!$E$12+1,1))</f>
        <v>270.87836509222456</v>
      </c>
      <c r="CE122" s="59">
        <f t="shared" si="94"/>
        <v>205.24998237949734</v>
      </c>
      <c r="CF122" s="15">
        <f>IF(ISNA(VLOOKUP(A122,'Données projet'!$A$113:$I$133,3,0)),0,VLOOKUP(A122,'Données projet'!$A$113:$I$133,3,0))</f>
        <v>11</v>
      </c>
      <c r="CG122" s="15">
        <f>IF(ISNA(VLOOKUP(A122,'Données projet'!$A$113:$I$133,4,0)),0,VLOOKUP(A122,'Données projet'!$A$113:$I$133,4,0))</f>
        <v>150.02564102564102</v>
      </c>
      <c r="CH122" s="16">
        <f>IF(ISNA(VLOOKUP(A122,'Données projet'!$A$113:$I$133,5,0)),0%,VLOOKUP(A122,'Données projet'!$A$113:$I$133,5,0)*VLOOKUP('Données projet'!$B$12,Paramètres!$A$1:$I$89,7,0))</f>
        <v>0.38700000000000001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107.43129413735127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107.43129413735127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212.00000000000009</v>
      </c>
      <c r="CU122" s="17">
        <f>CT122*VLOOKUP('Données projet'!$B$13,Paramètres!$A$1:$I$89,3,0)*VLOOKUP('Données projet'!$B$13,Paramètres!$A$1:$I$89,5,0)</f>
        <v>185.20320000000009</v>
      </c>
      <c r="CV122" s="13">
        <f t="shared" si="95"/>
        <v>46.477875402099386</v>
      </c>
      <c r="CW122" s="20">
        <f t="shared" si="67"/>
        <v>403.5112063253232</v>
      </c>
      <c r="CX122" s="59">
        <f t="shared" si="68"/>
        <v>696.84453965865646</v>
      </c>
      <c r="CY122" s="59">
        <f ca="1">AVERAGE(OFFSET($CX$3,0,0,'Données projet'!$E$13+1,1))-AVERAGE(OFFSET($H$3,0,0,'Données projet'!$E$13+1,1))</f>
        <v>207.4513063267579</v>
      </c>
      <c r="CZ122" s="59">
        <f t="shared" si="96"/>
        <v>191.63513530247218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10.251226290441373</v>
      </c>
      <c r="DG122" s="21">
        <f>EXP(-LN(2)/25)*DG121+(1-EXP(-LN(2)/25))/(LN(2)/25)*Calculateur!DB122*Calculateur!DD122*VLOOKUP('Données projet'!$B$13,Paramètres!$A$1:$I$89,3,0)*0.475*44/12</f>
        <v>8.2593454892329135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18.510571779674287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66.814714696519275</v>
      </c>
      <c r="T123" s="59">
        <f t="shared" si="88"/>
        <v>199.56746335788068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6.5295768809149219</v>
      </c>
      <c r="AA123" s="21">
        <f>EXP(-LN(2)/25)*AA122+(1-EXP(-LN(2)/25))/(LN(2)/25)*Calculateur!V123*Calculateur!X123*VLOOKUP('Données projet'!$B$9,Paramètres!$A$1:$I$89,3,0)*0.475*44/12</f>
        <v>0.63114714188438226</v>
      </c>
      <c r="AB123" s="21">
        <f>EXP(-LN(2)/2)*AB122+(1-EXP(-LN(2)/2))/(LN(2)/2)*V123*Y123*VLOOKUP('Données projet'!$B$9,Paramètres!$A$1:$I$89,3,0)*0.475*44/12</f>
        <v>1.2809144054781249E-14</v>
      </c>
      <c r="AC123" s="22">
        <f t="shared" si="57"/>
        <v>7.1607240227993163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367.99999999999972</v>
      </c>
      <c r="AJ123" s="13">
        <f>AI123*VLOOKUP('Données projet'!$B$10,Paramètres!$A$1:$I$89,3,0)*VLOOKUP('Données projet'!$B$10,Paramètres!$A$1:$I$89,5,0)</f>
        <v>292.78079999999977</v>
      </c>
      <c r="AK123" s="13">
        <f t="shared" si="89"/>
        <v>69.660903052386217</v>
      </c>
      <c r="AL123" s="20">
        <f t="shared" si="58"/>
        <v>631.25263281623893</v>
      </c>
      <c r="AM123" s="59">
        <f t="shared" si="59"/>
        <v>924.58596614957219</v>
      </c>
      <c r="AN123" s="59">
        <f ca="1">AVERAGE(OFFSET($AM$3,0,0,'Données projet'!$E$10+1,1))-AVERAGE(OFFSET($H$3,0,0,'Données projet'!$E$10+1,1))</f>
        <v>325.72928944930294</v>
      </c>
      <c r="AO123" s="59">
        <f t="shared" si="90"/>
        <v>318.38876834819752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27.376854529333066</v>
      </c>
      <c r="AV123" s="21">
        <f>EXP(-LN(2)/25)*AV122+(1-EXP(-LN(2)/25))/(LN(2)/25)*Calculateur!AQ123*Calculateur!AS123*VLOOKUP('Données projet'!$B$10,Paramètres!$A$1:$I$89,3,0)*0.475*44/12</f>
        <v>2.3625497568987868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29.739404286231853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268.00000000000023</v>
      </c>
      <c r="BE123" s="13">
        <f>BD123*VLOOKUP('Données projet'!$B$11,Paramètres!$A$1:$I$89,3,0)*VLOOKUP('Données projet'!$B$11,Paramètres!$A$1:$I$89,5,0)</f>
        <v>175.59360000000015</v>
      </c>
      <c r="BF123" s="13">
        <f t="shared" si="91"/>
        <v>44.340433728638573</v>
      </c>
      <c r="BG123" s="20">
        <f t="shared" si="61"/>
        <v>383.05177541071242</v>
      </c>
      <c r="BH123" s="59">
        <f t="shared" si="62"/>
        <v>676.38510874404574</v>
      </c>
      <c r="BI123" s="59">
        <f ca="1">AVERAGE(OFFSET($BH$3,0,0,'Données projet'!$E$11+1,1))-AVERAGE(OFFSET($H$3,0,0,'Données projet'!$E$11+1,1))</f>
        <v>209.40885738157152</v>
      </c>
      <c r="BJ123" s="59">
        <f t="shared" si="92"/>
        <v>230.15385333954697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3.4823550186173353</v>
      </c>
      <c r="BQ123" s="21">
        <f>EXP(-LN(2)/25)*BQ122+(1-EXP(-LN(2)/25))/(LN(2)/25)*Calculateur!BL123*Calculateur!BN123*VLOOKUP('Données projet'!$B$11,Paramètres!$A$1:$I$89,3,0)*0.475*44/12</f>
        <v>6.9171680780578519</v>
      </c>
      <c r="BR123" s="21">
        <f>EXP(-LN(2)/2)*BR122+(1-EXP(-LN(2)/2))/(LN(2)/2)*BL123*BO123*VLOOKUP('Données projet'!$B$11,Paramètres!$A$1:$I$89,3,0)*0.475*44/12</f>
        <v>4.1632186472364666E-5</v>
      </c>
      <c r="BS123" s="22">
        <f t="shared" si="63"/>
        <v>10.399564728861659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3.8301282051282044</v>
      </c>
      <c r="BY123" s="12">
        <f>IF('Données projet'!$A$114&gt;35,BY122+BX123-CG122,IF(A123&lt;'Données projet'!$A$114,$BV$205^A123,IF(A123='Données projet'!$A$114,'Données projet'!$B$114,BY122+BX123-CG122)))</f>
        <v>211.14423076923126</v>
      </c>
      <c r="BZ123" s="13">
        <f>BY123*VLOOKUP('Données projet'!$B$12,Paramètres!$A$1:$I$89,3,0)*VLOOKUP('Données projet'!$B$12,Paramètres!$A$1:$I$89,5,0)</f>
        <v>191.04330000000041</v>
      </c>
      <c r="CA123" s="13">
        <f t="shared" si="93"/>
        <v>47.770538104647592</v>
      </c>
      <c r="CB123" s="20">
        <f t="shared" si="64"/>
        <v>415.93410136559527</v>
      </c>
      <c r="CC123" s="59">
        <f t="shared" si="65"/>
        <v>709.26743469892858</v>
      </c>
      <c r="CD123" s="59">
        <f ca="1">AVERAGE(OFFSET($CC$3,0,0,'Données projet'!$E$12+1,1))-AVERAGE(OFFSET($H$3,0,0,'Données projet'!$E$12+1,1))</f>
        <v>270.87836509222456</v>
      </c>
      <c r="CE123" s="59">
        <f t="shared" si="94"/>
        <v>205.24998237949734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105.32463198593702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105.32463198593702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212.00000000000009</v>
      </c>
      <c r="CU123" s="17">
        <f>CT123*VLOOKUP('Données projet'!$B$13,Paramètres!$A$1:$I$89,3,0)*VLOOKUP('Données projet'!$B$13,Paramètres!$A$1:$I$89,5,0)</f>
        <v>185.20320000000009</v>
      </c>
      <c r="CV123" s="13">
        <f t="shared" si="95"/>
        <v>46.477875402099386</v>
      </c>
      <c r="CW123" s="20">
        <f t="shared" si="67"/>
        <v>403.5112063253232</v>
      </c>
      <c r="CX123" s="59">
        <f t="shared" si="68"/>
        <v>696.84453965865646</v>
      </c>
      <c r="CY123" s="59">
        <f ca="1">AVERAGE(OFFSET($CX$3,0,0,'Données projet'!$E$13+1,1))-AVERAGE(OFFSET($H$3,0,0,'Données projet'!$E$13+1,1))</f>
        <v>207.4513063267579</v>
      </c>
      <c r="CZ123" s="59">
        <f t="shared" si="96"/>
        <v>191.63513530247218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10.050205995516459</v>
      </c>
      <c r="DG123" s="21">
        <f>EXP(-LN(2)/25)*DG122+(1-EXP(-LN(2)/25))/(LN(2)/25)*Calculateur!DB123*Calculateur!DD123*VLOOKUP('Données projet'!$B$13,Paramètres!$A$1:$I$89,3,0)*0.475*44/12</f>
        <v>8.0334932524897376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18.083699248006198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66.814714696519275</v>
      </c>
      <c r="T124" s="59">
        <f t="shared" si="88"/>
        <v>199.56746335788068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6.4015358609288242</v>
      </c>
      <c r="AA124" s="21">
        <f>EXP(-LN(2)/25)*AA123+(1-EXP(-LN(2)/25))/(LN(2)/25)*Calculateur!V124*Calculateur!X124*VLOOKUP('Données projet'!$B$9,Paramètres!$A$1:$I$89,3,0)*0.475*44/12</f>
        <v>0.61388839009896812</v>
      </c>
      <c r="AB124" s="21">
        <f>EXP(-LN(2)/2)*AB123+(1-EXP(-LN(2)/2))/(LN(2)/2)*V124*Y124*VLOOKUP('Données projet'!$B$9,Paramètres!$A$1:$I$89,3,0)*0.475*44/12</f>
        <v>9.0574326223311704E-15</v>
      </c>
      <c r="AC124" s="22">
        <f t="shared" si="57"/>
        <v>7.0154242510278015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367.99999999999972</v>
      </c>
      <c r="AJ124" s="13">
        <f>AI124*VLOOKUP('Données projet'!$B$10,Paramètres!$A$1:$I$89,3,0)*VLOOKUP('Données projet'!$B$10,Paramètres!$A$1:$I$89,5,0)</f>
        <v>292.78079999999977</v>
      </c>
      <c r="AK124" s="13">
        <f t="shared" si="89"/>
        <v>69.660903052386217</v>
      </c>
      <c r="AL124" s="20">
        <f t="shared" si="58"/>
        <v>631.25263281623893</v>
      </c>
      <c r="AM124" s="59">
        <f t="shared" si="59"/>
        <v>924.58596614957219</v>
      </c>
      <c r="AN124" s="59">
        <f ca="1">AVERAGE(OFFSET($AM$3,0,0,'Données projet'!$E$10+1,1))-AVERAGE(OFFSET($H$3,0,0,'Données projet'!$E$10+1,1))</f>
        <v>325.72928944930294</v>
      </c>
      <c r="AO124" s="59">
        <f t="shared" si="90"/>
        <v>318.38876834819752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26.840011110245293</v>
      </c>
      <c r="AV124" s="21">
        <f>EXP(-LN(2)/25)*AV123+(1-EXP(-LN(2)/25))/(LN(2)/25)*Calculateur!AQ124*Calculateur!AS124*VLOOKUP('Données projet'!$B$10,Paramètres!$A$1:$I$89,3,0)*0.475*44/12</f>
        <v>2.2979457095552975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29.137956819800589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268.00000000000023</v>
      </c>
      <c r="BE124" s="13">
        <f>BD124*VLOOKUP('Données projet'!$B$11,Paramètres!$A$1:$I$89,3,0)*VLOOKUP('Données projet'!$B$11,Paramètres!$A$1:$I$89,5,0)</f>
        <v>175.59360000000015</v>
      </c>
      <c r="BF124" s="13">
        <f t="shared" si="91"/>
        <v>44.340433728638573</v>
      </c>
      <c r="BG124" s="20">
        <f t="shared" si="61"/>
        <v>383.05177541071242</v>
      </c>
      <c r="BH124" s="59">
        <f t="shared" si="62"/>
        <v>676.38510874404574</v>
      </c>
      <c r="BI124" s="59">
        <f ca="1">AVERAGE(OFFSET($BH$3,0,0,'Données projet'!$E$11+1,1))-AVERAGE(OFFSET($H$3,0,0,'Données projet'!$E$11+1,1))</f>
        <v>209.40885738157152</v>
      </c>
      <c r="BJ124" s="59">
        <f t="shared" si="92"/>
        <v>230.15385333954697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3.4140681607290806</v>
      </c>
      <c r="BQ124" s="21">
        <f>EXP(-LN(2)/25)*BQ123+(1-EXP(-LN(2)/25))/(LN(2)/25)*Calculateur!BL124*Calculateur!BN124*VLOOKUP('Données projet'!$B$11,Paramètres!$A$1:$I$89,3,0)*0.475*44/12</f>
        <v>6.7280177532053003</v>
      </c>
      <c r="BR124" s="21">
        <f>EXP(-LN(2)/2)*BR123+(1-EXP(-LN(2)/2))/(LN(2)/2)*BL124*BO124*VLOOKUP('Données projet'!$B$11,Paramètres!$A$1:$I$89,3,0)*0.475*44/12</f>
        <v>2.943840137023191E-5</v>
      </c>
      <c r="BS124" s="22">
        <f t="shared" si="63"/>
        <v>10.14211535233575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3.8301282051282044</v>
      </c>
      <c r="BY124" s="12">
        <f>IF('Données projet'!$A$114&gt;35,BY123+BX124-CG123,IF(A124&lt;'Données projet'!$A$114,$BV$205^A124,IF(A124='Données projet'!$A$114,'Données projet'!$B$114,BY123+BX124-CG123)))</f>
        <v>214.97435897435946</v>
      </c>
      <c r="BZ124" s="13">
        <f>BY124*VLOOKUP('Données projet'!$B$12,Paramètres!$A$1:$I$89,3,0)*VLOOKUP('Données projet'!$B$12,Paramètres!$A$1:$I$89,5,0)</f>
        <v>194.50880000000043</v>
      </c>
      <c r="CA124" s="13">
        <f t="shared" si="93"/>
        <v>48.535419780989194</v>
      </c>
      <c r="CB124" s="20">
        <f t="shared" si="64"/>
        <v>423.30201611855699</v>
      </c>
      <c r="CC124" s="59">
        <f t="shared" si="65"/>
        <v>716.63534945189031</v>
      </c>
      <c r="CD124" s="59">
        <f ca="1">AVERAGE(OFFSET($CC$3,0,0,'Données projet'!$E$12+1,1))-AVERAGE(OFFSET($H$3,0,0,'Données projet'!$E$12+1,1))</f>
        <v>270.87836509222456</v>
      </c>
      <c r="CE124" s="59">
        <f t="shared" si="94"/>
        <v>205.24998237949734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103.25928019437497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103.25928019437497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212.00000000000009</v>
      </c>
      <c r="CU124" s="17">
        <f>CT124*VLOOKUP('Données projet'!$B$13,Paramètres!$A$1:$I$89,3,0)*VLOOKUP('Données projet'!$B$13,Paramètres!$A$1:$I$89,5,0)</f>
        <v>185.20320000000009</v>
      </c>
      <c r="CV124" s="13">
        <f t="shared" si="95"/>
        <v>46.477875402099386</v>
      </c>
      <c r="CW124" s="20">
        <f t="shared" si="67"/>
        <v>403.5112063253232</v>
      </c>
      <c r="CX124" s="59">
        <f t="shared" si="68"/>
        <v>696.84453965865646</v>
      </c>
      <c r="CY124" s="59">
        <f ca="1">AVERAGE(OFFSET($CX$3,0,0,'Données projet'!$E$13+1,1))-AVERAGE(OFFSET($H$3,0,0,'Données projet'!$E$13+1,1))</f>
        <v>207.4513063267579</v>
      </c>
      <c r="CZ124" s="59">
        <f t="shared" si="96"/>
        <v>191.63513530247218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9.8531275859647494</v>
      </c>
      <c r="DG124" s="21">
        <f>EXP(-LN(2)/25)*DG123+(1-EXP(-LN(2)/25))/(LN(2)/25)*Calculateur!DB124*Calculateur!DD124*VLOOKUP('Données projet'!$B$13,Paramètres!$A$1:$I$89,3,0)*0.475*44/12</f>
        <v>7.8138169570373561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17.666944543002106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66.814714696519275</v>
      </c>
      <c r="T125" s="59">
        <f t="shared" si="88"/>
        <v>199.56746335788068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6.2760056472473424</v>
      </c>
      <c r="AA125" s="21">
        <f>EXP(-LN(2)/25)*AA124+(1-EXP(-LN(2)/25))/(LN(2)/25)*Calculateur!V125*Calculateur!X125*VLOOKUP('Données projet'!$B$9,Paramètres!$A$1:$I$89,3,0)*0.475*44/12</f>
        <v>0.59710157978872447</v>
      </c>
      <c r="AB125" s="21">
        <f>EXP(-LN(2)/2)*AB124+(1-EXP(-LN(2)/2))/(LN(2)/2)*V125*Y125*VLOOKUP('Données projet'!$B$9,Paramètres!$A$1:$I$89,3,0)*0.475*44/12</f>
        <v>6.4045720273906243E-15</v>
      </c>
      <c r="AC125" s="22">
        <f t="shared" si="57"/>
        <v>6.8731072270360736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367.99999999999972</v>
      </c>
      <c r="AJ125" s="13">
        <f>AI125*VLOOKUP('Données projet'!$B$10,Paramètres!$A$1:$I$89,3,0)*VLOOKUP('Données projet'!$B$10,Paramètres!$A$1:$I$89,5,0)</f>
        <v>292.78079999999977</v>
      </c>
      <c r="AK125" s="13">
        <f t="shared" si="89"/>
        <v>69.660903052386217</v>
      </c>
      <c r="AL125" s="20">
        <f t="shared" si="58"/>
        <v>631.25263281623893</v>
      </c>
      <c r="AM125" s="59">
        <f t="shared" si="59"/>
        <v>924.58596614957219</v>
      </c>
      <c r="AN125" s="59">
        <f ca="1">AVERAGE(OFFSET($AM$3,0,0,'Données projet'!$E$10+1,1))-AVERAGE(OFFSET($H$3,0,0,'Données projet'!$E$10+1,1))</f>
        <v>325.72928944930294</v>
      </c>
      <c r="AO125" s="59">
        <f t="shared" si="90"/>
        <v>318.38876834819752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26.313694863163679</v>
      </c>
      <c r="AV125" s="21">
        <f>EXP(-LN(2)/25)*AV124+(1-EXP(-LN(2)/25))/(LN(2)/25)*Calculateur!AQ125*Calculateur!AS125*VLOOKUP('Données projet'!$B$10,Paramètres!$A$1:$I$89,3,0)*0.475*44/12</f>
        <v>2.2351082632837951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28.548803126447474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268.00000000000023</v>
      </c>
      <c r="BE125" s="13">
        <f>BD125*VLOOKUP('Données projet'!$B$11,Paramètres!$A$1:$I$89,3,0)*VLOOKUP('Données projet'!$B$11,Paramètres!$A$1:$I$89,5,0)</f>
        <v>175.59360000000015</v>
      </c>
      <c r="BF125" s="13">
        <f t="shared" si="91"/>
        <v>44.340433728638573</v>
      </c>
      <c r="BG125" s="20">
        <f t="shared" si="61"/>
        <v>383.05177541071242</v>
      </c>
      <c r="BH125" s="59">
        <f t="shared" si="62"/>
        <v>676.38510874404574</v>
      </c>
      <c r="BI125" s="59">
        <f ca="1">AVERAGE(OFFSET($BH$3,0,0,'Données projet'!$E$11+1,1))-AVERAGE(OFFSET($H$3,0,0,'Données projet'!$E$11+1,1))</f>
        <v>209.40885738157152</v>
      </c>
      <c r="BJ125" s="59">
        <f t="shared" si="92"/>
        <v>230.15385333954697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3.3471203664731437</v>
      </c>
      <c r="BQ125" s="21">
        <f>EXP(-LN(2)/25)*BQ124+(1-EXP(-LN(2)/25))/(LN(2)/25)*Calculateur!BL125*Calculateur!BN125*VLOOKUP('Données projet'!$B$11,Paramètres!$A$1:$I$89,3,0)*0.475*44/12</f>
        <v>6.5440397539328252</v>
      </c>
      <c r="BR125" s="21">
        <f>EXP(-LN(2)/2)*BR124+(1-EXP(-LN(2)/2))/(LN(2)/2)*BL125*BO125*VLOOKUP('Données projet'!$B$11,Paramètres!$A$1:$I$89,3,0)*0.475*44/12</f>
        <v>2.0816093236182337E-5</v>
      </c>
      <c r="BS125" s="22">
        <f t="shared" si="63"/>
        <v>9.8911809364992056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3.8301282051282044</v>
      </c>
      <c r="BY125" s="12">
        <f>IF('Données projet'!$A$114&gt;35,BY124+BX125-CG124,IF(A125&lt;'Données projet'!$A$114,$BV$205^A125,IF(A125='Données projet'!$A$114,'Données projet'!$B$114,BY124+BX125-CG124)))</f>
        <v>218.80448717948767</v>
      </c>
      <c r="BZ125" s="13">
        <f>BY125*VLOOKUP('Données projet'!$B$12,Paramètres!$A$1:$I$89,3,0)*VLOOKUP('Données projet'!$B$12,Paramètres!$A$1:$I$89,5,0)</f>
        <v>197.97430000000043</v>
      </c>
      <c r="CA125" s="13">
        <f t="shared" si="93"/>
        <v>49.298716754178493</v>
      </c>
      <c r="CB125" s="20">
        <f t="shared" si="64"/>
        <v>430.66717084686161</v>
      </c>
      <c r="CC125" s="59">
        <f t="shared" si="65"/>
        <v>724.00050418019487</v>
      </c>
      <c r="CD125" s="59">
        <f ca="1">AVERAGE(OFFSET($CC$3,0,0,'Données projet'!$E$12+1,1))-AVERAGE(OFFSET($H$3,0,0,'Données projet'!$E$12+1,1))</f>
        <v>270.87836509222456</v>
      </c>
      <c r="CE125" s="59">
        <f t="shared" si="94"/>
        <v>205.24998237949734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101.23442869170525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101.23442869170525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212.00000000000009</v>
      </c>
      <c r="CU125" s="17">
        <f>CT125*VLOOKUP('Données projet'!$B$13,Paramètres!$A$1:$I$89,3,0)*VLOOKUP('Données projet'!$B$13,Paramètres!$A$1:$I$89,5,0)</f>
        <v>185.20320000000009</v>
      </c>
      <c r="CV125" s="13">
        <f t="shared" si="95"/>
        <v>46.477875402099386</v>
      </c>
      <c r="CW125" s="20">
        <f t="shared" si="67"/>
        <v>403.5112063253232</v>
      </c>
      <c r="CX125" s="59">
        <f t="shared" si="68"/>
        <v>696.84453965865646</v>
      </c>
      <c r="CY125" s="59">
        <f ca="1">AVERAGE(OFFSET($CX$3,0,0,'Données projet'!$E$13+1,1))-AVERAGE(OFFSET($H$3,0,0,'Données projet'!$E$13+1,1))</f>
        <v>207.4513063267579</v>
      </c>
      <c r="CZ125" s="59">
        <f t="shared" si="96"/>
        <v>191.63513530247218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9.6599137638183876</v>
      </c>
      <c r="DG125" s="21">
        <f>EXP(-LN(2)/25)*DG124+(1-EXP(-LN(2)/25))/(LN(2)/25)*Calculateur!DB125*Calculateur!DD125*VLOOKUP('Données projet'!$B$13,Paramètres!$A$1:$I$89,3,0)*0.475*44/12</f>
        <v>7.6001477214363948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17.260061485254781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66.814714696519275</v>
      </c>
      <c r="T126" s="59">
        <f t="shared" si="88"/>
        <v>199.56746335788068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6.1529370044902851</v>
      </c>
      <c r="AA126" s="21">
        <f>EXP(-LN(2)/25)*AA125+(1-EXP(-LN(2)/25))/(LN(2)/25)*Calculateur!V126*Calculateur!X126*VLOOKUP('Données projet'!$B$9,Paramètres!$A$1:$I$89,3,0)*0.475*44/12</f>
        <v>0.58077380568919446</v>
      </c>
      <c r="AB126" s="21">
        <f>EXP(-LN(2)/2)*AB125+(1-EXP(-LN(2)/2))/(LN(2)/2)*V126*Y126*VLOOKUP('Données projet'!$B$9,Paramètres!$A$1:$I$89,3,0)*0.475*44/12</f>
        <v>4.5287163111655852E-15</v>
      </c>
      <c r="AC126" s="22">
        <f t="shared" si="57"/>
        <v>6.7337108101794838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367.99999999999972</v>
      </c>
      <c r="AJ126" s="13">
        <f>AI126*VLOOKUP('Données projet'!$B$10,Paramètres!$A$1:$I$89,3,0)*VLOOKUP('Données projet'!$B$10,Paramètres!$A$1:$I$89,5,0)</f>
        <v>292.78079999999977</v>
      </c>
      <c r="AK126" s="13">
        <f t="shared" si="89"/>
        <v>69.660903052386217</v>
      </c>
      <c r="AL126" s="20">
        <f t="shared" si="58"/>
        <v>631.25263281623893</v>
      </c>
      <c r="AM126" s="59">
        <f t="shared" si="59"/>
        <v>924.58596614957219</v>
      </c>
      <c r="AN126" s="59">
        <f ca="1">AVERAGE(OFFSET($AM$3,0,0,'Données projet'!$E$10+1,1))-AVERAGE(OFFSET($H$3,0,0,'Données projet'!$E$10+1,1))</f>
        <v>325.72928944930294</v>
      </c>
      <c r="AO126" s="59">
        <f t="shared" si="90"/>
        <v>318.38876834819752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25.797699356666122</v>
      </c>
      <c r="AV126" s="21">
        <f>EXP(-LN(2)/25)*AV125+(1-EXP(-LN(2)/25))/(LN(2)/25)*Calculateur!AQ126*Calculateur!AS126*VLOOKUP('Données projet'!$B$10,Paramètres!$A$1:$I$89,3,0)*0.475*44/12</f>
        <v>2.1739891102850644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27.971688466951186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268.00000000000023</v>
      </c>
      <c r="BE126" s="13">
        <f>BD126*VLOOKUP('Données projet'!$B$11,Paramètres!$A$1:$I$89,3,0)*VLOOKUP('Données projet'!$B$11,Paramètres!$A$1:$I$89,5,0)</f>
        <v>175.59360000000015</v>
      </c>
      <c r="BF126" s="13">
        <f t="shared" si="91"/>
        <v>44.340433728638573</v>
      </c>
      <c r="BG126" s="20">
        <f t="shared" si="61"/>
        <v>383.05177541071242</v>
      </c>
      <c r="BH126" s="59">
        <f t="shared" si="62"/>
        <v>676.38510874404574</v>
      </c>
      <c r="BI126" s="59">
        <f ca="1">AVERAGE(OFFSET($BH$3,0,0,'Données projet'!$E$11+1,1))-AVERAGE(OFFSET($H$3,0,0,'Données projet'!$E$11+1,1))</f>
        <v>209.40885738157152</v>
      </c>
      <c r="BJ126" s="59">
        <f t="shared" si="92"/>
        <v>230.15385333954697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3.2814853776284436</v>
      </c>
      <c r="BQ126" s="21">
        <f>EXP(-LN(2)/25)*BQ125+(1-EXP(-LN(2)/25))/(LN(2)/25)*Calculateur!BL126*Calculateur!BN126*VLOOKUP('Données projet'!$B$11,Paramètres!$A$1:$I$89,3,0)*0.475*44/12</f>
        <v>6.365092642725438</v>
      </c>
      <c r="BR126" s="21">
        <f>EXP(-LN(2)/2)*BR125+(1-EXP(-LN(2)/2))/(LN(2)/2)*BL126*BO126*VLOOKUP('Données projet'!$B$11,Paramètres!$A$1:$I$89,3,0)*0.475*44/12</f>
        <v>1.4719200685115957E-5</v>
      </c>
      <c r="BS126" s="22">
        <f t="shared" si="63"/>
        <v>9.646592739554567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>
        <f>VLOOKUP(A126,'Données projet'!$A$113:$I$133,2,0)</f>
        <v>222.63461538461539</v>
      </c>
      <c r="BW126" s="12">
        <f>VLOOKUP(A126,'Données projet'!$A$113:$I$133,9,0)</f>
        <v>3.8301282051282044</v>
      </c>
      <c r="BX126" s="12">
        <f t="array" ref="BX126">INDEX(BW:BW,MIN(IF(ISNUMBER(BW126:BW322),ROW(BW126:BW322),"")))</f>
        <v>3.8301282051282044</v>
      </c>
      <c r="BY126" s="12">
        <f>IF('Données projet'!$A$114&gt;35,BY125+BX126-CG125,IF(A126&lt;'Données projet'!$A$114,$BV$205^A126,IF(A126='Données projet'!$A$114,'Données projet'!$B$114,BY125+BX126-CG125)))</f>
        <v>222.63461538461587</v>
      </c>
      <c r="BZ126" s="13">
        <f>BY126*VLOOKUP('Données projet'!$B$12,Paramètres!$A$1:$I$89,3,0)*VLOOKUP('Données projet'!$B$12,Paramètres!$A$1:$I$89,5,0)</f>
        <v>201.43980000000045</v>
      </c>
      <c r="CA126" s="13">
        <f t="shared" si="93"/>
        <v>50.06045996470462</v>
      </c>
      <c r="CB126" s="20">
        <f t="shared" si="64"/>
        <v>438.02961943852802</v>
      </c>
      <c r="CC126" s="59">
        <f t="shared" si="65"/>
        <v>731.36295277186127</v>
      </c>
      <c r="CD126" s="59">
        <f ca="1">AVERAGE(OFFSET($CC$3,0,0,'Données projet'!$E$12+1,1))-AVERAGE(OFFSET($H$3,0,0,'Données projet'!$E$12+1,1))</f>
        <v>270.87836509222456</v>
      </c>
      <c r="CE126" s="59">
        <f t="shared" si="94"/>
        <v>205.24998237949734</v>
      </c>
      <c r="CF126" s="15">
        <f>IF(ISNA(VLOOKUP(A126,'Données projet'!$A$113:$I$133,3,0)),0,VLOOKUP(A126,'Données projet'!$A$113:$I$133,3,0))</f>
        <v>12</v>
      </c>
      <c r="CG126" s="15">
        <f>IF(ISNA(VLOOKUP(A126,'Données projet'!$A$113:$I$133,4,0)),0,VLOOKUP(A126,'Données projet'!$A$113:$I$133,4,0))</f>
        <v>77.17307692307692</v>
      </c>
      <c r="CH126" s="16">
        <f>IF(ISNA(VLOOKUP(A126,'Données projet'!$A$113:$I$133,5,0)),0%,VLOOKUP(A126,'Données projet'!$A$113:$I$133,5,0)*VLOOKUP('Données projet'!$B$12,Paramètres!$A$1:$I$89,7,0))</f>
        <v>0.38700000000000001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129.12212127250342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129.12212127250342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212.00000000000009</v>
      </c>
      <c r="CU126" s="17">
        <f>CT126*VLOOKUP('Données projet'!$B$13,Paramètres!$A$1:$I$89,3,0)*VLOOKUP('Données projet'!$B$13,Paramètres!$A$1:$I$89,5,0)</f>
        <v>185.20320000000009</v>
      </c>
      <c r="CV126" s="13">
        <f t="shared" si="95"/>
        <v>46.477875402099386</v>
      </c>
      <c r="CW126" s="20">
        <f t="shared" si="67"/>
        <v>403.5112063253232</v>
      </c>
      <c r="CX126" s="59">
        <f t="shared" si="68"/>
        <v>696.84453965865646</v>
      </c>
      <c r="CY126" s="59">
        <f ca="1">AVERAGE(OFFSET($CX$3,0,0,'Données projet'!$E$13+1,1))-AVERAGE(OFFSET($H$3,0,0,'Données projet'!$E$13+1,1))</f>
        <v>207.4513063267579</v>
      </c>
      <c r="CZ126" s="59">
        <f t="shared" si="96"/>
        <v>191.63513530247218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9.470488746875521</v>
      </c>
      <c r="DG126" s="21">
        <f>EXP(-LN(2)/25)*DG125+(1-EXP(-LN(2)/25))/(LN(2)/25)*Calculateur!DB126*Calculateur!DD126*VLOOKUP('Données projet'!$B$13,Paramètres!$A$1:$I$89,3,0)*0.475*44/12</f>
        <v>7.3923212823193181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16.86281002919484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66.814714696519275</v>
      </c>
      <c r="T127" s="59">
        <f t="shared" si="88"/>
        <v>199.56746335788068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6.032281662753233</v>
      </c>
      <c r="AA127" s="21">
        <f>EXP(-LN(2)/25)*AA126+(1-EXP(-LN(2)/25))/(LN(2)/25)*Calculateur!V127*Calculateur!X127*VLOOKUP('Données projet'!$B$9,Paramètres!$A$1:$I$89,3,0)*0.475*44/12</f>
        <v>0.56489251543105634</v>
      </c>
      <c r="AB127" s="21">
        <f>EXP(-LN(2)/2)*AB126+(1-EXP(-LN(2)/2))/(LN(2)/2)*V127*Y127*VLOOKUP('Données projet'!$B$9,Paramètres!$A$1:$I$89,3,0)*0.475*44/12</f>
        <v>3.2022860136953122E-15</v>
      </c>
      <c r="AC127" s="22">
        <f t="shared" si="57"/>
        <v>6.597174178184293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367.99999999999972</v>
      </c>
      <c r="AJ127" s="13">
        <f>AI127*VLOOKUP('Données projet'!$B$10,Paramètres!$A$1:$I$89,3,0)*VLOOKUP('Données projet'!$B$10,Paramètres!$A$1:$I$89,5,0)</f>
        <v>292.78079999999977</v>
      </c>
      <c r="AK127" s="13">
        <f t="shared" si="89"/>
        <v>69.660903052386217</v>
      </c>
      <c r="AL127" s="20">
        <f t="shared" si="58"/>
        <v>631.25263281623893</v>
      </c>
      <c r="AM127" s="59">
        <f t="shared" si="59"/>
        <v>924.58596614957219</v>
      </c>
      <c r="AN127" s="59">
        <f ca="1">AVERAGE(OFFSET($AM$3,0,0,'Données projet'!$E$10+1,1))-AVERAGE(OFFSET($H$3,0,0,'Données projet'!$E$10+1,1))</f>
        <v>325.72928944930294</v>
      </c>
      <c r="AO127" s="59">
        <f t="shared" si="90"/>
        <v>318.38876834819752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25.291822207324799</v>
      </c>
      <c r="AV127" s="21">
        <f>EXP(-LN(2)/25)*AV126+(1-EXP(-LN(2)/25))/(LN(2)/25)*Calculateur!AQ127*Calculateur!AS127*VLOOKUP('Données projet'!$B$10,Paramètres!$A$1:$I$89,3,0)*0.475*44/12</f>
        <v>2.1145412637392007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27.406363471064001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268.00000000000023</v>
      </c>
      <c r="BE127" s="13">
        <f>BD127*VLOOKUP('Données projet'!$B$11,Paramètres!$A$1:$I$89,3,0)*VLOOKUP('Données projet'!$B$11,Paramètres!$A$1:$I$89,5,0)</f>
        <v>175.59360000000015</v>
      </c>
      <c r="BF127" s="13">
        <f t="shared" si="91"/>
        <v>44.340433728638573</v>
      </c>
      <c r="BG127" s="20">
        <f t="shared" si="61"/>
        <v>383.05177541071242</v>
      </c>
      <c r="BH127" s="59">
        <f t="shared" si="62"/>
        <v>676.38510874404574</v>
      </c>
      <c r="BI127" s="59">
        <f ca="1">AVERAGE(OFFSET($BH$3,0,0,'Données projet'!$E$11+1,1))-AVERAGE(OFFSET($H$3,0,0,'Données projet'!$E$11+1,1))</f>
        <v>209.40885738157152</v>
      </c>
      <c r="BJ127" s="59">
        <f t="shared" si="92"/>
        <v>230.15385333954697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3.2171374508815975</v>
      </c>
      <c r="BQ127" s="21">
        <f>EXP(-LN(2)/25)*BQ126+(1-EXP(-LN(2)/25))/(LN(2)/25)*Calculateur!BL127*Calculateur!BN127*VLOOKUP('Données projet'!$B$11,Paramètres!$A$1:$I$89,3,0)*0.475*44/12</f>
        <v>6.1910388496844364</v>
      </c>
      <c r="BR127" s="21">
        <f>EXP(-LN(2)/2)*BR126+(1-EXP(-LN(2)/2))/(LN(2)/2)*BL127*BO127*VLOOKUP('Données projet'!$B$11,Paramètres!$A$1:$I$89,3,0)*0.475*44/12</f>
        <v>1.040804661809117E-5</v>
      </c>
      <c r="BS127" s="22">
        <f t="shared" si="63"/>
        <v>9.4081867086126518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2.3349358974358978</v>
      </c>
      <c r="BY127" s="12">
        <f>IF('Données projet'!$A$114&gt;35,BY126+BX127-CG126,IF(A127&lt;'Données projet'!$A$114,$BV$205^A127,IF(A127='Données projet'!$A$114,'Données projet'!$B$114,BY126+BX127-CG126)))</f>
        <v>147.79647435897488</v>
      </c>
      <c r="BZ127" s="13">
        <f>BY127*VLOOKUP('Données projet'!$B$12,Paramètres!$A$1:$I$89,3,0)*VLOOKUP('Données projet'!$B$12,Paramètres!$A$1:$I$89,5,0)</f>
        <v>133.72625000000048</v>
      </c>
      <c r="CA127" s="13">
        <f t="shared" si="93"/>
        <v>34.855965018185749</v>
      </c>
      <c r="CB127" s="20">
        <f t="shared" si="64"/>
        <v>293.61402449000764</v>
      </c>
      <c r="CC127" s="59">
        <f t="shared" si="65"/>
        <v>586.94735782334101</v>
      </c>
      <c r="CD127" s="59">
        <f ca="1">AVERAGE(OFFSET($CC$3,0,0,'Données projet'!$E$12+1,1))-AVERAGE(OFFSET($H$3,0,0,'Données projet'!$E$12+1,1))</f>
        <v>270.87836509222456</v>
      </c>
      <c r="CE127" s="59">
        <f t="shared" si="94"/>
        <v>205.24998237949734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126.59011523106703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126.59011523106703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212.00000000000009</v>
      </c>
      <c r="CU127" s="17">
        <f>CT127*VLOOKUP('Données projet'!$B$13,Paramètres!$A$1:$I$89,3,0)*VLOOKUP('Données projet'!$B$13,Paramètres!$A$1:$I$89,5,0)</f>
        <v>185.20320000000009</v>
      </c>
      <c r="CV127" s="13">
        <f t="shared" si="95"/>
        <v>46.477875402099386</v>
      </c>
      <c r="CW127" s="20">
        <f t="shared" si="67"/>
        <v>403.5112063253232</v>
      </c>
      <c r="CX127" s="59">
        <f t="shared" si="68"/>
        <v>696.84453965865646</v>
      </c>
      <c r="CY127" s="59">
        <f ca="1">AVERAGE(OFFSET($CX$3,0,0,'Données projet'!$E$13+1,1))-AVERAGE(OFFSET($H$3,0,0,'Données projet'!$E$13+1,1))</f>
        <v>207.4513063267579</v>
      </c>
      <c r="CZ127" s="59">
        <f t="shared" si="96"/>
        <v>191.63513530247218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9.2847782389770526</v>
      </c>
      <c r="DG127" s="21">
        <f>EXP(-LN(2)/25)*DG126+(1-EXP(-LN(2)/25))/(LN(2)/25)*Calculateur!DB127*Calculateur!DD127*VLOOKUP('Données projet'!$B$13,Paramètres!$A$1:$I$89,3,0)*0.475*44/12</f>
        <v>7.1901778681090152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16.474956107086069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66.814714696519275</v>
      </c>
      <c r="T128" s="59">
        <f t="shared" si="88"/>
        <v>199.56746335788068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5.9139922986751525</v>
      </c>
      <c r="AA128" s="21">
        <f>EXP(-LN(2)/25)*AA127+(1-EXP(-LN(2)/25))/(LN(2)/25)*Calculateur!V128*Calculateur!X128*VLOOKUP('Données projet'!$B$9,Paramètres!$A$1:$I$89,3,0)*0.475*44/12</f>
        <v>0.54944549989018776</v>
      </c>
      <c r="AB128" s="21">
        <f>EXP(-LN(2)/2)*AB127+(1-EXP(-LN(2)/2))/(LN(2)/2)*V128*Y128*VLOOKUP('Données projet'!$B$9,Paramètres!$A$1:$I$89,3,0)*0.475*44/12</f>
        <v>2.2643581555827926E-15</v>
      </c>
      <c r="AC128" s="22">
        <f t="shared" si="57"/>
        <v>6.4634377985653426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367.99999999999972</v>
      </c>
      <c r="AJ128" s="13">
        <f>AI128*VLOOKUP('Données projet'!$B$10,Paramètres!$A$1:$I$89,3,0)*VLOOKUP('Données projet'!$B$10,Paramètres!$A$1:$I$89,5,0)</f>
        <v>292.78079999999977</v>
      </c>
      <c r="AK128" s="13">
        <f t="shared" si="89"/>
        <v>69.660903052386217</v>
      </c>
      <c r="AL128" s="20">
        <f t="shared" si="58"/>
        <v>631.25263281623893</v>
      </c>
      <c r="AM128" s="59">
        <f t="shared" si="59"/>
        <v>924.58596614957219</v>
      </c>
      <c r="AN128" s="59">
        <f ca="1">AVERAGE(OFFSET($AM$3,0,0,'Données projet'!$E$10+1,1))-AVERAGE(OFFSET($H$3,0,0,'Données projet'!$E$10+1,1))</f>
        <v>325.72928944930294</v>
      </c>
      <c r="AO128" s="59">
        <f t="shared" si="90"/>
        <v>318.38876834819752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24.795865000327467</v>
      </c>
      <c r="AV128" s="21">
        <f>EXP(-LN(2)/25)*AV127+(1-EXP(-LN(2)/25))/(LN(2)/25)*Calculateur!AQ128*Calculateur!AS128*VLOOKUP('Données projet'!$B$10,Paramètres!$A$1:$I$89,3,0)*0.475*44/12</f>
        <v>2.0567190216833602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26.852584022010827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268.00000000000023</v>
      </c>
      <c r="BE128" s="13">
        <f>BD128*VLOOKUP('Données projet'!$B$11,Paramètres!$A$1:$I$89,3,0)*VLOOKUP('Données projet'!$B$11,Paramètres!$A$1:$I$89,5,0)</f>
        <v>175.59360000000015</v>
      </c>
      <c r="BF128" s="13">
        <f t="shared" si="91"/>
        <v>44.340433728638573</v>
      </c>
      <c r="BG128" s="20">
        <f t="shared" si="61"/>
        <v>383.05177541071242</v>
      </c>
      <c r="BH128" s="59">
        <f t="shared" si="62"/>
        <v>676.38510874404574</v>
      </c>
      <c r="BI128" s="59">
        <f ca="1">AVERAGE(OFFSET($BH$3,0,0,'Données projet'!$E$11+1,1))-AVERAGE(OFFSET($H$3,0,0,'Données projet'!$E$11+1,1))</f>
        <v>209.40885738157152</v>
      </c>
      <c r="BJ128" s="59">
        <f t="shared" si="92"/>
        <v>230.15385333954697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3.1540513477298973</v>
      </c>
      <c r="BQ128" s="21">
        <f>EXP(-LN(2)/25)*BQ127+(1-EXP(-LN(2)/25))/(LN(2)/25)*Calculateur!BL128*Calculateur!BN128*VLOOKUP('Données projet'!$B$11,Paramètres!$A$1:$I$89,3,0)*0.475*44/12</f>
        <v>6.0217445667672322</v>
      </c>
      <c r="BR128" s="21">
        <f>EXP(-LN(2)/2)*BR127+(1-EXP(-LN(2)/2))/(LN(2)/2)*BL128*BO128*VLOOKUP('Données projet'!$B$11,Paramètres!$A$1:$I$89,3,0)*0.475*44/12</f>
        <v>7.3596003425579791E-6</v>
      </c>
      <c r="BS128" s="22">
        <f t="shared" si="63"/>
        <v>9.175803274097472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2.3349358974358978</v>
      </c>
      <c r="BY128" s="12">
        <f>IF('Données projet'!$A$114&gt;35,BY127+BX128-CG127,IF(A128&lt;'Données projet'!$A$114,$BV$205^A128,IF(A128='Données projet'!$A$114,'Données projet'!$B$114,BY127+BX128-CG127)))</f>
        <v>150.13141025641079</v>
      </c>
      <c r="BZ128" s="13">
        <f>BY128*VLOOKUP('Données projet'!$B$12,Paramètres!$A$1:$I$89,3,0)*VLOOKUP('Données projet'!$B$12,Paramètres!$A$1:$I$89,5,0)</f>
        <v>135.83890000000048</v>
      </c>
      <c r="CA128" s="13">
        <f t="shared" si="93"/>
        <v>35.342088427890417</v>
      </c>
      <c r="CB128" s="20">
        <f t="shared" si="64"/>
        <v>298.14022151190994</v>
      </c>
      <c r="CC128" s="59">
        <f t="shared" si="65"/>
        <v>591.47355484524326</v>
      </c>
      <c r="CD128" s="59">
        <f ca="1">AVERAGE(OFFSET($CC$3,0,0,'Données projet'!$E$12+1,1))-AVERAGE(OFFSET($H$3,0,0,'Données projet'!$E$12+1,1))</f>
        <v>270.87836509222456</v>
      </c>
      <c r="CE128" s="59">
        <f t="shared" si="94"/>
        <v>205.24998237949734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124.10776028373201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124.10776028373201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212.00000000000009</v>
      </c>
      <c r="CU128" s="17">
        <f>CT128*VLOOKUP('Données projet'!$B$13,Paramètres!$A$1:$I$89,3,0)*VLOOKUP('Données projet'!$B$13,Paramètres!$A$1:$I$89,5,0)</f>
        <v>185.20320000000009</v>
      </c>
      <c r="CV128" s="13">
        <f t="shared" si="95"/>
        <v>46.477875402099386</v>
      </c>
      <c r="CW128" s="20">
        <f t="shared" si="67"/>
        <v>403.5112063253232</v>
      </c>
      <c r="CX128" s="59">
        <f t="shared" si="68"/>
        <v>696.84453965865646</v>
      </c>
      <c r="CY128" s="59">
        <f ca="1">AVERAGE(OFFSET($CX$3,0,0,'Données projet'!$E$13+1,1))-AVERAGE(OFFSET($H$3,0,0,'Données projet'!$E$13+1,1))</f>
        <v>207.4513063267579</v>
      </c>
      <c r="CZ128" s="59">
        <f t="shared" si="96"/>
        <v>191.63513530247218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9.1027094008662477</v>
      </c>
      <c r="DG128" s="21">
        <f>EXP(-LN(2)/25)*DG127+(1-EXP(-LN(2)/25))/(LN(2)/25)*Calculateur!DB128*Calculateur!DD128*VLOOKUP('Données projet'!$B$13,Paramètres!$A$1:$I$89,3,0)*0.475*44/12</f>
        <v>6.9935620761905533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16.096271477056803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66.814714696519275</v>
      </c>
      <c r="T129" s="59">
        <f t="shared" si="88"/>
        <v>199.56746335788068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5.7980225168772552</v>
      </c>
      <c r="AA129" s="21">
        <f>EXP(-LN(2)/25)*AA128+(1-EXP(-LN(2)/25))/(LN(2)/25)*Calculateur!V129*Calculateur!X129*VLOOKUP('Données projet'!$B$9,Paramètres!$A$1:$I$89,3,0)*0.475*44/12</f>
        <v>0.53442088380160746</v>
      </c>
      <c r="AB129" s="21">
        <f>EXP(-LN(2)/2)*AB128+(1-EXP(-LN(2)/2))/(LN(2)/2)*V129*Y129*VLOOKUP('Données projet'!$B$9,Paramètres!$A$1:$I$89,3,0)*0.475*44/12</f>
        <v>1.6011430068476561E-15</v>
      </c>
      <c r="AC129" s="22">
        <f t="shared" si="57"/>
        <v>6.3324434006788648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367.99999999999972</v>
      </c>
      <c r="AJ129" s="13">
        <f>AI129*VLOOKUP('Données projet'!$B$10,Paramètres!$A$1:$I$89,3,0)*VLOOKUP('Données projet'!$B$10,Paramètres!$A$1:$I$89,5,0)</f>
        <v>292.78079999999977</v>
      </c>
      <c r="AK129" s="13">
        <f t="shared" si="89"/>
        <v>69.660903052386217</v>
      </c>
      <c r="AL129" s="20">
        <f t="shared" si="58"/>
        <v>631.25263281623893</v>
      </c>
      <c r="AM129" s="59">
        <f t="shared" si="59"/>
        <v>924.58596614957219</v>
      </c>
      <c r="AN129" s="59">
        <f ca="1">AVERAGE(OFFSET($AM$3,0,0,'Données projet'!$E$10+1,1))-AVERAGE(OFFSET($H$3,0,0,'Données projet'!$E$10+1,1))</f>
        <v>325.72928944930294</v>
      </c>
      <c r="AO129" s="59">
        <f t="shared" si="90"/>
        <v>318.38876834819752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24.309633211655328</v>
      </c>
      <c r="AV129" s="21">
        <f>EXP(-LN(2)/25)*AV128+(1-EXP(-LN(2)/25))/(LN(2)/25)*Calculateur!AQ129*Calculateur!AS129*VLOOKUP('Données projet'!$B$10,Paramètres!$A$1:$I$89,3,0)*0.475*44/12</f>
        <v>2.0004779318772759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26.310111143532602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268.00000000000023</v>
      </c>
      <c r="BE129" s="13">
        <f>BD129*VLOOKUP('Données projet'!$B$11,Paramètres!$A$1:$I$89,3,0)*VLOOKUP('Données projet'!$B$11,Paramètres!$A$1:$I$89,5,0)</f>
        <v>175.59360000000015</v>
      </c>
      <c r="BF129" s="13">
        <f t="shared" si="91"/>
        <v>44.340433728638573</v>
      </c>
      <c r="BG129" s="20">
        <f t="shared" si="61"/>
        <v>383.05177541071242</v>
      </c>
      <c r="BH129" s="59">
        <f t="shared" si="62"/>
        <v>676.38510874404574</v>
      </c>
      <c r="BI129" s="59">
        <f ca="1">AVERAGE(OFFSET($BH$3,0,0,'Données projet'!$E$11+1,1))-AVERAGE(OFFSET($H$3,0,0,'Données projet'!$E$11+1,1))</f>
        <v>209.40885738157152</v>
      </c>
      <c r="BJ129" s="59">
        <f t="shared" si="92"/>
        <v>230.15385333954697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3.0922023245822783</v>
      </c>
      <c r="BQ129" s="21">
        <f>EXP(-LN(2)/25)*BQ128+(1-EXP(-LN(2)/25))/(LN(2)/25)*Calculateur!BL129*Calculateur!BN129*VLOOKUP('Données projet'!$B$11,Paramètres!$A$1:$I$89,3,0)*0.475*44/12</f>
        <v>5.8570796449191986</v>
      </c>
      <c r="BR129" s="21">
        <f>EXP(-LN(2)/2)*BR128+(1-EXP(-LN(2)/2))/(LN(2)/2)*BL129*BO129*VLOOKUP('Données projet'!$B$11,Paramètres!$A$1:$I$89,3,0)*0.475*44/12</f>
        <v>5.2040233090455859E-6</v>
      </c>
      <c r="BS129" s="22">
        <f t="shared" si="63"/>
        <v>8.9492871735247856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2.3349358974358978</v>
      </c>
      <c r="BY129" s="12">
        <f>IF('Données projet'!$A$114&gt;35,BY128+BX129-CG128,IF(A129&lt;'Données projet'!$A$114,$BV$205^A129,IF(A129='Données projet'!$A$114,'Données projet'!$B$114,BY128+BX129-CG128)))</f>
        <v>152.4663461538467</v>
      </c>
      <c r="BZ129" s="13">
        <f>BY129*VLOOKUP('Données projet'!$B$12,Paramètres!$A$1:$I$89,3,0)*VLOOKUP('Données projet'!$B$12,Paramètres!$A$1:$I$89,5,0)</f>
        <v>137.95155000000048</v>
      </c>
      <c r="CA129" s="13">
        <f t="shared" si="93"/>
        <v>35.827332555199952</v>
      </c>
      <c r="CB129" s="20">
        <f t="shared" si="64"/>
        <v>302.66488711697406</v>
      </c>
      <c r="CC129" s="59">
        <f t="shared" si="65"/>
        <v>595.99822045030737</v>
      </c>
      <c r="CD129" s="59">
        <f ca="1">AVERAGE(OFFSET($CC$3,0,0,'Données projet'!$E$12+1,1))-AVERAGE(OFFSET($H$3,0,0,'Données projet'!$E$12+1,1))</f>
        <v>270.87836509222456</v>
      </c>
      <c r="CE129" s="59">
        <f t="shared" si="94"/>
        <v>205.24998237949734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121.67408280282721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121.67408280282721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212.00000000000009</v>
      </c>
      <c r="CU129" s="17">
        <f>CT129*VLOOKUP('Données projet'!$B$13,Paramètres!$A$1:$I$89,3,0)*VLOOKUP('Données projet'!$B$13,Paramètres!$A$1:$I$89,5,0)</f>
        <v>185.20320000000009</v>
      </c>
      <c r="CV129" s="13">
        <f t="shared" si="95"/>
        <v>46.477875402099386</v>
      </c>
      <c r="CW129" s="20">
        <f t="shared" si="67"/>
        <v>403.5112063253232</v>
      </c>
      <c r="CX129" s="59">
        <f t="shared" si="68"/>
        <v>696.84453965865646</v>
      </c>
      <c r="CY129" s="59">
        <f ca="1">AVERAGE(OFFSET($CX$3,0,0,'Données projet'!$E$13+1,1))-AVERAGE(OFFSET($H$3,0,0,'Données projet'!$E$13+1,1))</f>
        <v>207.4513063267579</v>
      </c>
      <c r="CZ129" s="59">
        <f t="shared" si="96"/>
        <v>191.63513530247218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8.92421082161977</v>
      </c>
      <c r="DG129" s="21">
        <f>EXP(-LN(2)/25)*DG128+(1-EXP(-LN(2)/25))/(LN(2)/25)*Calculateur!DB129*Calculateur!DD129*VLOOKUP('Données projet'!$B$13,Paramètres!$A$1:$I$89,3,0)*0.475*44/12</f>
        <v>6.8023227534416772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15.726533575061447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66.814714696519275</v>
      </c>
      <c r="T130" s="59">
        <f t="shared" si="88"/>
        <v>199.56746335788068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5.6843268317658326</v>
      </c>
      <c r="AA130" s="21">
        <f>EXP(-LN(2)/25)*AA129+(1-EXP(-LN(2)/25))/(LN(2)/25)*Calculateur!V130*Calculateur!X130*VLOOKUP('Données projet'!$B$9,Paramètres!$A$1:$I$89,3,0)*0.475*44/12</f>
        <v>0.51980711663007961</v>
      </c>
      <c r="AB130" s="21">
        <f>EXP(-LN(2)/2)*AB129+(1-EXP(-LN(2)/2))/(LN(2)/2)*V130*Y130*VLOOKUP('Données projet'!$B$9,Paramètres!$A$1:$I$89,3,0)*0.475*44/12</f>
        <v>1.1321790777913963E-15</v>
      </c>
      <c r="AC130" s="22">
        <f t="shared" si="57"/>
        <v>6.2041339483959135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367.99999999999972</v>
      </c>
      <c r="AJ130" s="13">
        <f>AI130*VLOOKUP('Données projet'!$B$10,Paramètres!$A$1:$I$89,3,0)*VLOOKUP('Données projet'!$B$10,Paramètres!$A$1:$I$89,5,0)</f>
        <v>292.78079999999977</v>
      </c>
      <c r="AK130" s="13">
        <f t="shared" si="89"/>
        <v>69.660903052386217</v>
      </c>
      <c r="AL130" s="20">
        <f t="shared" si="58"/>
        <v>631.25263281623893</v>
      </c>
      <c r="AM130" s="59">
        <f t="shared" si="59"/>
        <v>924.58596614957219</v>
      </c>
      <c r="AN130" s="59">
        <f ca="1">AVERAGE(OFFSET($AM$3,0,0,'Données projet'!$E$10+1,1))-AVERAGE(OFFSET($H$3,0,0,'Données projet'!$E$10+1,1))</f>
        <v>325.72928944930294</v>
      </c>
      <c r="AO130" s="59">
        <f t="shared" si="90"/>
        <v>318.38876834819752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23.832936131786941</v>
      </c>
      <c r="AV130" s="21">
        <f>EXP(-LN(2)/25)*AV129+(1-EXP(-LN(2)/25))/(LN(2)/25)*Calculateur!AQ130*Calculateur!AS130*VLOOKUP('Données projet'!$B$10,Paramètres!$A$1:$I$89,3,0)*0.475*44/12</f>
        <v>1.9457747576295295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25.77871088941647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268.00000000000023</v>
      </c>
      <c r="BE130" s="13">
        <f>BD130*VLOOKUP('Données projet'!$B$11,Paramètres!$A$1:$I$89,3,0)*VLOOKUP('Données projet'!$B$11,Paramètres!$A$1:$I$89,5,0)</f>
        <v>175.59360000000015</v>
      </c>
      <c r="BF130" s="13">
        <f t="shared" si="91"/>
        <v>44.340433728638573</v>
      </c>
      <c r="BG130" s="20">
        <f t="shared" si="61"/>
        <v>383.05177541071242</v>
      </c>
      <c r="BH130" s="59">
        <f t="shared" si="62"/>
        <v>676.38510874404574</v>
      </c>
      <c r="BI130" s="59">
        <f ca="1">AVERAGE(OFFSET($BH$3,0,0,'Données projet'!$E$11+1,1))-AVERAGE(OFFSET($H$3,0,0,'Données projet'!$E$11+1,1))</f>
        <v>209.40885738157152</v>
      </c>
      <c r="BJ130" s="59">
        <f t="shared" si="92"/>
        <v>230.15385333954697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3.0315661230544051</v>
      </c>
      <c r="BQ130" s="21">
        <f>EXP(-LN(2)/25)*BQ129+(1-EXP(-LN(2)/25))/(LN(2)/25)*Calculateur!BL130*Calculateur!BN130*VLOOKUP('Données projet'!$B$11,Paramètres!$A$1:$I$89,3,0)*0.475*44/12</f>
        <v>5.696917494018451</v>
      </c>
      <c r="BR130" s="21">
        <f>EXP(-LN(2)/2)*BR129+(1-EXP(-LN(2)/2))/(LN(2)/2)*BL130*BO130*VLOOKUP('Données projet'!$B$11,Paramètres!$A$1:$I$89,3,0)*0.475*44/12</f>
        <v>3.6798001712789904E-6</v>
      </c>
      <c r="BS130" s="22">
        <f t="shared" si="63"/>
        <v>8.7284872968730269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>
        <f>VLOOKUP(A130,'Données projet'!$A$113:$I$133,2,0)</f>
        <v>154.80128205128204</v>
      </c>
      <c r="BW130" s="12">
        <f>VLOOKUP(A130,'Données projet'!$A$113:$I$133,9,0)</f>
        <v>2.3349358974358978</v>
      </c>
      <c r="BX130" s="12">
        <f t="array" ref="BX130">INDEX(BW:BW,MIN(IF(ISNUMBER(BW130:BW326),ROW(BW130:BW326),"")))</f>
        <v>2.3349358974358978</v>
      </c>
      <c r="BY130" s="12">
        <f>IF('Données projet'!$A$114&gt;35,BY129+BX130-CG129,IF(A130&lt;'Données projet'!$A$114,$BV$205^A130,IF(A130='Données projet'!$A$114,'Données projet'!$B$114,BY129+BX130-CG129)))</f>
        <v>154.80128205128261</v>
      </c>
      <c r="BZ130" s="13">
        <f>BY130*VLOOKUP('Données projet'!$B$12,Paramètres!$A$1:$I$89,3,0)*VLOOKUP('Données projet'!$B$12,Paramètres!$A$1:$I$89,5,0)</f>
        <v>140.06420000000051</v>
      </c>
      <c r="CA130" s="13">
        <f t="shared" si="93"/>
        <v>36.311712421027522</v>
      </c>
      <c r="CB130" s="20">
        <f t="shared" si="64"/>
        <v>307.1880474666238</v>
      </c>
      <c r="CC130" s="59">
        <f t="shared" si="65"/>
        <v>600.52138079995711</v>
      </c>
      <c r="CD130" s="59">
        <f ca="1">AVERAGE(OFFSET($CC$3,0,0,'Données projet'!$E$12+1,1))-AVERAGE(OFFSET($H$3,0,0,'Données projet'!$E$12+1,1))</f>
        <v>270.87836509222456</v>
      </c>
      <c r="CE130" s="59">
        <f t="shared" si="94"/>
        <v>205.24998237949734</v>
      </c>
      <c r="CF130" s="15">
        <f>IF(ISNA(VLOOKUP(A130,'Données projet'!$A$113:$I$133,3,0)),0,VLOOKUP(A130,'Données projet'!$A$113:$I$133,3,0))</f>
        <v>13</v>
      </c>
      <c r="CG130" s="15">
        <f>IF(ISNA(VLOOKUP(A130,'Données projet'!$A$113:$I$133,4,0)),0,VLOOKUP(A130,'Données projet'!$A$113:$I$133,4,0))</f>
        <v>49.916666666666671</v>
      </c>
      <c r="CH130" s="16">
        <f>IF(ISNA(VLOOKUP(A130,'Données projet'!$A$113:$I$133,5,0)),0%,VLOOKUP(A130,'Données projet'!$A$113:$I$133,5,0)*VLOOKUP('Données projet'!$B$12,Paramètres!$A$1:$I$89,7,0))</f>
        <v>0.38700000000000001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138.61031359676292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138.61031359676292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212.00000000000009</v>
      </c>
      <c r="CU130" s="17">
        <f>CT130*VLOOKUP('Données projet'!$B$13,Paramètres!$A$1:$I$89,3,0)*VLOOKUP('Données projet'!$B$13,Paramètres!$A$1:$I$89,5,0)</f>
        <v>185.20320000000009</v>
      </c>
      <c r="CV130" s="13">
        <f t="shared" si="95"/>
        <v>46.477875402099386</v>
      </c>
      <c r="CW130" s="20">
        <f t="shared" si="67"/>
        <v>403.5112063253232</v>
      </c>
      <c r="CX130" s="59">
        <f t="shared" si="68"/>
        <v>696.84453965865646</v>
      </c>
      <c r="CY130" s="59">
        <f ca="1">AVERAGE(OFFSET($CX$3,0,0,'Données projet'!$E$13+1,1))-AVERAGE(OFFSET($H$3,0,0,'Données projet'!$E$13+1,1))</f>
        <v>207.4513063267579</v>
      </c>
      <c r="CZ130" s="59">
        <f t="shared" si="96"/>
        <v>191.63513530247218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8.7492124906389339</v>
      </c>
      <c r="DG130" s="21">
        <f>EXP(-LN(2)/25)*DG129+(1-EXP(-LN(2)/25))/(LN(2)/25)*Calculateur!DB130*Calculateur!DD130*VLOOKUP('Données projet'!$B$13,Paramètres!$A$1:$I$89,3,0)*0.475*44/12</f>
        <v>6.6163128800302076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15.365525370669141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66.814714696519275</v>
      </c>
      <c r="T131" s="59">
        <f t="shared" si="88"/>
        <v>199.56746335788068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5.5728606496919246</v>
      </c>
      <c r="AA131" s="21">
        <f>EXP(-LN(2)/25)*AA130+(1-EXP(-LN(2)/25))/(LN(2)/25)*Calculateur!V131*Calculateur!X131*VLOOKUP('Données projet'!$B$9,Paramètres!$A$1:$I$89,3,0)*0.475*44/12</f>
        <v>0.50559296369036189</v>
      </c>
      <c r="AB131" s="21">
        <f>EXP(-LN(2)/2)*AB130+(1-EXP(-LN(2)/2))/(LN(2)/2)*V131*Y131*VLOOKUP('Données projet'!$B$9,Paramètres!$A$1:$I$89,3,0)*0.475*44/12</f>
        <v>8.0057150342382804E-16</v>
      </c>
      <c r="AC131" s="22">
        <f t="shared" si="57"/>
        <v>6.0784536133822877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367.99999999999972</v>
      </c>
      <c r="AJ131" s="13">
        <f>AI131*VLOOKUP('Données projet'!$B$10,Paramètres!$A$1:$I$89,3,0)*VLOOKUP('Données projet'!$B$10,Paramètres!$A$1:$I$89,5,0)</f>
        <v>292.78079999999977</v>
      </c>
      <c r="AK131" s="13">
        <f t="shared" si="89"/>
        <v>69.660903052386217</v>
      </c>
      <c r="AL131" s="20">
        <f t="shared" si="58"/>
        <v>631.25263281623893</v>
      </c>
      <c r="AM131" s="59">
        <f t="shared" si="59"/>
        <v>924.58596614957219</v>
      </c>
      <c r="AN131" s="59">
        <f ca="1">AVERAGE(OFFSET($AM$3,0,0,'Données projet'!$E$10+1,1))-AVERAGE(OFFSET($H$3,0,0,'Données projet'!$E$10+1,1))</f>
        <v>325.72928944930294</v>
      </c>
      <c r="AO131" s="59">
        <f t="shared" si="90"/>
        <v>318.38876834819752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23.365586790898263</v>
      </c>
      <c r="AV131" s="21">
        <f>EXP(-LN(2)/25)*AV130+(1-EXP(-LN(2)/25))/(LN(2)/25)*Calculateur!AQ131*Calculateur!AS131*VLOOKUP('Données projet'!$B$10,Paramètres!$A$1:$I$89,3,0)*0.475*44/12</f>
        <v>1.8925674445583025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25.258154235456566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268.00000000000023</v>
      </c>
      <c r="BE131" s="13">
        <f>BD131*VLOOKUP('Données projet'!$B$11,Paramètres!$A$1:$I$89,3,0)*VLOOKUP('Données projet'!$B$11,Paramètres!$A$1:$I$89,5,0)</f>
        <v>175.59360000000015</v>
      </c>
      <c r="BF131" s="13">
        <f t="shared" si="91"/>
        <v>44.340433728638573</v>
      </c>
      <c r="BG131" s="20">
        <f t="shared" si="61"/>
        <v>383.05177541071242</v>
      </c>
      <c r="BH131" s="59">
        <f t="shared" si="62"/>
        <v>676.38510874404574</v>
      </c>
      <c r="BI131" s="59">
        <f ca="1">AVERAGE(OFFSET($BH$3,0,0,'Données projet'!$E$11+1,1))-AVERAGE(OFFSET($H$3,0,0,'Données projet'!$E$11+1,1))</f>
        <v>209.40885738157152</v>
      </c>
      <c r="BJ131" s="59">
        <f t="shared" si="92"/>
        <v>230.15385333954697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2.9721189604540625</v>
      </c>
      <c r="BQ131" s="21">
        <f>EXP(-LN(2)/25)*BQ130+(1-EXP(-LN(2)/25))/(LN(2)/25)*Calculateur!BL131*Calculateur!BN131*VLOOKUP('Données projet'!$B$11,Paramètres!$A$1:$I$89,3,0)*0.475*44/12</f>
        <v>5.5411349855566456</v>
      </c>
      <c r="BR131" s="21">
        <f>EXP(-LN(2)/2)*BR130+(1-EXP(-LN(2)/2))/(LN(2)/2)*BL131*BO131*VLOOKUP('Données projet'!$B$11,Paramètres!$A$1:$I$89,3,0)*0.475*44/12</f>
        <v>2.6020116545227933E-6</v>
      </c>
      <c r="BS131" s="22">
        <f t="shared" si="63"/>
        <v>8.5132565480223636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1.5064102564102591</v>
      </c>
      <c r="BY131" s="12">
        <f>IF('Données projet'!$A$114&gt;35,BY130+BX131-CG130,IF(A131&lt;'Données projet'!$A$114,$BV$205^A131,IF(A131='Données projet'!$A$114,'Données projet'!$B$114,BY130+BX131-CG130)))</f>
        <v>106.39102564102619</v>
      </c>
      <c r="BZ131" s="13">
        <f>BY131*VLOOKUP('Données projet'!$B$12,Paramètres!$A$1:$I$89,3,0)*VLOOKUP('Données projet'!$B$12,Paramètres!$A$1:$I$89,5,0)</f>
        <v>96.262600000000489</v>
      </c>
      <c r="CA131" s="13">
        <f t="shared" si="93"/>
        <v>26.069649320395936</v>
      </c>
      <c r="CB131" s="20">
        <f t="shared" si="64"/>
        <v>213.06200089969045</v>
      </c>
      <c r="CC131" s="59">
        <f t="shared" si="65"/>
        <v>506.39533423302373</v>
      </c>
      <c r="CD131" s="59">
        <f ca="1">AVERAGE(OFFSET($CC$3,0,0,'Données projet'!$E$12+1,1))-AVERAGE(OFFSET($H$3,0,0,'Données projet'!$E$12+1,1))</f>
        <v>270.87836509222456</v>
      </c>
      <c r="CE131" s="59">
        <f t="shared" si="94"/>
        <v>205.24998237949734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135.89224989107367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135.89224989107367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212.00000000000009</v>
      </c>
      <c r="CU131" s="17">
        <f>CT131*VLOOKUP('Données projet'!$B$13,Paramètres!$A$1:$I$89,3,0)*VLOOKUP('Données projet'!$B$13,Paramètres!$A$1:$I$89,5,0)</f>
        <v>185.20320000000009</v>
      </c>
      <c r="CV131" s="13">
        <f t="shared" si="95"/>
        <v>46.477875402099386</v>
      </c>
      <c r="CW131" s="20">
        <f t="shared" si="67"/>
        <v>403.5112063253232</v>
      </c>
      <c r="CX131" s="59">
        <f t="shared" si="68"/>
        <v>696.84453965865646</v>
      </c>
      <c r="CY131" s="59">
        <f ca="1">AVERAGE(OFFSET($CX$3,0,0,'Données projet'!$E$13+1,1))-AVERAGE(OFFSET($H$3,0,0,'Données projet'!$E$13+1,1))</f>
        <v>207.4513063267579</v>
      </c>
      <c r="CZ131" s="59">
        <f t="shared" si="96"/>
        <v>191.63513530247218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8.5776457701901894</v>
      </c>
      <c r="DG131" s="21">
        <f>EXP(-LN(2)/25)*DG130+(1-EXP(-LN(2)/25))/(LN(2)/25)*Calculateur!DB131*Calculateur!DD131*VLOOKUP('Données projet'!$B$13,Paramètres!$A$1:$I$89,3,0)*0.475*44/12</f>
        <v>6.4353894563890091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15.013035226579198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66.814714696519275</v>
      </c>
      <c r="T132" s="59">
        <f t="shared" si="88"/>
        <v>199.56746335788068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5.4635802514608285</v>
      </c>
      <c r="AA132" s="21">
        <f>EXP(-LN(2)/25)*AA131+(1-EXP(-LN(2)/25))/(LN(2)/25)*Calculateur!V132*Calculateur!X132*VLOOKUP('Données projet'!$B$9,Paramètres!$A$1:$I$89,3,0)*0.475*44/12</f>
        <v>0.49176749751027055</v>
      </c>
      <c r="AB132" s="21">
        <f>EXP(-LN(2)/2)*AB131+(1-EXP(-LN(2)/2))/(LN(2)/2)*V132*Y132*VLOOKUP('Données projet'!$B$9,Paramètres!$A$1:$I$89,3,0)*0.475*44/12</f>
        <v>5.6608953889569815E-16</v>
      </c>
      <c r="AC132" s="22">
        <f t="shared" ref="AC132:AC153" si="111">SUM(Z132:AB132)</f>
        <v>5.9553477489711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367.99999999999972</v>
      </c>
      <c r="AJ132" s="13">
        <f>AI132*VLOOKUP('Données projet'!$B$10,Paramètres!$A$1:$I$89,3,0)*VLOOKUP('Données projet'!$B$10,Paramètres!$A$1:$I$89,5,0)</f>
        <v>292.78079999999977</v>
      </c>
      <c r="AK132" s="13">
        <f t="shared" si="89"/>
        <v>69.660903052386217</v>
      </c>
      <c r="AL132" s="20">
        <f t="shared" ref="AL132:AL153" si="112">(AJ132+AK132)*0.475*44/12</f>
        <v>631.25263281623893</v>
      </c>
      <c r="AM132" s="59">
        <f t="shared" ref="AM132:AM195" si="113">AL132+(AD132+AE132)*44/12</f>
        <v>924.58596614957219</v>
      </c>
      <c r="AN132" s="59">
        <f ca="1">AVERAGE(OFFSET($AM$3,0,0,'Données projet'!$E$10+1,1))-AVERAGE(OFFSET($H$3,0,0,'Données projet'!$E$10+1,1))</f>
        <v>325.72928944930294</v>
      </c>
      <c r="AO132" s="59">
        <f t="shared" si="90"/>
        <v>318.38876834819752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22.907401885529463</v>
      </c>
      <c r="AV132" s="21">
        <f>EXP(-LN(2)/25)*AV131+(1-EXP(-LN(2)/25))/(LN(2)/25)*Calculateur!AQ132*Calculateur!AS132*VLOOKUP('Données projet'!$B$10,Paramètres!$A$1:$I$89,3,0)*0.475*44/12</f>
        <v>1.8408150882610594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24.748216973790523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268.00000000000023</v>
      </c>
      <c r="BE132" s="13">
        <f>BD132*VLOOKUP('Données projet'!$B$11,Paramètres!$A$1:$I$89,3,0)*VLOOKUP('Données projet'!$B$11,Paramètres!$A$1:$I$89,5,0)</f>
        <v>175.59360000000015</v>
      </c>
      <c r="BF132" s="13">
        <f t="shared" si="91"/>
        <v>44.340433728638573</v>
      </c>
      <c r="BG132" s="20">
        <f t="shared" ref="BG132:BG153" si="115">(BE132+BF132)*0.475*44/12</f>
        <v>383.05177541071242</v>
      </c>
      <c r="BH132" s="59">
        <f t="shared" ref="BH132:BH195" si="116">BG132+(AY132+AZ132)*44/12</f>
        <v>676.38510874404574</v>
      </c>
      <c r="BI132" s="59">
        <f ca="1">AVERAGE(OFFSET($BH$3,0,0,'Données projet'!$E$11+1,1))-AVERAGE(OFFSET($H$3,0,0,'Données projet'!$E$11+1,1))</f>
        <v>209.40885738157152</v>
      </c>
      <c r="BJ132" s="59">
        <f t="shared" si="92"/>
        <v>230.15385333954697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2.9138375204531237</v>
      </c>
      <c r="BQ132" s="21">
        <f>EXP(-LN(2)/25)*BQ131+(1-EXP(-LN(2)/25))/(LN(2)/25)*Calculateur!BL132*Calculateur!BN132*VLOOKUP('Données projet'!$B$11,Paramètres!$A$1:$I$89,3,0)*0.475*44/12</f>
        <v>5.3896123579809743</v>
      </c>
      <c r="BR132" s="21">
        <f>EXP(-LN(2)/2)*BR131+(1-EXP(-LN(2)/2))/(LN(2)/2)*BL132*BO132*VLOOKUP('Données projet'!$B$11,Paramètres!$A$1:$I$89,3,0)*0.475*44/12</f>
        <v>1.8399000856394954E-6</v>
      </c>
      <c r="BS132" s="22">
        <f t="shared" ref="BS132:BS153" si="117">SUM(BP132:BR132)</f>
        <v>8.3034517183341841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1.5064102564102591</v>
      </c>
      <c r="BY132" s="12">
        <f>IF('Données projet'!$A$114&gt;35,BY131+BX132-CG131,IF(A132&lt;'Données projet'!$A$114,$BV$205^A132,IF(A132='Données projet'!$A$114,'Données projet'!$B$114,BY131+BX132-CG131)))</f>
        <v>107.89743589743645</v>
      </c>
      <c r="BZ132" s="13">
        <f>BY132*VLOOKUP('Données projet'!$B$12,Paramètres!$A$1:$I$89,3,0)*VLOOKUP('Données projet'!$B$12,Paramètres!$A$1:$I$89,5,0)</f>
        <v>97.625600000000489</v>
      </c>
      <c r="CA132" s="13">
        <f t="shared" si="93"/>
        <v>26.395540798282454</v>
      </c>
      <c r="CB132" s="20">
        <f t="shared" ref="CB132:CB153" si="118">(BZ132+CA132)*0.475*44/12</f>
        <v>216.00348689034277</v>
      </c>
      <c r="CC132" s="59">
        <f t="shared" ref="CC132:CC195" si="119">CB132+(BT132+BU132)*44/12</f>
        <v>509.33682022367611</v>
      </c>
      <c r="CD132" s="59">
        <f ca="1">AVERAGE(OFFSET($CC$3,0,0,'Données projet'!$E$12+1,1))-AVERAGE(OFFSET($H$3,0,0,'Données projet'!$E$12+1,1))</f>
        <v>270.87836509222456</v>
      </c>
      <c r="CE132" s="59">
        <f t="shared" si="94"/>
        <v>205.24998237949734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133.22748575679782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133.22748575679782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212.00000000000009</v>
      </c>
      <c r="CU132" s="17">
        <f>CT132*VLOOKUP('Données projet'!$B$13,Paramètres!$A$1:$I$89,3,0)*VLOOKUP('Données projet'!$B$13,Paramètres!$A$1:$I$89,5,0)</f>
        <v>185.20320000000009</v>
      </c>
      <c r="CV132" s="13">
        <f t="shared" si="95"/>
        <v>46.477875402099386</v>
      </c>
      <c r="CW132" s="20">
        <f t="shared" ref="CW132:CW153" si="121">(CU132+CV132)*0.475*44/12</f>
        <v>403.5112063253232</v>
      </c>
      <c r="CX132" s="59">
        <f t="shared" ref="CX132:CX195" si="122">CW132+(CO132+CP132)*44/12</f>
        <v>696.84453965865646</v>
      </c>
      <c r="CY132" s="59">
        <f ca="1">AVERAGE(OFFSET($CX$3,0,0,'Données projet'!$E$13+1,1))-AVERAGE(OFFSET($H$3,0,0,'Données projet'!$E$13+1,1))</f>
        <v>207.4513063267579</v>
      </c>
      <c r="CZ132" s="59">
        <f t="shared" si="96"/>
        <v>191.63513530247218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8.4094433684840784</v>
      </c>
      <c r="DG132" s="21">
        <f>EXP(-LN(2)/25)*DG131+(1-EXP(-LN(2)/25))/(LN(2)/25)*Calculateur!DB132*Calculateur!DD132*VLOOKUP('Données projet'!$B$13,Paramètres!$A$1:$I$89,3,0)*0.475*44/12</f>
        <v>6.259413393281628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14.668856761765706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66.814714696519275</v>
      </c>
      <c r="T133" s="59">
        <f t="shared" ref="T133:T196" si="142">$T$3</f>
        <v>199.56746335788068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5.3564427751845827</v>
      </c>
      <c r="AA133" s="21">
        <f>EXP(-LN(2)/25)*AA132+(1-EXP(-LN(2)/25))/(LN(2)/25)*Calculateur!V133*Calculateur!X133*VLOOKUP('Données projet'!$B$9,Paramètres!$A$1:$I$89,3,0)*0.475*44/12</f>
        <v>0.47832008942992343</v>
      </c>
      <c r="AB133" s="21">
        <f>EXP(-LN(2)/2)*AB132+(1-EXP(-LN(2)/2))/(LN(2)/2)*V133*Y133*VLOOKUP('Données projet'!$B$9,Paramètres!$A$1:$I$89,3,0)*0.475*44/12</f>
        <v>4.0028575171191402E-16</v>
      </c>
      <c r="AC133" s="22">
        <f t="shared" si="111"/>
        <v>5.8347628646145058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367.99999999999972</v>
      </c>
      <c r="AJ133" s="13">
        <f>AI133*VLOOKUP('Données projet'!$B$10,Paramètres!$A$1:$I$89,3,0)*VLOOKUP('Données projet'!$B$10,Paramètres!$A$1:$I$89,5,0)</f>
        <v>292.78079999999977</v>
      </c>
      <c r="AK133" s="13">
        <f t="shared" ref="AK133:AK153" si="143">EXP(-1.0587+0.8836*LN(AJ133)+0.284)</f>
        <v>69.660903052386217</v>
      </c>
      <c r="AL133" s="20">
        <f t="shared" si="112"/>
        <v>631.25263281623893</v>
      </c>
      <c r="AM133" s="59">
        <f t="shared" si="113"/>
        <v>924.58596614957219</v>
      </c>
      <c r="AN133" s="59">
        <f ca="1">AVERAGE(OFFSET($AM$3,0,0,'Données projet'!$E$10+1,1))-AVERAGE(OFFSET($H$3,0,0,'Données projet'!$E$10+1,1))</f>
        <v>325.72928944930294</v>
      </c>
      <c r="AO133" s="59">
        <f t="shared" ref="AO133:AO196" si="144">$AO$3</f>
        <v>318.38876834819752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22.458201706689746</v>
      </c>
      <c r="AV133" s="21">
        <f>EXP(-LN(2)/25)*AV132+(1-EXP(-LN(2)/25))/(LN(2)/25)*Calculateur!AQ133*Calculateur!AS133*VLOOKUP('Données projet'!$B$10,Paramètres!$A$1:$I$89,3,0)*0.475*44/12</f>
        <v>1.7904779028683024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24.248679609558049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268.00000000000023</v>
      </c>
      <c r="BE133" s="13">
        <f>BD133*VLOOKUP('Données projet'!$B$11,Paramètres!$A$1:$I$89,3,0)*VLOOKUP('Données projet'!$B$11,Paramètres!$A$1:$I$89,5,0)</f>
        <v>175.59360000000015</v>
      </c>
      <c r="BF133" s="13">
        <f t="shared" ref="BF133:BF153" si="145">EXP(-1.0587+0.8836*LN(BE133)+0.284)</f>
        <v>44.340433728638573</v>
      </c>
      <c r="BG133" s="20">
        <f t="shared" si="115"/>
        <v>383.05177541071242</v>
      </c>
      <c r="BH133" s="59">
        <f t="shared" si="116"/>
        <v>676.38510874404574</v>
      </c>
      <c r="BI133" s="59">
        <f ca="1">AVERAGE(OFFSET($BH$3,0,0,'Données projet'!$E$11+1,1))-AVERAGE(OFFSET($H$3,0,0,'Données projet'!$E$11+1,1))</f>
        <v>209.40885738157152</v>
      </c>
      <c r="BJ133" s="59">
        <f t="shared" ref="BJ133:BJ196" si="146">$BJ$3</f>
        <v>230.15385333954697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2.8566989439424351</v>
      </c>
      <c r="BQ133" s="21">
        <f>EXP(-LN(2)/25)*BQ132+(1-EXP(-LN(2)/25))/(LN(2)/25)*Calculateur!BL133*Calculateur!BN133*VLOOKUP('Données projet'!$B$11,Paramètres!$A$1:$I$89,3,0)*0.475*44/12</f>
        <v>5.2422331246245886</v>
      </c>
      <c r="BR133" s="21">
        <f>EXP(-LN(2)/2)*BR132+(1-EXP(-LN(2)/2))/(LN(2)/2)*BL133*BO133*VLOOKUP('Données projet'!$B$11,Paramètres!$A$1:$I$89,3,0)*0.475*44/12</f>
        <v>1.3010058272613969E-6</v>
      </c>
      <c r="BS133" s="22">
        <f t="shared" si="117"/>
        <v>8.0989333695728511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1.5064102564102591</v>
      </c>
      <c r="BY133" s="12">
        <f>IF('Données projet'!$A$114&gt;35,BY132+BX133-CG132,IF(A133&lt;'Données projet'!$A$114,$BV$205^A133,IF(A133='Données projet'!$A$114,'Données projet'!$B$114,BY132+BX133-CG132)))</f>
        <v>109.40384615384671</v>
      </c>
      <c r="BZ133" s="13">
        <f>BY133*VLOOKUP('Données projet'!$B$12,Paramètres!$A$1:$I$89,3,0)*VLOOKUP('Données projet'!$B$12,Paramètres!$A$1:$I$89,5,0)</f>
        <v>98.988600000000503</v>
      </c>
      <c r="CA133" s="13">
        <f t="shared" ref="CA133:CA153" si="147">EXP(-1.0587+0.8836*LN(BZ133)+0.284)</f>
        <v>26.720903075724102</v>
      </c>
      <c r="CB133" s="20">
        <f t="shared" si="118"/>
        <v>218.94405119022034</v>
      </c>
      <c r="CC133" s="59">
        <f t="shared" si="119"/>
        <v>512.27738452355368</v>
      </c>
      <c r="CD133" s="59">
        <f ca="1">AVERAGE(OFFSET($CC$3,0,0,'Données projet'!$E$12+1,1))-AVERAGE(OFFSET($H$3,0,0,'Données projet'!$E$12+1,1))</f>
        <v>270.87836509222456</v>
      </c>
      <c r="CE133" s="59">
        <f t="shared" ref="CE133:CE196" si="148">$CE$3</f>
        <v>205.24998237949734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130.61497602184949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130.61497602184949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212.00000000000009</v>
      </c>
      <c r="CU133" s="17">
        <f>CT133*VLOOKUP('Données projet'!$B$13,Paramètres!$A$1:$I$89,3,0)*VLOOKUP('Données projet'!$B$13,Paramètres!$A$1:$I$89,5,0)</f>
        <v>185.20320000000009</v>
      </c>
      <c r="CV133" s="13">
        <f t="shared" ref="CV133:CV153" si="149">EXP(-1.0587+0.8836*LN(CU133)+0.284)</f>
        <v>46.477875402099386</v>
      </c>
      <c r="CW133" s="20">
        <f t="shared" si="121"/>
        <v>403.5112063253232</v>
      </c>
      <c r="CX133" s="59">
        <f t="shared" si="122"/>
        <v>696.84453965865646</v>
      </c>
      <c r="CY133" s="59">
        <f ca="1">AVERAGE(OFFSET($CX$3,0,0,'Données projet'!$E$13+1,1))-AVERAGE(OFFSET($H$3,0,0,'Données projet'!$E$13+1,1))</f>
        <v>207.4513063267579</v>
      </c>
      <c r="CZ133" s="59">
        <f t="shared" ref="CZ133:CZ196" si="150">$CZ$3</f>
        <v>191.63513530247218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8.2445393132820879</v>
      </c>
      <c r="DG133" s="21">
        <f>EXP(-LN(2)/25)*DG132+(1-EXP(-LN(2)/25))/(LN(2)/25)*Calculateur!DB133*Calculateur!DD133*VLOOKUP('Données projet'!$B$13,Paramètres!$A$1:$I$89,3,0)*0.475*44/12</f>
        <v>6.088249404874098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14.332788718156186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66.814714696519275</v>
      </c>
      <c r="T134" s="59">
        <f t="shared" si="142"/>
        <v>199.56746335788068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5.251406199470706</v>
      </c>
      <c r="AA134" s="21">
        <f>EXP(-LN(2)/25)*AA133+(1-EXP(-LN(2)/25))/(LN(2)/25)*Calculateur!V134*Calculateur!X134*VLOOKUP('Données projet'!$B$9,Paramètres!$A$1:$I$89,3,0)*0.475*44/12</f>
        <v>0.46524040143070189</v>
      </c>
      <c r="AB134" s="21">
        <f>EXP(-LN(2)/2)*AB133+(1-EXP(-LN(2)/2))/(LN(2)/2)*V134*Y134*VLOOKUP('Données projet'!$B$9,Paramètres!$A$1:$I$89,3,0)*0.475*44/12</f>
        <v>2.8304476944784908E-16</v>
      </c>
      <c r="AC134" s="22">
        <f t="shared" si="111"/>
        <v>5.7166466009014076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367.99999999999972</v>
      </c>
      <c r="AJ134" s="13">
        <f>AI134*VLOOKUP('Données projet'!$B$10,Paramètres!$A$1:$I$89,3,0)*VLOOKUP('Données projet'!$B$10,Paramètres!$A$1:$I$89,5,0)</f>
        <v>292.78079999999977</v>
      </c>
      <c r="AK134" s="13">
        <f t="shared" si="143"/>
        <v>69.660903052386217</v>
      </c>
      <c r="AL134" s="20">
        <f t="shared" si="112"/>
        <v>631.25263281623893</v>
      </c>
      <c r="AM134" s="59">
        <f t="shared" si="113"/>
        <v>924.58596614957219</v>
      </c>
      <c r="AN134" s="59">
        <f ca="1">AVERAGE(OFFSET($AM$3,0,0,'Données projet'!$E$10+1,1))-AVERAGE(OFFSET($H$3,0,0,'Données projet'!$E$10+1,1))</f>
        <v>325.72928944930294</v>
      </c>
      <c r="AO134" s="59">
        <f t="shared" si="144"/>
        <v>318.38876834819752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22.017810069372022</v>
      </c>
      <c r="AV134" s="21">
        <f>EXP(-LN(2)/25)*AV133+(1-EXP(-LN(2)/25))/(LN(2)/25)*Calculateur!AQ134*Calculateur!AS134*VLOOKUP('Données projet'!$B$10,Paramètres!$A$1:$I$89,3,0)*0.475*44/12</f>
        <v>1.741517190457228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23.759327259829249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268.00000000000023</v>
      </c>
      <c r="BE134" s="13">
        <f>BD134*VLOOKUP('Données projet'!$B$11,Paramètres!$A$1:$I$89,3,0)*VLOOKUP('Données projet'!$B$11,Paramètres!$A$1:$I$89,5,0)</f>
        <v>175.59360000000015</v>
      </c>
      <c r="BF134" s="13">
        <f t="shared" si="145"/>
        <v>44.340433728638573</v>
      </c>
      <c r="BG134" s="20">
        <f t="shared" si="115"/>
        <v>383.05177541071242</v>
      </c>
      <c r="BH134" s="59">
        <f t="shared" si="116"/>
        <v>676.38510874404574</v>
      </c>
      <c r="BI134" s="59">
        <f ca="1">AVERAGE(OFFSET($BH$3,0,0,'Données projet'!$E$11+1,1))-AVERAGE(OFFSET($H$3,0,0,'Données projet'!$E$11+1,1))</f>
        <v>209.40885738157152</v>
      </c>
      <c r="BJ134" s="59">
        <f t="shared" si="146"/>
        <v>230.15385333954697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2.8006808200660305</v>
      </c>
      <c r="BQ134" s="21">
        <f>EXP(-LN(2)/25)*BQ133+(1-EXP(-LN(2)/25))/(LN(2)/25)*Calculateur!BL134*Calculateur!BN134*VLOOKUP('Données projet'!$B$11,Paramètres!$A$1:$I$89,3,0)*0.475*44/12</f>
        <v>5.0988839841546705</v>
      </c>
      <c r="BR134" s="21">
        <f>EXP(-LN(2)/2)*BR133+(1-EXP(-LN(2)/2))/(LN(2)/2)*BL134*BO134*VLOOKUP('Données projet'!$B$11,Paramètres!$A$1:$I$89,3,0)*0.475*44/12</f>
        <v>9.1995004281974792E-7</v>
      </c>
      <c r="BS134" s="22">
        <f t="shared" si="117"/>
        <v>7.8995657241707438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>
        <f>VLOOKUP(A134,'Données projet'!$A$113:$I$133,2,0)</f>
        <v>110.91025641025641</v>
      </c>
      <c r="BW134" s="12">
        <f>VLOOKUP(A134,'Données projet'!$A$113:$I$133,9,0)</f>
        <v>1.5064102564102591</v>
      </c>
      <c r="BX134" s="12">
        <f t="array" ref="BX134">INDEX(BW:BW,MIN(IF(ISNUMBER(BW134:BW330),ROW(BW134:BW330),"")))</f>
        <v>1.5064102564102591</v>
      </c>
      <c r="BY134" s="12">
        <f>IF('Données projet'!$A$114&gt;35,BY133+BX134-CG133,IF(A134&lt;'Données projet'!$A$114,$BV$205^A134,IF(A134='Données projet'!$A$114,'Données projet'!$B$114,BY133+BX134-CG133)))</f>
        <v>110.91025641025698</v>
      </c>
      <c r="BZ134" s="13">
        <f>BY134*VLOOKUP('Données projet'!$B$12,Paramètres!$A$1:$I$89,3,0)*VLOOKUP('Données projet'!$B$12,Paramètres!$A$1:$I$89,5,0)</f>
        <v>100.3516000000005</v>
      </c>
      <c r="CA134" s="13">
        <f t="shared" si="147"/>
        <v>27.045744281593826</v>
      </c>
      <c r="CB134" s="20">
        <f t="shared" si="118"/>
        <v>221.88370795711012</v>
      </c>
      <c r="CC134" s="59">
        <f t="shared" si="119"/>
        <v>515.21704129044338</v>
      </c>
      <c r="CD134" s="59">
        <f ca="1">AVERAGE(OFFSET($CC$3,0,0,'Données projet'!$E$12+1,1))-AVERAGE(OFFSET($H$3,0,0,'Données projet'!$E$12+1,1))</f>
        <v>270.87836509222456</v>
      </c>
      <c r="CE134" s="59">
        <f t="shared" si="148"/>
        <v>205.24998237949734</v>
      </c>
      <c r="CF134" s="15">
        <f>IF(ISNA(VLOOKUP(A134,'Données projet'!$A$113:$I$133,3,0)),0,VLOOKUP(A134,'Données projet'!$A$113:$I$133,3,0))</f>
        <v>14</v>
      </c>
      <c r="CG134" s="15">
        <f>IF(ISNA(VLOOKUP(A134,'Données projet'!$A$113:$I$133,4,0)),0,VLOOKUP(A134,'Données projet'!$A$113:$I$133,4,0))</f>
        <v>110.91025641025641</v>
      </c>
      <c r="CH134" s="16">
        <f>IF(ISNA(VLOOKUP(A134,'Données projet'!$A$113:$I$133,5,0)),0%,VLOOKUP(A134,'Données projet'!$A$113:$I$133,5,0)*VLOOKUP('Données projet'!$B$12,Paramètres!$A$1:$I$89,7,0))</f>
        <v>0.38700000000000001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170.98582016742182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170.98582016742182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212.00000000000009</v>
      </c>
      <c r="CU134" s="17">
        <f>CT134*VLOOKUP('Données projet'!$B$13,Paramètres!$A$1:$I$89,3,0)*VLOOKUP('Données projet'!$B$13,Paramètres!$A$1:$I$89,5,0)</f>
        <v>185.20320000000009</v>
      </c>
      <c r="CV134" s="13">
        <f t="shared" si="149"/>
        <v>46.477875402099386</v>
      </c>
      <c r="CW134" s="20">
        <f t="shared" si="121"/>
        <v>403.5112063253232</v>
      </c>
      <c r="CX134" s="59">
        <f t="shared" si="122"/>
        <v>696.84453965865646</v>
      </c>
      <c r="CY134" s="59">
        <f ca="1">AVERAGE(OFFSET($CX$3,0,0,'Données projet'!$E$13+1,1))-AVERAGE(OFFSET($H$3,0,0,'Données projet'!$E$13+1,1))</f>
        <v>207.4513063267579</v>
      </c>
      <c r="CZ134" s="59">
        <f t="shared" si="150"/>
        <v>191.63513530247218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8.0828689260210673</v>
      </c>
      <c r="DG134" s="21">
        <f>EXP(-LN(2)/25)*DG133+(1-EXP(-LN(2)/25))/(LN(2)/25)*Calculateur!DB134*Calculateur!DD134*VLOOKUP('Données projet'!$B$13,Paramètres!$A$1:$I$89,3,0)*0.475*44/12</f>
        <v>5.9217659047306945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14.004634830751762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66.814714696519275</v>
      </c>
      <c r="T135" s="59">
        <f t="shared" si="142"/>
        <v>199.56746335788068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5.148429326940593</v>
      </c>
      <c r="AA135" s="21">
        <f>EXP(-LN(2)/25)*AA134+(1-EXP(-LN(2)/25))/(LN(2)/25)*Calculateur!V135*Calculateur!X135*VLOOKUP('Données projet'!$B$9,Paramètres!$A$1:$I$89,3,0)*0.475*44/12</f>
        <v>0.45251837818764995</v>
      </c>
      <c r="AB135" s="21">
        <f>EXP(-LN(2)/2)*AB134+(1-EXP(-LN(2)/2))/(LN(2)/2)*V135*Y135*VLOOKUP('Données projet'!$B$9,Paramètres!$A$1:$I$89,3,0)*0.475*44/12</f>
        <v>2.0014287585595701E-16</v>
      </c>
      <c r="AC135" s="22">
        <f t="shared" si="111"/>
        <v>5.6009477051282426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367.99999999999972</v>
      </c>
      <c r="AJ135" s="13">
        <f>AI135*VLOOKUP('Données projet'!$B$10,Paramètres!$A$1:$I$89,3,0)*VLOOKUP('Données projet'!$B$10,Paramètres!$A$1:$I$89,5,0)</f>
        <v>292.78079999999977</v>
      </c>
      <c r="AK135" s="13">
        <f t="shared" si="143"/>
        <v>69.660903052386217</v>
      </c>
      <c r="AL135" s="20">
        <f t="shared" si="112"/>
        <v>631.25263281623893</v>
      </c>
      <c r="AM135" s="59">
        <f t="shared" si="113"/>
        <v>924.58596614957219</v>
      </c>
      <c r="AN135" s="59">
        <f ca="1">AVERAGE(OFFSET($AM$3,0,0,'Données projet'!$E$10+1,1))-AVERAGE(OFFSET($H$3,0,0,'Données projet'!$E$10+1,1))</f>
        <v>325.72928944930294</v>
      </c>
      <c r="AO135" s="59">
        <f t="shared" si="144"/>
        <v>318.38876834819752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21.586054243449723</v>
      </c>
      <c r="AV135" s="21">
        <f>EXP(-LN(2)/25)*AV134+(1-EXP(-LN(2)/25))/(LN(2)/25)*Calculateur!AQ135*Calculateur!AS135*VLOOKUP('Données projet'!$B$10,Paramètres!$A$1:$I$89,3,0)*0.475*44/12</f>
        <v>1.6938953113017663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23.279949554751489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268.00000000000023</v>
      </c>
      <c r="BE135" s="13">
        <f>BD135*VLOOKUP('Données projet'!$B$11,Paramètres!$A$1:$I$89,3,0)*VLOOKUP('Données projet'!$B$11,Paramètres!$A$1:$I$89,5,0)</f>
        <v>175.59360000000015</v>
      </c>
      <c r="BF135" s="13">
        <f t="shared" si="145"/>
        <v>44.340433728638573</v>
      </c>
      <c r="BG135" s="20">
        <f t="shared" si="115"/>
        <v>383.05177541071242</v>
      </c>
      <c r="BH135" s="59">
        <f t="shared" si="116"/>
        <v>676.38510874404574</v>
      </c>
      <c r="BI135" s="59">
        <f ca="1">AVERAGE(OFFSET($BH$3,0,0,'Données projet'!$E$11+1,1))-AVERAGE(OFFSET($H$3,0,0,'Données projet'!$E$11+1,1))</f>
        <v>209.40885738157152</v>
      </c>
      <c r="BJ135" s="59">
        <f t="shared" si="146"/>
        <v>230.15385333954697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2.7457611774311603</v>
      </c>
      <c r="BQ135" s="21">
        <f>EXP(-LN(2)/25)*BQ134+(1-EXP(-LN(2)/25))/(LN(2)/25)*Calculateur!BL135*Calculateur!BN135*VLOOKUP('Données projet'!$B$11,Paramètres!$A$1:$I$89,3,0)*0.475*44/12</f>
        <v>4.9594547334693058</v>
      </c>
      <c r="BR135" s="21">
        <f>EXP(-LN(2)/2)*BR134+(1-EXP(-LN(2)/2))/(LN(2)/2)*BL135*BO135*VLOOKUP('Données projet'!$B$11,Paramètres!$A$1:$I$89,3,0)*0.475*44/12</f>
        <v>6.5050291363069855E-7</v>
      </c>
      <c r="BS135" s="22">
        <f t="shared" si="117"/>
        <v>7.7052165614033798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5.6843418860808015E-13</v>
      </c>
      <c r="BZ135" s="13">
        <f>BY135*VLOOKUP('Données projet'!$B$12,Paramètres!$A$1:$I$89,3,0)*VLOOKUP('Données projet'!$B$12,Paramètres!$A$1:$I$89,5,0)</f>
        <v>5.1431925385259092E-13</v>
      </c>
      <c r="CA135" s="13">
        <f t="shared" si="147"/>
        <v>6.3855359115685756E-12</v>
      </c>
      <c r="CB135" s="20">
        <f t="shared" si="118"/>
        <v>1.2017247746441865E-11</v>
      </c>
      <c r="CC135" s="59">
        <f t="shared" si="119"/>
        <v>293.33333333334531</v>
      </c>
      <c r="CD135" s="59">
        <f ca="1">AVERAGE(OFFSET($CC$3,0,0,'Données projet'!$E$12+1,1))-AVERAGE(OFFSET($H$3,0,0,'Données projet'!$E$12+1,1))</f>
        <v>270.87836509222456</v>
      </c>
      <c r="CE135" s="59">
        <f t="shared" si="148"/>
        <v>205.24998237949734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167.63289252499109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167.63289252499109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212.00000000000009</v>
      </c>
      <c r="CU135" s="17">
        <f>CT135*VLOOKUP('Données projet'!$B$13,Paramètres!$A$1:$I$89,3,0)*VLOOKUP('Données projet'!$B$13,Paramètres!$A$1:$I$89,5,0)</f>
        <v>185.20320000000009</v>
      </c>
      <c r="CV135" s="13">
        <f t="shared" si="149"/>
        <v>46.477875402099386</v>
      </c>
      <c r="CW135" s="20">
        <f t="shared" si="121"/>
        <v>403.5112063253232</v>
      </c>
      <c r="CX135" s="59">
        <f t="shared" si="122"/>
        <v>696.84453965865646</v>
      </c>
      <c r="CY135" s="59">
        <f ca="1">AVERAGE(OFFSET($CX$3,0,0,'Données projet'!$E$13+1,1))-AVERAGE(OFFSET($H$3,0,0,'Données projet'!$E$13+1,1))</f>
        <v>207.4513063267579</v>
      </c>
      <c r="CZ135" s="59">
        <f t="shared" si="150"/>
        <v>191.63513530247218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7.9243687964450356</v>
      </c>
      <c r="DG135" s="21">
        <f>EXP(-LN(2)/25)*DG134+(1-EXP(-LN(2)/25))/(LN(2)/25)*Calculateur!DB135*Calculateur!DD135*VLOOKUP('Données projet'!$B$13,Paramètres!$A$1:$I$89,3,0)*0.475*44/12</f>
        <v>5.7598349046536992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13.684203701098735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66.814714696519275</v>
      </c>
      <c r="T136" s="59">
        <f t="shared" si="142"/>
        <v>199.56746335788068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5.0474717680711052</v>
      </c>
      <c r="AA136" s="21">
        <f>EXP(-LN(2)/25)*AA135+(1-EXP(-LN(2)/25))/(LN(2)/25)*Calculateur!V136*Calculateur!X136*VLOOKUP('Données projet'!$B$9,Paramètres!$A$1:$I$89,3,0)*0.475*44/12</f>
        <v>0.44014423933920138</v>
      </c>
      <c r="AB136" s="21">
        <f>EXP(-LN(2)/2)*AB135+(1-EXP(-LN(2)/2))/(LN(2)/2)*V136*Y136*VLOOKUP('Données projet'!$B$9,Paramètres!$A$1:$I$89,3,0)*0.475*44/12</f>
        <v>1.4152238472392454E-16</v>
      </c>
      <c r="AC136" s="22">
        <f t="shared" si="111"/>
        <v>5.4876160074103062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367.99999999999972</v>
      </c>
      <c r="AJ136" s="13">
        <f>AI136*VLOOKUP('Données projet'!$B$10,Paramètres!$A$1:$I$89,3,0)*VLOOKUP('Données projet'!$B$10,Paramètres!$A$1:$I$89,5,0)</f>
        <v>292.78079999999977</v>
      </c>
      <c r="AK136" s="13">
        <f t="shared" si="143"/>
        <v>69.660903052386217</v>
      </c>
      <c r="AL136" s="20">
        <f t="shared" si="112"/>
        <v>631.25263281623893</v>
      </c>
      <c r="AM136" s="59">
        <f t="shared" si="113"/>
        <v>924.58596614957219</v>
      </c>
      <c r="AN136" s="59">
        <f ca="1">AVERAGE(OFFSET($AM$3,0,0,'Données projet'!$E$10+1,1))-AVERAGE(OFFSET($H$3,0,0,'Données projet'!$E$10+1,1))</f>
        <v>325.72928944930294</v>
      </c>
      <c r="AO136" s="59">
        <f t="shared" si="144"/>
        <v>318.38876834819752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21.162764885928709</v>
      </c>
      <c r="AV136" s="21">
        <f>EXP(-LN(2)/25)*AV135+(1-EXP(-LN(2)/25))/(LN(2)/25)*Calculateur!AQ136*Calculateur!AS136*VLOOKUP('Données projet'!$B$10,Paramètres!$A$1:$I$89,3,0)*0.475*44/12</f>
        <v>1.6475756549361364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22.810340540864846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268.00000000000023</v>
      </c>
      <c r="BE136" s="13">
        <f>BD136*VLOOKUP('Données projet'!$B$11,Paramètres!$A$1:$I$89,3,0)*VLOOKUP('Données projet'!$B$11,Paramètres!$A$1:$I$89,5,0)</f>
        <v>175.59360000000015</v>
      </c>
      <c r="BF136" s="13">
        <f t="shared" si="145"/>
        <v>44.340433728638573</v>
      </c>
      <c r="BG136" s="20">
        <f t="shared" si="115"/>
        <v>383.05177541071242</v>
      </c>
      <c r="BH136" s="59">
        <f t="shared" si="116"/>
        <v>676.38510874404574</v>
      </c>
      <c r="BI136" s="59">
        <f ca="1">AVERAGE(OFFSET($BH$3,0,0,'Données projet'!$E$11+1,1))-AVERAGE(OFFSET($H$3,0,0,'Données projet'!$E$11+1,1))</f>
        <v>209.40885738157152</v>
      </c>
      <c r="BJ136" s="59">
        <f t="shared" si="146"/>
        <v>230.15385333954697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2.6919184754906857</v>
      </c>
      <c r="BQ136" s="21">
        <f>EXP(-LN(2)/25)*BQ135+(1-EXP(-LN(2)/25))/(LN(2)/25)*Calculateur!BL136*Calculateur!BN136*VLOOKUP('Données projet'!$B$11,Paramètres!$A$1:$I$89,3,0)*0.475*44/12</f>
        <v>4.823838182976198</v>
      </c>
      <c r="BR136" s="21">
        <f>EXP(-LN(2)/2)*BR135+(1-EXP(-LN(2)/2))/(LN(2)/2)*BL136*BO136*VLOOKUP('Données projet'!$B$11,Paramètres!$A$1:$I$89,3,0)*0.475*44/12</f>
        <v>4.5997502140987401E-7</v>
      </c>
      <c r="BS136" s="22">
        <f t="shared" si="117"/>
        <v>7.5157571184419059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5.6843418860808015E-13</v>
      </c>
      <c r="BZ136" s="13">
        <f>BY136*VLOOKUP('Données projet'!$B$12,Paramètres!$A$1:$I$89,3,0)*VLOOKUP('Données projet'!$B$12,Paramètres!$A$1:$I$89,5,0)</f>
        <v>5.1431925385259092E-13</v>
      </c>
      <c r="CA136" s="13">
        <f t="shared" si="147"/>
        <v>6.3855359115685756E-12</v>
      </c>
      <c r="CB136" s="20">
        <f t="shared" si="118"/>
        <v>1.2017247746441865E-11</v>
      </c>
      <c r="CC136" s="59">
        <f t="shared" si="119"/>
        <v>293.33333333334531</v>
      </c>
      <c r="CD136" s="59">
        <f ca="1">AVERAGE(OFFSET($CC$3,0,0,'Données projet'!$E$12+1,1))-AVERAGE(OFFSET($H$3,0,0,'Données projet'!$E$12+1,1))</f>
        <v>270.87836509222456</v>
      </c>
      <c r="CE136" s="59">
        <f t="shared" si="148"/>
        <v>205.24998237949734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164.34571374854451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164.34571374854451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212.00000000000009</v>
      </c>
      <c r="CU136" s="17">
        <f>CT136*VLOOKUP('Données projet'!$B$13,Paramètres!$A$1:$I$89,3,0)*VLOOKUP('Données projet'!$B$13,Paramètres!$A$1:$I$89,5,0)</f>
        <v>185.20320000000009</v>
      </c>
      <c r="CV136" s="13">
        <f t="shared" si="149"/>
        <v>46.477875402099386</v>
      </c>
      <c r="CW136" s="20">
        <f t="shared" si="121"/>
        <v>403.5112063253232</v>
      </c>
      <c r="CX136" s="59">
        <f t="shared" si="122"/>
        <v>696.84453965865646</v>
      </c>
      <c r="CY136" s="59">
        <f ca="1">AVERAGE(OFFSET($CX$3,0,0,'Données projet'!$E$13+1,1))-AVERAGE(OFFSET($H$3,0,0,'Données projet'!$E$13+1,1))</f>
        <v>207.4513063267579</v>
      </c>
      <c r="CZ136" s="59">
        <f t="shared" si="150"/>
        <v>191.63513530247218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7.7689767577344568</v>
      </c>
      <c r="DG136" s="21">
        <f>EXP(-LN(2)/25)*DG135+(1-EXP(-LN(2)/25))/(LN(2)/25)*Calculateur!DB136*Calculateur!DD136*VLOOKUP('Données projet'!$B$13,Paramètres!$A$1:$I$89,3,0)*0.475*44/12</f>
        <v>5.6023319162893905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13.371308674023847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66.814714696519275</v>
      </c>
      <c r="T137" s="59">
        <f t="shared" si="142"/>
        <v>199.56746335788068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4.9484939253530174</v>
      </c>
      <c r="AA137" s="21">
        <f>EXP(-LN(2)/25)*AA136+(1-EXP(-LN(2)/25))/(LN(2)/25)*Calculateur!V137*Calculateur!X137*VLOOKUP('Données projet'!$B$9,Paramètres!$A$1:$I$89,3,0)*0.475*44/12</f>
        <v>0.42810847196829133</v>
      </c>
      <c r="AB137" s="21">
        <f>EXP(-LN(2)/2)*AB136+(1-EXP(-LN(2)/2))/(LN(2)/2)*V137*Y137*VLOOKUP('Données projet'!$B$9,Paramètres!$A$1:$I$89,3,0)*0.475*44/12</f>
        <v>1.0007143792797851E-16</v>
      </c>
      <c r="AC137" s="22">
        <f t="shared" si="111"/>
        <v>5.3766023973213084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367.99999999999972</v>
      </c>
      <c r="AJ137" s="13">
        <f>AI137*VLOOKUP('Données projet'!$B$10,Paramètres!$A$1:$I$89,3,0)*VLOOKUP('Données projet'!$B$10,Paramètres!$A$1:$I$89,5,0)</f>
        <v>292.78079999999977</v>
      </c>
      <c r="AK137" s="13">
        <f t="shared" si="143"/>
        <v>69.660903052386217</v>
      </c>
      <c r="AL137" s="20">
        <f t="shared" si="112"/>
        <v>631.25263281623893</v>
      </c>
      <c r="AM137" s="59">
        <f t="shared" si="113"/>
        <v>924.58596614957219</v>
      </c>
      <c r="AN137" s="59">
        <f ca="1">AVERAGE(OFFSET($AM$3,0,0,'Données projet'!$E$10+1,1))-AVERAGE(OFFSET($H$3,0,0,'Données projet'!$E$10+1,1))</f>
        <v>325.72928944930294</v>
      </c>
      <c r="AO137" s="59">
        <f t="shared" si="144"/>
        <v>318.38876834819752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20.747775974527666</v>
      </c>
      <c r="AV137" s="21">
        <f>EXP(-LN(2)/25)*AV136+(1-EXP(-LN(2)/25))/(LN(2)/25)*Calculateur!AQ137*Calculateur!AS137*VLOOKUP('Données projet'!$B$10,Paramètres!$A$1:$I$89,3,0)*0.475*44/12</f>
        <v>1.6025226120096696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22.350298586537335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268.00000000000023</v>
      </c>
      <c r="BE137" s="13">
        <f>BD137*VLOOKUP('Données projet'!$B$11,Paramètres!$A$1:$I$89,3,0)*VLOOKUP('Données projet'!$B$11,Paramètres!$A$1:$I$89,5,0)</f>
        <v>175.59360000000015</v>
      </c>
      <c r="BF137" s="13">
        <f t="shared" si="145"/>
        <v>44.340433728638573</v>
      </c>
      <c r="BG137" s="20">
        <f t="shared" si="115"/>
        <v>383.05177541071242</v>
      </c>
      <c r="BH137" s="59">
        <f t="shared" si="116"/>
        <v>676.38510874404574</v>
      </c>
      <c r="BI137" s="59">
        <f ca="1">AVERAGE(OFFSET($BH$3,0,0,'Données projet'!$E$11+1,1))-AVERAGE(OFFSET($H$3,0,0,'Données projet'!$E$11+1,1))</f>
        <v>209.40885738157152</v>
      </c>
      <c r="BJ137" s="59">
        <f t="shared" si="146"/>
        <v>230.15385333954697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2.6391315960944586</v>
      </c>
      <c r="BQ137" s="21">
        <f>EXP(-LN(2)/25)*BQ136+(1-EXP(-LN(2)/25))/(LN(2)/25)*Calculateur!BL137*Calculateur!BN137*VLOOKUP('Données projet'!$B$11,Paramètres!$A$1:$I$89,3,0)*0.475*44/12</f>
        <v>4.6919300741880887</v>
      </c>
      <c r="BR137" s="21">
        <f>EXP(-LN(2)/2)*BR136+(1-EXP(-LN(2)/2))/(LN(2)/2)*BL137*BO137*VLOOKUP('Données projet'!$B$11,Paramètres!$A$1:$I$89,3,0)*0.475*44/12</f>
        <v>3.2525145681534933E-7</v>
      </c>
      <c r="BS137" s="22">
        <f t="shared" si="117"/>
        <v>7.3310619955340046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5.6843418860808015E-13</v>
      </c>
      <c r="BZ137" s="13">
        <f>BY137*VLOOKUP('Données projet'!$B$12,Paramètres!$A$1:$I$89,3,0)*VLOOKUP('Données projet'!$B$12,Paramètres!$A$1:$I$89,5,0)</f>
        <v>5.1431925385259092E-13</v>
      </c>
      <c r="CA137" s="13">
        <f t="shared" si="147"/>
        <v>6.3855359115685756E-12</v>
      </c>
      <c r="CB137" s="20">
        <f t="shared" si="118"/>
        <v>1.2017247746441865E-11</v>
      </c>
      <c r="CC137" s="59">
        <f t="shared" si="119"/>
        <v>293.33333333334531</v>
      </c>
      <c r="CD137" s="59">
        <f ca="1">AVERAGE(OFFSET($CC$3,0,0,'Données projet'!$E$12+1,1))-AVERAGE(OFFSET($H$3,0,0,'Données projet'!$E$12+1,1))</f>
        <v>270.87836509222456</v>
      </c>
      <c r="CE137" s="59">
        <f t="shared" si="148"/>
        <v>205.24998237949734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161.12299454292295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161.12299454292295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212.00000000000009</v>
      </c>
      <c r="CU137" s="17">
        <f>CT137*VLOOKUP('Données projet'!$B$13,Paramètres!$A$1:$I$89,3,0)*VLOOKUP('Données projet'!$B$13,Paramètres!$A$1:$I$89,5,0)</f>
        <v>185.20320000000009</v>
      </c>
      <c r="CV137" s="13">
        <f t="shared" si="149"/>
        <v>46.477875402099386</v>
      </c>
      <c r="CW137" s="20">
        <f t="shared" si="121"/>
        <v>403.5112063253232</v>
      </c>
      <c r="CX137" s="59">
        <f t="shared" si="122"/>
        <v>696.84453965865646</v>
      </c>
      <c r="CY137" s="59">
        <f ca="1">AVERAGE(OFFSET($CX$3,0,0,'Données projet'!$E$13+1,1))-AVERAGE(OFFSET($H$3,0,0,'Données projet'!$E$13+1,1))</f>
        <v>207.4513063267579</v>
      </c>
      <c r="CZ137" s="59">
        <f t="shared" si="150"/>
        <v>191.63513530247218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7.6166318621232074</v>
      </c>
      <c r="DG137" s="21">
        <f>EXP(-LN(2)/25)*DG136+(1-EXP(-LN(2)/25))/(LN(2)/25)*Calculateur!DB137*Calculateur!DD137*VLOOKUP('Données projet'!$B$13,Paramètres!$A$1:$I$89,3,0)*0.475*44/12</f>
        <v>5.4491358554246263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13.065767717547834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66.814714696519275</v>
      </c>
      <c r="T138" s="59">
        <f t="shared" si="142"/>
        <v>199.56746335788068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4.8514569777601082</v>
      </c>
      <c r="AA138" s="21">
        <f>EXP(-LN(2)/25)*AA137+(1-EXP(-LN(2)/25))/(LN(2)/25)*Calculateur!V138*Calculateur!X138*VLOOKUP('Données projet'!$B$9,Paramètres!$A$1:$I$89,3,0)*0.475*44/12</f>
        <v>0.41640182328907233</v>
      </c>
      <c r="AB138" s="21">
        <f>EXP(-LN(2)/2)*AB137+(1-EXP(-LN(2)/2))/(LN(2)/2)*V138*Y138*VLOOKUP('Données projet'!$B$9,Paramètres!$A$1:$I$89,3,0)*0.475*44/12</f>
        <v>7.0761192361962269E-17</v>
      </c>
      <c r="AC138" s="22">
        <f t="shared" si="111"/>
        <v>5.2678588010491803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367.99999999999972</v>
      </c>
      <c r="AJ138" s="13">
        <f>AI138*VLOOKUP('Données projet'!$B$10,Paramètres!$A$1:$I$89,3,0)*VLOOKUP('Données projet'!$B$10,Paramètres!$A$1:$I$89,5,0)</f>
        <v>292.78079999999977</v>
      </c>
      <c r="AK138" s="13">
        <f t="shared" si="143"/>
        <v>69.660903052386217</v>
      </c>
      <c r="AL138" s="20">
        <f t="shared" si="112"/>
        <v>631.25263281623893</v>
      </c>
      <c r="AM138" s="59">
        <f t="shared" si="113"/>
        <v>924.58596614957219</v>
      </c>
      <c r="AN138" s="59">
        <f ca="1">AVERAGE(OFFSET($AM$3,0,0,'Données projet'!$E$10+1,1))-AVERAGE(OFFSET($H$3,0,0,'Données projet'!$E$10+1,1))</f>
        <v>325.72928944930294</v>
      </c>
      <c r="AO138" s="59">
        <f t="shared" si="144"/>
        <v>318.38876834819752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20.340924742560958</v>
      </c>
      <c r="AV138" s="21">
        <f>EXP(-LN(2)/25)*AV137+(1-EXP(-LN(2)/25))/(LN(2)/25)*Calculateur!AQ138*Calculateur!AS138*VLOOKUP('Données projet'!$B$10,Paramètres!$A$1:$I$89,3,0)*0.475*44/12</f>
        <v>1.5587015469112637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21.89962628947222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268.00000000000023</v>
      </c>
      <c r="BE138" s="13">
        <f>BD138*VLOOKUP('Données projet'!$B$11,Paramètres!$A$1:$I$89,3,0)*VLOOKUP('Données projet'!$B$11,Paramètres!$A$1:$I$89,5,0)</f>
        <v>175.59360000000015</v>
      </c>
      <c r="BF138" s="13">
        <f t="shared" si="145"/>
        <v>44.340433728638573</v>
      </c>
      <c r="BG138" s="20">
        <f t="shared" si="115"/>
        <v>383.05177541071242</v>
      </c>
      <c r="BH138" s="59">
        <f t="shared" si="116"/>
        <v>676.38510874404574</v>
      </c>
      <c r="BI138" s="59">
        <f ca="1">AVERAGE(OFFSET($BH$3,0,0,'Données projet'!$E$11+1,1))-AVERAGE(OFFSET($H$3,0,0,'Données projet'!$E$11+1,1))</f>
        <v>209.40885738157152</v>
      </c>
      <c r="BJ138" s="59">
        <f t="shared" si="146"/>
        <v>230.15385333954697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2.5873798352063742</v>
      </c>
      <c r="BQ138" s="21">
        <f>EXP(-LN(2)/25)*BQ137+(1-EXP(-LN(2)/25))/(LN(2)/25)*Calculateur!BL138*Calculateur!BN138*VLOOKUP('Données projet'!$B$11,Paramètres!$A$1:$I$89,3,0)*0.475*44/12</f>
        <v>4.5636289995715362</v>
      </c>
      <c r="BR138" s="21">
        <f>EXP(-LN(2)/2)*BR137+(1-EXP(-LN(2)/2))/(LN(2)/2)*BL138*BO138*VLOOKUP('Données projet'!$B$11,Paramètres!$A$1:$I$89,3,0)*0.475*44/12</f>
        <v>2.2998751070493703E-7</v>
      </c>
      <c r="BS138" s="22">
        <f t="shared" si="117"/>
        <v>7.1510090647654208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5.6843418860808015E-13</v>
      </c>
      <c r="BZ138" s="13">
        <f>BY138*VLOOKUP('Données projet'!$B$12,Paramètres!$A$1:$I$89,3,0)*VLOOKUP('Données projet'!$B$12,Paramètres!$A$1:$I$89,5,0)</f>
        <v>5.1431925385259092E-13</v>
      </c>
      <c r="CA138" s="13">
        <f t="shared" si="147"/>
        <v>6.3855359115685756E-12</v>
      </c>
      <c r="CB138" s="20">
        <f t="shared" si="118"/>
        <v>1.2017247746441865E-11</v>
      </c>
      <c r="CC138" s="59">
        <f t="shared" si="119"/>
        <v>293.33333333334531</v>
      </c>
      <c r="CD138" s="59">
        <f ca="1">AVERAGE(OFFSET($CC$3,0,0,'Données projet'!$E$12+1,1))-AVERAGE(OFFSET($H$3,0,0,'Données projet'!$E$12+1,1))</f>
        <v>270.87836509222456</v>
      </c>
      <c r="CE138" s="59">
        <f t="shared" si="148"/>
        <v>205.24998237949734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157.96347089525904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157.96347089525904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212.00000000000009</v>
      </c>
      <c r="CU138" s="17">
        <f>CT138*VLOOKUP('Données projet'!$B$13,Paramètres!$A$1:$I$89,3,0)*VLOOKUP('Données projet'!$B$13,Paramètres!$A$1:$I$89,5,0)</f>
        <v>185.20320000000009</v>
      </c>
      <c r="CV138" s="13">
        <f t="shared" si="149"/>
        <v>46.477875402099386</v>
      </c>
      <c r="CW138" s="20">
        <f t="shared" si="121"/>
        <v>403.5112063253232</v>
      </c>
      <c r="CX138" s="59">
        <f t="shared" si="122"/>
        <v>696.84453965865646</v>
      </c>
      <c r="CY138" s="59">
        <f ca="1">AVERAGE(OFFSET($CX$3,0,0,'Données projet'!$E$13+1,1))-AVERAGE(OFFSET($H$3,0,0,'Données projet'!$E$13+1,1))</f>
        <v>207.4513063267579</v>
      </c>
      <c r="CZ138" s="59">
        <f t="shared" si="150"/>
        <v>191.63513530247218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7.4672743569936841</v>
      </c>
      <c r="DG138" s="21">
        <f>EXP(-LN(2)/25)*DG137+(1-EXP(-LN(2)/25))/(LN(2)/25)*Calculateur!DB138*Calculateur!DD138*VLOOKUP('Données projet'!$B$13,Paramètres!$A$1:$I$89,3,0)*0.475*44/12</f>
        <v>5.3001289489004391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12.767403305894124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66.814714696519275</v>
      </c>
      <c r="T139" s="59">
        <f t="shared" si="142"/>
        <v>199.56746335788068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4.7563228655228027</v>
      </c>
      <c r="AA139" s="21">
        <f>EXP(-LN(2)/25)*AA138+(1-EXP(-LN(2)/25))/(LN(2)/25)*Calculateur!V139*Calculateur!X139*VLOOKUP('Données projet'!$B$9,Paramètres!$A$1:$I$89,3,0)*0.475*44/12</f>
        <v>0.40501529353361243</v>
      </c>
      <c r="AB139" s="21">
        <f>EXP(-LN(2)/2)*AB138+(1-EXP(-LN(2)/2))/(LN(2)/2)*V139*Y139*VLOOKUP('Données projet'!$B$9,Paramètres!$A$1:$I$89,3,0)*0.475*44/12</f>
        <v>5.0035718963989253E-17</v>
      </c>
      <c r="AC139" s="22">
        <f t="shared" si="111"/>
        <v>5.1613381590564149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367.99999999999972</v>
      </c>
      <c r="AJ139" s="13">
        <f>AI139*VLOOKUP('Données projet'!$B$10,Paramètres!$A$1:$I$89,3,0)*VLOOKUP('Données projet'!$B$10,Paramètres!$A$1:$I$89,5,0)</f>
        <v>292.78079999999977</v>
      </c>
      <c r="AK139" s="13">
        <f t="shared" si="143"/>
        <v>69.660903052386217</v>
      </c>
      <c r="AL139" s="20">
        <f t="shared" si="112"/>
        <v>631.25263281623893</v>
      </c>
      <c r="AM139" s="59">
        <f t="shared" si="113"/>
        <v>924.58596614957219</v>
      </c>
      <c r="AN139" s="59">
        <f ca="1">AVERAGE(OFFSET($AM$3,0,0,'Données projet'!$E$10+1,1))-AVERAGE(OFFSET($H$3,0,0,'Données projet'!$E$10+1,1))</f>
        <v>325.72928944930294</v>
      </c>
      <c r="AO139" s="59">
        <f t="shared" si="144"/>
        <v>318.38876834819752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19.942051615098368</v>
      </c>
      <c r="AV139" s="21">
        <f>EXP(-LN(2)/25)*AV138+(1-EXP(-LN(2)/25))/(LN(2)/25)*Calculateur!AQ139*Calculateur!AS139*VLOOKUP('Données projet'!$B$10,Paramètres!$A$1:$I$89,3,0)*0.475*44/12</f>
        <v>1.5160787711424233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21.458130386240793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268.00000000000023</v>
      </c>
      <c r="BE139" s="13">
        <f>BD139*VLOOKUP('Données projet'!$B$11,Paramètres!$A$1:$I$89,3,0)*VLOOKUP('Données projet'!$B$11,Paramètres!$A$1:$I$89,5,0)</f>
        <v>175.59360000000015</v>
      </c>
      <c r="BF139" s="13">
        <f t="shared" si="145"/>
        <v>44.340433728638573</v>
      </c>
      <c r="BG139" s="20">
        <f t="shared" si="115"/>
        <v>383.05177541071242</v>
      </c>
      <c r="BH139" s="59">
        <f t="shared" si="116"/>
        <v>676.38510874404574</v>
      </c>
      <c r="BI139" s="59">
        <f ca="1">AVERAGE(OFFSET($BH$3,0,0,'Données projet'!$E$11+1,1))-AVERAGE(OFFSET($H$3,0,0,'Données projet'!$E$11+1,1))</f>
        <v>209.40885738157152</v>
      </c>
      <c r="BJ139" s="59">
        <f t="shared" si="146"/>
        <v>230.15385333954697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2.5366428947838475</v>
      </c>
      <c r="BQ139" s="21">
        <f>EXP(-LN(2)/25)*BQ138+(1-EXP(-LN(2)/25))/(LN(2)/25)*Calculateur!BL139*Calculateur!BN139*VLOOKUP('Données projet'!$B$11,Paramètres!$A$1:$I$89,3,0)*0.475*44/12</f>
        <v>4.4388363245874336</v>
      </c>
      <c r="BR139" s="21">
        <f>EXP(-LN(2)/2)*BR138+(1-EXP(-LN(2)/2))/(LN(2)/2)*BL139*BO139*VLOOKUP('Données projet'!$B$11,Paramètres!$A$1:$I$89,3,0)*0.475*44/12</f>
        <v>1.6262572840767469E-7</v>
      </c>
      <c r="BS139" s="22">
        <f t="shared" si="117"/>
        <v>6.9754793819970091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5.6843418860808015E-13</v>
      </c>
      <c r="BZ139" s="13">
        <f>BY139*VLOOKUP('Données projet'!$B$12,Paramètres!$A$1:$I$89,3,0)*VLOOKUP('Données projet'!$B$12,Paramètres!$A$1:$I$89,5,0)</f>
        <v>5.1431925385259092E-13</v>
      </c>
      <c r="CA139" s="13">
        <f t="shared" si="147"/>
        <v>6.3855359115685756E-12</v>
      </c>
      <c r="CB139" s="20">
        <f t="shared" si="118"/>
        <v>1.2017247746441865E-11</v>
      </c>
      <c r="CC139" s="59">
        <f t="shared" si="119"/>
        <v>293.33333333334531</v>
      </c>
      <c r="CD139" s="59">
        <f ca="1">AVERAGE(OFFSET($CC$3,0,0,'Données projet'!$E$12+1,1))-AVERAGE(OFFSET($H$3,0,0,'Données projet'!$E$12+1,1))</f>
        <v>270.87836509222456</v>
      </c>
      <c r="CE139" s="59">
        <f t="shared" si="148"/>
        <v>205.24998237949734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154.86590357920664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154.86590357920664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212.00000000000009</v>
      </c>
      <c r="CU139" s="17">
        <f>CT139*VLOOKUP('Données projet'!$B$13,Paramètres!$A$1:$I$89,3,0)*VLOOKUP('Données projet'!$B$13,Paramètres!$A$1:$I$89,5,0)</f>
        <v>185.20320000000009</v>
      </c>
      <c r="CV139" s="13">
        <f t="shared" si="149"/>
        <v>46.477875402099386</v>
      </c>
      <c r="CW139" s="20">
        <f t="shared" si="121"/>
        <v>403.5112063253232</v>
      </c>
      <c r="CX139" s="59">
        <f t="shared" si="122"/>
        <v>696.84453965865646</v>
      </c>
      <c r="CY139" s="59">
        <f ca="1">AVERAGE(OFFSET($CX$3,0,0,'Données projet'!$E$13+1,1))-AVERAGE(OFFSET($H$3,0,0,'Données projet'!$E$13+1,1))</f>
        <v>207.4513063267579</v>
      </c>
      <c r="CZ139" s="59">
        <f t="shared" si="150"/>
        <v>191.63513530247218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7.3208456614406678</v>
      </c>
      <c r="DG139" s="21">
        <f>EXP(-LN(2)/25)*DG138+(1-EXP(-LN(2)/25))/(LN(2)/25)*Calculateur!DB139*Calculateur!DD139*VLOOKUP('Données projet'!$B$13,Paramètres!$A$1:$I$89,3,0)*0.475*44/12</f>
        <v>5.155196644071089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12.476042305511758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66.814714696519275</v>
      </c>
      <c r="T140" s="59">
        <f t="shared" si="142"/>
        <v>199.56746335788068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4.6630542752003912</v>
      </c>
      <c r="AA140" s="21">
        <f>EXP(-LN(2)/25)*AA139+(1-EXP(-LN(2)/25))/(LN(2)/25)*Calculateur!V140*Calculateur!X140*VLOOKUP('Données projet'!$B$9,Paramètres!$A$1:$I$89,3,0)*0.475*44/12</f>
        <v>0.39394012903310721</v>
      </c>
      <c r="AB140" s="21">
        <f>EXP(-LN(2)/2)*AB139+(1-EXP(-LN(2)/2))/(LN(2)/2)*V140*Y140*VLOOKUP('Données projet'!$B$9,Paramètres!$A$1:$I$89,3,0)*0.475*44/12</f>
        <v>3.5380596180981134E-17</v>
      </c>
      <c r="AC140" s="22">
        <f t="shared" si="111"/>
        <v>5.0569944042334987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367.99999999999972</v>
      </c>
      <c r="AJ140" s="13">
        <f>AI140*VLOOKUP('Données projet'!$B$10,Paramètres!$A$1:$I$89,3,0)*VLOOKUP('Données projet'!$B$10,Paramètres!$A$1:$I$89,5,0)</f>
        <v>292.78079999999977</v>
      </c>
      <c r="AK140" s="13">
        <f t="shared" si="143"/>
        <v>69.660903052386217</v>
      </c>
      <c r="AL140" s="20">
        <f t="shared" si="112"/>
        <v>631.25263281623893</v>
      </c>
      <c r="AM140" s="59">
        <f t="shared" si="113"/>
        <v>924.58596614957219</v>
      </c>
      <c r="AN140" s="59">
        <f ca="1">AVERAGE(OFFSET($AM$3,0,0,'Données projet'!$E$10+1,1))-AVERAGE(OFFSET($H$3,0,0,'Données projet'!$E$10+1,1))</f>
        <v>325.72928944930294</v>
      </c>
      <c r="AO140" s="59">
        <f t="shared" si="144"/>
        <v>318.38876834819752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19.551000146376733</v>
      </c>
      <c r="AV140" s="21">
        <f>EXP(-LN(2)/25)*AV139+(1-EXP(-LN(2)/25))/(LN(2)/25)*Calculateur!AQ140*Calculateur!AS140*VLOOKUP('Données projet'!$B$10,Paramètres!$A$1:$I$89,3,0)*0.475*44/12</f>
        <v>1.4746215174184163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21.02562166379515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268.00000000000023</v>
      </c>
      <c r="BE140" s="13">
        <f>BD140*VLOOKUP('Données projet'!$B$11,Paramètres!$A$1:$I$89,3,0)*VLOOKUP('Données projet'!$B$11,Paramètres!$A$1:$I$89,5,0)</f>
        <v>175.59360000000015</v>
      </c>
      <c r="BF140" s="13">
        <f t="shared" si="145"/>
        <v>44.340433728638573</v>
      </c>
      <c r="BG140" s="20">
        <f t="shared" si="115"/>
        <v>383.05177541071242</v>
      </c>
      <c r="BH140" s="59">
        <f t="shared" si="116"/>
        <v>676.38510874404574</v>
      </c>
      <c r="BI140" s="59">
        <f ca="1">AVERAGE(OFFSET($BH$3,0,0,'Données projet'!$E$11+1,1))-AVERAGE(OFFSET($H$3,0,0,'Données projet'!$E$11+1,1))</f>
        <v>209.40885738157152</v>
      </c>
      <c r="BJ140" s="59">
        <f t="shared" si="146"/>
        <v>230.15385333954697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2.4869008748165289</v>
      </c>
      <c r="BQ140" s="21">
        <f>EXP(-LN(2)/25)*BQ139+(1-EXP(-LN(2)/25))/(LN(2)/25)*Calculateur!BL140*Calculateur!BN140*VLOOKUP('Données projet'!$B$11,Paramètres!$A$1:$I$89,3,0)*0.475*44/12</f>
        <v>4.3174561118633328</v>
      </c>
      <c r="BR140" s="21">
        <f>EXP(-LN(2)/2)*BR139+(1-EXP(-LN(2)/2))/(LN(2)/2)*BL140*BO140*VLOOKUP('Données projet'!$B$11,Paramètres!$A$1:$I$89,3,0)*0.475*44/12</f>
        <v>1.1499375535246854E-7</v>
      </c>
      <c r="BS140" s="22">
        <f t="shared" si="117"/>
        <v>6.8043571016736166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5.6843418860808015E-13</v>
      </c>
      <c r="BZ140" s="13">
        <f>BY140*VLOOKUP('Données projet'!$B$12,Paramètres!$A$1:$I$89,3,0)*VLOOKUP('Données projet'!$B$12,Paramètres!$A$1:$I$89,5,0)</f>
        <v>5.1431925385259092E-13</v>
      </c>
      <c r="CA140" s="13">
        <f t="shared" si="147"/>
        <v>6.3855359115685756E-12</v>
      </c>
      <c r="CB140" s="20">
        <f t="shared" si="118"/>
        <v>1.2017247746441865E-11</v>
      </c>
      <c r="CC140" s="59">
        <f t="shared" si="119"/>
        <v>293.33333333334531</v>
      </c>
      <c r="CD140" s="59">
        <f ca="1">AVERAGE(OFFSET($CC$3,0,0,'Données projet'!$E$12+1,1))-AVERAGE(OFFSET($H$3,0,0,'Données projet'!$E$12+1,1))</f>
        <v>270.87836509222456</v>
      </c>
      <c r="CE140" s="59">
        <f t="shared" si="148"/>
        <v>205.24998237949734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151.82907766889255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151.82907766889255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212.00000000000009</v>
      </c>
      <c r="CU140" s="17">
        <f>CT140*VLOOKUP('Données projet'!$B$13,Paramètres!$A$1:$I$89,3,0)*VLOOKUP('Données projet'!$B$13,Paramètres!$A$1:$I$89,5,0)</f>
        <v>185.20320000000009</v>
      </c>
      <c r="CV140" s="13">
        <f t="shared" si="149"/>
        <v>46.477875402099386</v>
      </c>
      <c r="CW140" s="20">
        <f t="shared" si="121"/>
        <v>403.5112063253232</v>
      </c>
      <c r="CX140" s="59">
        <f t="shared" si="122"/>
        <v>696.84453965865646</v>
      </c>
      <c r="CY140" s="59">
        <f ca="1">AVERAGE(OFFSET($CX$3,0,0,'Données projet'!$E$13+1,1))-AVERAGE(OFFSET($H$3,0,0,'Données projet'!$E$13+1,1))</f>
        <v>207.4513063267579</v>
      </c>
      <c r="CZ140" s="59">
        <f t="shared" si="150"/>
        <v>191.63513530247218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7.1772883432947605</v>
      </c>
      <c r="DG140" s="21">
        <f>EXP(-LN(2)/25)*DG139+(1-EXP(-LN(2)/25))/(LN(2)/25)*Calculateur!DB140*Calculateur!DD140*VLOOKUP('Données projet'!$B$13,Paramètres!$A$1:$I$89,3,0)*0.475*44/12</f>
        <v>5.0142275207389559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12.191515864033716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66.814714696519275</v>
      </c>
      <c r="T141" s="59">
        <f t="shared" si="142"/>
        <v>199.56746335788068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4.5716146250459797</v>
      </c>
      <c r="AA141" s="21">
        <f>EXP(-LN(2)/25)*AA140+(1-EXP(-LN(2)/25))/(LN(2)/25)*Calculateur!V141*Calculateur!X141*VLOOKUP('Données projet'!$B$9,Paramètres!$A$1:$I$89,3,0)*0.475*44/12</f>
        <v>0.38316781548828588</v>
      </c>
      <c r="AB141" s="21">
        <f>EXP(-LN(2)/2)*AB140+(1-EXP(-LN(2)/2))/(LN(2)/2)*V141*Y141*VLOOKUP('Données projet'!$B$9,Paramètres!$A$1:$I$89,3,0)*0.475*44/12</f>
        <v>2.5017859481994626E-17</v>
      </c>
      <c r="AC141" s="22">
        <f t="shared" si="111"/>
        <v>4.9547824405342658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367.99999999999972</v>
      </c>
      <c r="AJ141" s="13">
        <f>AI141*VLOOKUP('Données projet'!$B$10,Paramètres!$A$1:$I$89,3,0)*VLOOKUP('Données projet'!$B$10,Paramètres!$A$1:$I$89,5,0)</f>
        <v>292.78079999999977</v>
      </c>
      <c r="AK141" s="13">
        <f t="shared" si="143"/>
        <v>69.660903052386217</v>
      </c>
      <c r="AL141" s="20">
        <f t="shared" si="112"/>
        <v>631.25263281623893</v>
      </c>
      <c r="AM141" s="59">
        <f t="shared" si="113"/>
        <v>924.58596614957219</v>
      </c>
      <c r="AN141" s="59">
        <f ca="1">AVERAGE(OFFSET($AM$3,0,0,'Données projet'!$E$10+1,1))-AVERAGE(OFFSET($H$3,0,0,'Données projet'!$E$10+1,1))</f>
        <v>325.72928944930294</v>
      </c>
      <c r="AO141" s="59">
        <f t="shared" si="144"/>
        <v>318.38876834819752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19.167616958438884</v>
      </c>
      <c r="AV141" s="21">
        <f>EXP(-LN(2)/25)*AV140+(1-EXP(-LN(2)/25))/(LN(2)/25)*Calculateur!AQ141*Calculateur!AS141*VLOOKUP('Données projet'!$B$10,Paramètres!$A$1:$I$89,3,0)*0.475*44/12</f>
        <v>1.4342979144776344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20.60191487291652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268.00000000000023</v>
      </c>
      <c r="BE141" s="13">
        <f>BD141*VLOOKUP('Données projet'!$B$11,Paramètres!$A$1:$I$89,3,0)*VLOOKUP('Données projet'!$B$11,Paramètres!$A$1:$I$89,5,0)</f>
        <v>175.59360000000015</v>
      </c>
      <c r="BF141" s="13">
        <f t="shared" si="145"/>
        <v>44.340433728638573</v>
      </c>
      <c r="BG141" s="20">
        <f t="shared" si="115"/>
        <v>383.05177541071242</v>
      </c>
      <c r="BH141" s="59">
        <f t="shared" si="116"/>
        <v>676.38510874404574</v>
      </c>
      <c r="BI141" s="59">
        <f ca="1">AVERAGE(OFFSET($BH$3,0,0,'Données projet'!$E$11+1,1))-AVERAGE(OFFSET($H$3,0,0,'Données projet'!$E$11+1,1))</f>
        <v>209.40885738157152</v>
      </c>
      <c r="BJ141" s="59">
        <f t="shared" si="146"/>
        <v>230.15385333954697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2.4381342655211329</v>
      </c>
      <c r="BQ141" s="21">
        <f>EXP(-LN(2)/25)*BQ140+(1-EXP(-LN(2)/25))/(LN(2)/25)*Calculateur!BL141*Calculateur!BN141*VLOOKUP('Données projet'!$B$11,Paramètres!$A$1:$I$89,3,0)*0.475*44/12</f>
        <v>4.1993950474392809</v>
      </c>
      <c r="BR141" s="21">
        <f>EXP(-LN(2)/2)*BR140+(1-EXP(-LN(2)/2))/(LN(2)/2)*BL141*BO141*VLOOKUP('Données projet'!$B$11,Paramètres!$A$1:$I$89,3,0)*0.475*44/12</f>
        <v>8.1312864203837358E-8</v>
      </c>
      <c r="BS141" s="22">
        <f t="shared" si="117"/>
        <v>6.6375293942732778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5.6843418860808015E-13</v>
      </c>
      <c r="BZ141" s="13">
        <f>BY141*VLOOKUP('Données projet'!$B$12,Paramètres!$A$1:$I$89,3,0)*VLOOKUP('Données projet'!$B$12,Paramètres!$A$1:$I$89,5,0)</f>
        <v>5.1431925385259092E-13</v>
      </c>
      <c r="CA141" s="13">
        <f t="shared" si="147"/>
        <v>6.3855359115685756E-12</v>
      </c>
      <c r="CB141" s="20">
        <f t="shared" si="118"/>
        <v>1.2017247746441865E-11</v>
      </c>
      <c r="CC141" s="59">
        <f t="shared" si="119"/>
        <v>293.33333333334531</v>
      </c>
      <c r="CD141" s="59">
        <f ca="1">AVERAGE(OFFSET($CC$3,0,0,'Données projet'!$E$12+1,1))-AVERAGE(OFFSET($H$3,0,0,'Données projet'!$E$12+1,1))</f>
        <v>270.87836509222456</v>
      </c>
      <c r="CE141" s="59">
        <f t="shared" si="148"/>
        <v>205.24998237949734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148.8518020623988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148.8518020623988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212.00000000000009</v>
      </c>
      <c r="CU141" s="17">
        <f>CT141*VLOOKUP('Données projet'!$B$13,Paramètres!$A$1:$I$89,3,0)*VLOOKUP('Données projet'!$B$13,Paramètres!$A$1:$I$89,5,0)</f>
        <v>185.20320000000009</v>
      </c>
      <c r="CV141" s="13">
        <f t="shared" si="149"/>
        <v>46.477875402099386</v>
      </c>
      <c r="CW141" s="20">
        <f t="shared" si="121"/>
        <v>403.5112063253232</v>
      </c>
      <c r="CX141" s="59">
        <f t="shared" si="122"/>
        <v>696.84453965865646</v>
      </c>
      <c r="CY141" s="59">
        <f ca="1">AVERAGE(OFFSET($CX$3,0,0,'Données projet'!$E$13+1,1))-AVERAGE(OFFSET($H$3,0,0,'Données projet'!$E$13+1,1))</f>
        <v>207.4513063267579</v>
      </c>
      <c r="CZ141" s="59">
        <f t="shared" si="150"/>
        <v>191.63513530247218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7.0365460965963766</v>
      </c>
      <c r="DG141" s="21">
        <f>EXP(-LN(2)/25)*DG140+(1-EXP(-LN(2)/25))/(LN(2)/25)*Calculateur!DB141*Calculateur!DD141*VLOOKUP('Données projet'!$B$13,Paramètres!$A$1:$I$89,3,0)*0.475*44/12</f>
        <v>4.8771132054975839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11.913659302093961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66.814714696519275</v>
      </c>
      <c r="T142" s="59">
        <f t="shared" si="142"/>
        <v>199.56746335788068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4.4819680506584163</v>
      </c>
      <c r="AA142" s="21">
        <f>EXP(-LN(2)/25)*AA141+(1-EXP(-LN(2)/25))/(LN(2)/25)*Calculateur!V142*Calculateur!X142*VLOOKUP('Données projet'!$B$9,Paramètres!$A$1:$I$89,3,0)*0.475*44/12</f>
        <v>0.37269007142383903</v>
      </c>
      <c r="AB142" s="21">
        <f>EXP(-LN(2)/2)*AB141+(1-EXP(-LN(2)/2))/(LN(2)/2)*V142*Y142*VLOOKUP('Données projet'!$B$9,Paramètres!$A$1:$I$89,3,0)*0.475*44/12</f>
        <v>1.7690298090490567E-17</v>
      </c>
      <c r="AC142" s="22">
        <f t="shared" si="111"/>
        <v>4.8546581220822551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367.99999999999972</v>
      </c>
      <c r="AJ142" s="13">
        <f>AI142*VLOOKUP('Données projet'!$B$10,Paramètres!$A$1:$I$89,3,0)*VLOOKUP('Données projet'!$B$10,Paramètres!$A$1:$I$89,5,0)</f>
        <v>292.78079999999977</v>
      </c>
      <c r="AK142" s="13">
        <f t="shared" si="143"/>
        <v>69.660903052386217</v>
      </c>
      <c r="AL142" s="20">
        <f t="shared" si="112"/>
        <v>631.25263281623893</v>
      </c>
      <c r="AM142" s="59">
        <f t="shared" si="113"/>
        <v>924.58596614957219</v>
      </c>
      <c r="AN142" s="59">
        <f ca="1">AVERAGE(OFFSET($AM$3,0,0,'Données projet'!$E$10+1,1))-AVERAGE(OFFSET($H$3,0,0,'Données projet'!$E$10+1,1))</f>
        <v>325.72928944930294</v>
      </c>
      <c r="AO142" s="59">
        <f t="shared" si="144"/>
        <v>318.38876834819752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18.791751680975842</v>
      </c>
      <c r="AV142" s="21">
        <f>EXP(-LN(2)/25)*AV141+(1-EXP(-LN(2)/25))/(LN(2)/25)*Calculateur!AQ142*Calculateur!AS142*VLOOKUP('Données projet'!$B$10,Paramètres!$A$1:$I$89,3,0)*0.475*44/12</f>
        <v>1.3950769625797943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20.186828643555636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268.00000000000023</v>
      </c>
      <c r="BE142" s="13">
        <f>BD142*VLOOKUP('Données projet'!$B$11,Paramètres!$A$1:$I$89,3,0)*VLOOKUP('Données projet'!$B$11,Paramètres!$A$1:$I$89,5,0)</f>
        <v>175.59360000000015</v>
      </c>
      <c r="BF142" s="13">
        <f t="shared" si="145"/>
        <v>44.340433728638573</v>
      </c>
      <c r="BG142" s="20">
        <f t="shared" si="115"/>
        <v>383.05177541071242</v>
      </c>
      <c r="BH142" s="59">
        <f t="shared" si="116"/>
        <v>676.38510874404574</v>
      </c>
      <c r="BI142" s="59">
        <f ca="1">AVERAGE(OFFSET($BH$3,0,0,'Données projet'!$E$11+1,1))-AVERAGE(OFFSET($H$3,0,0,'Données projet'!$E$11+1,1))</f>
        <v>209.40885738157152</v>
      </c>
      <c r="BJ142" s="59">
        <f t="shared" si="146"/>
        <v>230.15385333954697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2.390323939689325</v>
      </c>
      <c r="BQ142" s="21">
        <f>EXP(-LN(2)/25)*BQ141+(1-EXP(-LN(2)/25))/(LN(2)/25)*Calculateur!BL142*Calculateur!BN142*VLOOKUP('Données projet'!$B$11,Paramètres!$A$1:$I$89,3,0)*0.475*44/12</f>
        <v>4.0845623690304658</v>
      </c>
      <c r="BR142" s="21">
        <f>EXP(-LN(2)/2)*BR141+(1-EXP(-LN(2)/2))/(LN(2)/2)*BL142*BO142*VLOOKUP('Données projet'!$B$11,Paramètres!$A$1:$I$89,3,0)*0.475*44/12</f>
        <v>5.7496877676234278E-8</v>
      </c>
      <c r="BS142" s="22">
        <f t="shared" si="117"/>
        <v>6.4748863662166682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5.6843418860808015E-13</v>
      </c>
      <c r="BZ142" s="13">
        <f>BY142*VLOOKUP('Données projet'!$B$12,Paramètres!$A$1:$I$89,3,0)*VLOOKUP('Données projet'!$B$12,Paramètres!$A$1:$I$89,5,0)</f>
        <v>5.1431925385259092E-13</v>
      </c>
      <c r="CA142" s="13">
        <f t="shared" si="147"/>
        <v>6.3855359115685756E-12</v>
      </c>
      <c r="CB142" s="20">
        <f t="shared" si="118"/>
        <v>1.2017247746441865E-11</v>
      </c>
      <c r="CC142" s="59">
        <f t="shared" si="119"/>
        <v>293.33333333334531</v>
      </c>
      <c r="CD142" s="59">
        <f ca="1">AVERAGE(OFFSET($CC$3,0,0,'Données projet'!$E$12+1,1))-AVERAGE(OFFSET($H$3,0,0,'Données projet'!$E$12+1,1))</f>
        <v>270.87836509222456</v>
      </c>
      <c r="CE142" s="59">
        <f t="shared" si="148"/>
        <v>205.24998237949734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145.9329090145896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145.9329090145896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212.00000000000009</v>
      </c>
      <c r="CU142" s="17">
        <f>CT142*VLOOKUP('Données projet'!$B$13,Paramètres!$A$1:$I$89,3,0)*VLOOKUP('Données projet'!$B$13,Paramètres!$A$1:$I$89,5,0)</f>
        <v>185.20320000000009</v>
      </c>
      <c r="CV142" s="13">
        <f t="shared" si="149"/>
        <v>46.477875402099386</v>
      </c>
      <c r="CW142" s="20">
        <f t="shared" si="121"/>
        <v>403.5112063253232</v>
      </c>
      <c r="CX142" s="59">
        <f t="shared" si="122"/>
        <v>696.84453965865646</v>
      </c>
      <c r="CY142" s="59">
        <f ca="1">AVERAGE(OFFSET($CX$3,0,0,'Données projet'!$E$13+1,1))-AVERAGE(OFFSET($H$3,0,0,'Données projet'!$E$13+1,1))</f>
        <v>207.4513063267579</v>
      </c>
      <c r="CZ142" s="59">
        <f t="shared" si="150"/>
        <v>191.63513530247218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6.8985637195114533</v>
      </c>
      <c r="DG142" s="21">
        <f>EXP(-LN(2)/25)*DG141+(1-EXP(-LN(2)/25))/(LN(2)/25)*Calculateur!DB142*Calculateur!DD142*VLOOKUP('Données projet'!$B$13,Paramètres!$A$1:$I$89,3,0)*0.475*44/12</f>
        <v>4.7437482884170157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11.642312007928469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66.814714696519275</v>
      </c>
      <c r="T143" s="59">
        <f t="shared" si="142"/>
        <v>199.56746335788068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4.3940793909155822</v>
      </c>
      <c r="AA143" s="21">
        <f>EXP(-LN(2)/25)*AA142+(1-EXP(-LN(2)/25))/(LN(2)/25)*Calculateur!V143*Calculateur!X143*VLOOKUP('Données projet'!$B$9,Paramètres!$A$1:$I$89,3,0)*0.475*44/12</f>
        <v>0.36249884182183512</v>
      </c>
      <c r="AB143" s="21">
        <f>EXP(-LN(2)/2)*AB142+(1-EXP(-LN(2)/2))/(LN(2)/2)*V143*Y143*VLOOKUP('Données projet'!$B$9,Paramètres!$A$1:$I$89,3,0)*0.475*44/12</f>
        <v>1.2508929740997313E-17</v>
      </c>
      <c r="AC143" s="22">
        <f t="shared" si="111"/>
        <v>4.7565782327374171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367.99999999999972</v>
      </c>
      <c r="AJ143" s="13">
        <f>AI143*VLOOKUP('Données projet'!$B$10,Paramètres!$A$1:$I$89,3,0)*VLOOKUP('Données projet'!$B$10,Paramètres!$A$1:$I$89,5,0)</f>
        <v>292.78079999999977</v>
      </c>
      <c r="AK143" s="13">
        <f t="shared" si="143"/>
        <v>69.660903052386217</v>
      </c>
      <c r="AL143" s="20">
        <f t="shared" si="112"/>
        <v>631.25263281623893</v>
      </c>
      <c r="AM143" s="59">
        <f t="shared" si="113"/>
        <v>924.58596614957219</v>
      </c>
      <c r="AN143" s="59">
        <f ca="1">AVERAGE(OFFSET($AM$3,0,0,'Données projet'!$E$10+1,1))-AVERAGE(OFFSET($H$3,0,0,'Données projet'!$E$10+1,1))</f>
        <v>325.72928944930294</v>
      </c>
      <c r="AO143" s="59">
        <f t="shared" si="144"/>
        <v>318.38876834819752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18.423256892348668</v>
      </c>
      <c r="AV143" s="21">
        <f>EXP(-LN(2)/25)*AV142+(1-EXP(-LN(2)/25))/(LN(2)/25)*Calculateur!AQ143*Calculateur!AS143*VLOOKUP('Données projet'!$B$10,Paramètres!$A$1:$I$89,3,0)*0.475*44/12</f>
        <v>1.3569285096741408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19.780185402022809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268.00000000000023</v>
      </c>
      <c r="BE143" s="13">
        <f>BD143*VLOOKUP('Données projet'!$B$11,Paramètres!$A$1:$I$89,3,0)*VLOOKUP('Données projet'!$B$11,Paramètres!$A$1:$I$89,5,0)</f>
        <v>175.59360000000015</v>
      </c>
      <c r="BF143" s="13">
        <f t="shared" si="145"/>
        <v>44.340433728638573</v>
      </c>
      <c r="BG143" s="20">
        <f t="shared" si="115"/>
        <v>383.05177541071242</v>
      </c>
      <c r="BH143" s="59">
        <f t="shared" si="116"/>
        <v>676.38510874404574</v>
      </c>
      <c r="BI143" s="59">
        <f ca="1">AVERAGE(OFFSET($BH$3,0,0,'Données projet'!$E$11+1,1))-AVERAGE(OFFSET($H$3,0,0,'Données projet'!$E$11+1,1))</f>
        <v>209.40885738157152</v>
      </c>
      <c r="BJ143" s="59">
        <f t="shared" si="146"/>
        <v>230.15385333954697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2.3434511451856594</v>
      </c>
      <c r="BQ143" s="21">
        <f>EXP(-LN(2)/25)*BQ142+(1-EXP(-LN(2)/25))/(LN(2)/25)*Calculateur!BL143*Calculateur!BN143*VLOOKUP('Données projet'!$B$11,Paramètres!$A$1:$I$89,3,0)*0.475*44/12</f>
        <v>3.972869796251528</v>
      </c>
      <c r="BR143" s="21">
        <f>EXP(-LN(2)/2)*BR142+(1-EXP(-LN(2)/2))/(LN(2)/2)*BL143*BO143*VLOOKUP('Données projet'!$B$11,Paramètres!$A$1:$I$89,3,0)*0.475*44/12</f>
        <v>4.0656432101918686E-8</v>
      </c>
      <c r="BS143" s="22">
        <f t="shared" si="117"/>
        <v>6.316320982093619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5.6843418860808015E-13</v>
      </c>
      <c r="BZ143" s="13">
        <f>BY143*VLOOKUP('Données projet'!$B$12,Paramètres!$A$1:$I$89,3,0)*VLOOKUP('Données projet'!$B$12,Paramètres!$A$1:$I$89,5,0)</f>
        <v>5.1431925385259092E-13</v>
      </c>
      <c r="CA143" s="13">
        <f t="shared" si="147"/>
        <v>6.3855359115685756E-12</v>
      </c>
      <c r="CB143" s="20">
        <f t="shared" si="118"/>
        <v>1.2017247746441865E-11</v>
      </c>
      <c r="CC143" s="59">
        <f t="shared" si="119"/>
        <v>293.33333333334531</v>
      </c>
      <c r="CD143" s="59">
        <f ca="1">AVERAGE(OFFSET($CC$3,0,0,'Données projet'!$E$12+1,1))-AVERAGE(OFFSET($H$3,0,0,'Données projet'!$E$12+1,1))</f>
        <v>270.87836509222456</v>
      </c>
      <c r="CE143" s="59">
        <f t="shared" si="148"/>
        <v>205.24998237949734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143.07125367909896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143.07125367909896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212.00000000000009</v>
      </c>
      <c r="CU143" s="17">
        <f>CT143*VLOOKUP('Données projet'!$B$13,Paramètres!$A$1:$I$89,3,0)*VLOOKUP('Données projet'!$B$13,Paramètres!$A$1:$I$89,5,0)</f>
        <v>185.20320000000009</v>
      </c>
      <c r="CV143" s="13">
        <f t="shared" si="149"/>
        <v>46.477875402099386</v>
      </c>
      <c r="CW143" s="20">
        <f t="shared" si="121"/>
        <v>403.5112063253232</v>
      </c>
      <c r="CX143" s="59">
        <f t="shared" si="122"/>
        <v>696.84453965865646</v>
      </c>
      <c r="CY143" s="59">
        <f ca="1">AVERAGE(OFFSET($CX$3,0,0,'Données projet'!$E$13+1,1))-AVERAGE(OFFSET($H$3,0,0,'Données projet'!$E$13+1,1))</f>
        <v>207.4513063267579</v>
      </c>
      <c r="CZ143" s="59">
        <f t="shared" si="150"/>
        <v>191.63513530247218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6.7632870926802262</v>
      </c>
      <c r="DG143" s="21">
        <f>EXP(-LN(2)/25)*DG142+(1-EXP(-LN(2)/25))/(LN(2)/25)*Calculateur!DB143*Calculateur!DD143*VLOOKUP('Données projet'!$B$13,Paramètres!$A$1:$I$89,3,0)*0.475*44/12</f>
        <v>4.614030242007372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11.377317334687598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66.814714696519275</v>
      </c>
      <c r="T144" s="59">
        <f t="shared" si="142"/>
        <v>199.56746335788068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4.3079141741835159</v>
      </c>
      <c r="AA144" s="21">
        <f>EXP(-LN(2)/25)*AA143+(1-EXP(-LN(2)/25))/(LN(2)/25)*Calculateur!V144*Calculateur!X144*VLOOKUP('Données projet'!$B$9,Paramètres!$A$1:$I$89,3,0)*0.475*44/12</f>
        <v>0.35258629192923147</v>
      </c>
      <c r="AB144" s="21">
        <f>EXP(-LN(2)/2)*AB143+(1-EXP(-LN(2)/2))/(LN(2)/2)*V144*Y144*VLOOKUP('Données projet'!$B$9,Paramètres!$A$1:$I$89,3,0)*0.475*44/12</f>
        <v>8.8451490452452836E-18</v>
      </c>
      <c r="AC144" s="22">
        <f t="shared" si="111"/>
        <v>4.6605004661127474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367.99999999999972</v>
      </c>
      <c r="AJ144" s="13">
        <f>AI144*VLOOKUP('Données projet'!$B$10,Paramètres!$A$1:$I$89,3,0)*VLOOKUP('Données projet'!$B$10,Paramètres!$A$1:$I$89,5,0)</f>
        <v>292.78079999999977</v>
      </c>
      <c r="AK144" s="13">
        <f t="shared" si="143"/>
        <v>69.660903052386217</v>
      </c>
      <c r="AL144" s="20">
        <f t="shared" si="112"/>
        <v>631.25263281623893</v>
      </c>
      <c r="AM144" s="59">
        <f t="shared" si="113"/>
        <v>924.58596614957219</v>
      </c>
      <c r="AN144" s="59">
        <f ca="1">AVERAGE(OFFSET($AM$3,0,0,'Données projet'!$E$10+1,1))-AVERAGE(OFFSET($H$3,0,0,'Données projet'!$E$10+1,1))</f>
        <v>325.72928944930294</v>
      </c>
      <c r="AO144" s="59">
        <f t="shared" si="144"/>
        <v>318.38876834819752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18.061988061766847</v>
      </c>
      <c r="AV144" s="21">
        <f>EXP(-LN(2)/25)*AV143+(1-EXP(-LN(2)/25))/(LN(2)/25)*Calculateur!AQ144*Calculateur!AS144*VLOOKUP('Données projet'!$B$10,Paramètres!$A$1:$I$89,3,0)*0.475*44/12</f>
        <v>1.3198232282193325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19.381811289986178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268.00000000000023</v>
      </c>
      <c r="BE144" s="13">
        <f>BD144*VLOOKUP('Données projet'!$B$11,Paramètres!$A$1:$I$89,3,0)*VLOOKUP('Données projet'!$B$11,Paramètres!$A$1:$I$89,5,0)</f>
        <v>175.59360000000015</v>
      </c>
      <c r="BF144" s="13">
        <f t="shared" si="145"/>
        <v>44.340433728638573</v>
      </c>
      <c r="BG144" s="20">
        <f t="shared" si="115"/>
        <v>383.05177541071242</v>
      </c>
      <c r="BH144" s="59">
        <f t="shared" si="116"/>
        <v>676.38510874404574</v>
      </c>
      <c r="BI144" s="59">
        <f ca="1">AVERAGE(OFFSET($BH$3,0,0,'Données projet'!$E$11+1,1))-AVERAGE(OFFSET($H$3,0,0,'Données projet'!$E$11+1,1))</f>
        <v>209.40885738157152</v>
      </c>
      <c r="BJ144" s="59">
        <f t="shared" si="146"/>
        <v>230.15385333954697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2.2974974975926292</v>
      </c>
      <c r="BQ144" s="21">
        <f>EXP(-LN(2)/25)*BQ143+(1-EXP(-LN(2)/25))/(LN(2)/25)*Calculateur!BL144*Calculateur!BN144*VLOOKUP('Données projet'!$B$11,Paramètres!$A$1:$I$89,3,0)*0.475*44/12</f>
        <v>3.8642314627488874</v>
      </c>
      <c r="BR144" s="21">
        <f>EXP(-LN(2)/2)*BR143+(1-EXP(-LN(2)/2))/(LN(2)/2)*BL144*BO144*VLOOKUP('Données projet'!$B$11,Paramètres!$A$1:$I$89,3,0)*0.475*44/12</f>
        <v>2.8748438838117146E-8</v>
      </c>
      <c r="BS144" s="22">
        <f t="shared" si="117"/>
        <v>6.1617289890899558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5.6843418860808015E-13</v>
      </c>
      <c r="BZ144" s="13">
        <f>BY144*VLOOKUP('Données projet'!$B$12,Paramètres!$A$1:$I$89,3,0)*VLOOKUP('Données projet'!$B$12,Paramètres!$A$1:$I$89,5,0)</f>
        <v>5.1431925385259092E-13</v>
      </c>
      <c r="CA144" s="13">
        <f t="shared" si="147"/>
        <v>6.3855359115685756E-12</v>
      </c>
      <c r="CB144" s="20">
        <f t="shared" si="118"/>
        <v>1.2017247746441865E-11</v>
      </c>
      <c r="CC144" s="59">
        <f t="shared" si="119"/>
        <v>293.33333333334531</v>
      </c>
      <c r="CD144" s="59">
        <f ca="1">AVERAGE(OFFSET($CC$3,0,0,'Données projet'!$E$12+1,1))-AVERAGE(OFFSET($H$3,0,0,'Données projet'!$E$12+1,1))</f>
        <v>270.87836509222456</v>
      </c>
      <c r="CE144" s="59">
        <f t="shared" si="148"/>
        <v>205.24998237949734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140.26571365929988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140.26571365929988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212.00000000000009</v>
      </c>
      <c r="CU144" s="17">
        <f>CT144*VLOOKUP('Données projet'!$B$13,Paramètres!$A$1:$I$89,3,0)*VLOOKUP('Données projet'!$B$13,Paramètres!$A$1:$I$89,5,0)</f>
        <v>185.20320000000009</v>
      </c>
      <c r="CV144" s="13">
        <f t="shared" si="149"/>
        <v>46.477875402099386</v>
      </c>
      <c r="CW144" s="20">
        <f t="shared" si="121"/>
        <v>403.5112063253232</v>
      </c>
      <c r="CX144" s="59">
        <f t="shared" si="122"/>
        <v>696.84453965865646</v>
      </c>
      <c r="CY144" s="59">
        <f ca="1">AVERAGE(OFFSET($CX$3,0,0,'Données projet'!$E$13+1,1))-AVERAGE(OFFSET($H$3,0,0,'Données projet'!$E$13+1,1))</f>
        <v>207.4513063267579</v>
      </c>
      <c r="CZ144" s="59">
        <f t="shared" si="150"/>
        <v>191.63513530247218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6.6306631579905639</v>
      </c>
      <c r="DG144" s="21">
        <f>EXP(-LN(2)/25)*DG143+(1-EXP(-LN(2)/25))/(LN(2)/25)*Calculateur!DB144*Calculateur!DD144*VLOOKUP('Données projet'!$B$13,Paramètres!$A$1:$I$89,3,0)*0.475*44/12</f>
        <v>4.4878593423983757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11.11852250038894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66.814714696519275</v>
      </c>
      <c r="T145" s="59">
        <f t="shared" si="142"/>
        <v>199.56746335788068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4.2234386047959722</v>
      </c>
      <c r="AA145" s="21">
        <f>EXP(-LN(2)/25)*AA144+(1-EXP(-LN(2)/25))/(LN(2)/25)*Calculateur!V145*Calculateur!X145*VLOOKUP('Données projet'!$B$9,Paramètres!$A$1:$I$89,3,0)*0.475*44/12</f>
        <v>0.34294480123471938</v>
      </c>
      <c r="AB145" s="21">
        <f>EXP(-LN(2)/2)*AB144+(1-EXP(-LN(2)/2))/(LN(2)/2)*V145*Y145*VLOOKUP('Données projet'!$B$9,Paramètres!$A$1:$I$89,3,0)*0.475*44/12</f>
        <v>6.2544648704986566E-18</v>
      </c>
      <c r="AC145" s="22">
        <f t="shared" si="111"/>
        <v>4.5663834060306918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367.99999999999972</v>
      </c>
      <c r="AJ145" s="13">
        <f>AI145*VLOOKUP('Données projet'!$B$10,Paramètres!$A$1:$I$89,3,0)*VLOOKUP('Données projet'!$B$10,Paramètres!$A$1:$I$89,5,0)</f>
        <v>292.78079999999977</v>
      </c>
      <c r="AK145" s="13">
        <f t="shared" si="143"/>
        <v>69.660903052386217</v>
      </c>
      <c r="AL145" s="20">
        <f t="shared" si="112"/>
        <v>631.25263281623893</v>
      </c>
      <c r="AM145" s="59">
        <f t="shared" si="113"/>
        <v>924.58596614957219</v>
      </c>
      <c r="AN145" s="59">
        <f ca="1">AVERAGE(OFFSET($AM$3,0,0,'Données projet'!$E$10+1,1))-AVERAGE(OFFSET($H$3,0,0,'Données projet'!$E$10+1,1))</f>
        <v>325.72928944930294</v>
      </c>
      <c r="AO145" s="59">
        <f t="shared" si="144"/>
        <v>318.38876834819752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17.707803492600505</v>
      </c>
      <c r="AV145" s="21">
        <f>EXP(-LN(2)/25)*AV144+(1-EXP(-LN(2)/25))/(LN(2)/25)*Calculateur!AQ145*Calculateur!AS145*VLOOKUP('Données projet'!$B$10,Paramètres!$A$1:$I$89,3,0)*0.475*44/12</f>
        <v>1.2837325926371879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18.991536085237691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268.00000000000023</v>
      </c>
      <c r="BE145" s="13">
        <f>BD145*VLOOKUP('Données projet'!$B$11,Paramètres!$A$1:$I$89,3,0)*VLOOKUP('Données projet'!$B$11,Paramètres!$A$1:$I$89,5,0)</f>
        <v>175.59360000000015</v>
      </c>
      <c r="BF145" s="13">
        <f t="shared" si="145"/>
        <v>44.340433728638573</v>
      </c>
      <c r="BG145" s="20">
        <f t="shared" si="115"/>
        <v>383.05177541071242</v>
      </c>
      <c r="BH145" s="59">
        <f t="shared" si="116"/>
        <v>676.38510874404574</v>
      </c>
      <c r="BI145" s="59">
        <f ca="1">AVERAGE(OFFSET($BH$3,0,0,'Données projet'!$E$11+1,1))-AVERAGE(OFFSET($H$3,0,0,'Données projet'!$E$11+1,1))</f>
        <v>209.40885738157152</v>
      </c>
      <c r="BJ145" s="59">
        <f t="shared" si="146"/>
        <v>230.15385333954697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2.2524449729999407</v>
      </c>
      <c r="BQ145" s="21">
        <f>EXP(-LN(2)/25)*BQ144+(1-EXP(-LN(2)/25))/(LN(2)/25)*Calculateur!BL145*Calculateur!BN145*VLOOKUP('Données projet'!$B$11,Paramètres!$A$1:$I$89,3,0)*0.475*44/12</f>
        <v>3.7585638501889185</v>
      </c>
      <c r="BR145" s="21">
        <f>EXP(-LN(2)/2)*BR144+(1-EXP(-LN(2)/2))/(LN(2)/2)*BL145*BO145*VLOOKUP('Données projet'!$B$11,Paramètres!$A$1:$I$89,3,0)*0.475*44/12</f>
        <v>2.0328216050959346E-8</v>
      </c>
      <c r="BS145" s="22">
        <f t="shared" si="117"/>
        <v>6.0110088435170761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5.6843418860808015E-13</v>
      </c>
      <c r="BZ145" s="13">
        <f>BY145*VLOOKUP('Données projet'!$B$12,Paramètres!$A$1:$I$89,3,0)*VLOOKUP('Données projet'!$B$12,Paramètres!$A$1:$I$89,5,0)</f>
        <v>5.1431925385259092E-13</v>
      </c>
      <c r="CA145" s="13">
        <f t="shared" si="147"/>
        <v>6.3855359115685756E-12</v>
      </c>
      <c r="CB145" s="20">
        <f t="shared" si="118"/>
        <v>1.2017247746441865E-11</v>
      </c>
      <c r="CC145" s="59">
        <f t="shared" si="119"/>
        <v>293.33333333334531</v>
      </c>
      <c r="CD145" s="59">
        <f ca="1">AVERAGE(OFFSET($CC$3,0,0,'Données projet'!$E$12+1,1))-AVERAGE(OFFSET($H$3,0,0,'Données projet'!$E$12+1,1))</f>
        <v>270.87836509222456</v>
      </c>
      <c r="CE145" s="59">
        <f t="shared" si="148"/>
        <v>205.24998237949734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137.51518856807863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137.51518856807863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212.00000000000009</v>
      </c>
      <c r="CU145" s="17">
        <f>CT145*VLOOKUP('Données projet'!$B$13,Paramètres!$A$1:$I$89,3,0)*VLOOKUP('Données projet'!$B$13,Paramètres!$A$1:$I$89,5,0)</f>
        <v>185.20320000000009</v>
      </c>
      <c r="CV145" s="13">
        <f t="shared" si="149"/>
        <v>46.477875402099386</v>
      </c>
      <c r="CW145" s="20">
        <f t="shared" si="121"/>
        <v>403.5112063253232</v>
      </c>
      <c r="CX145" s="59">
        <f t="shared" si="122"/>
        <v>696.84453965865646</v>
      </c>
      <c r="CY145" s="59">
        <f ca="1">AVERAGE(OFFSET($CX$3,0,0,'Données projet'!$E$13+1,1))-AVERAGE(OFFSET($H$3,0,0,'Données projet'!$E$13+1,1))</f>
        <v>207.4513063267579</v>
      </c>
      <c r="CZ145" s="59">
        <f t="shared" si="150"/>
        <v>191.63513530247218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6.5006398977675532</v>
      </c>
      <c r="DG145" s="21">
        <f>EXP(-LN(2)/25)*DG144+(1-EXP(-LN(2)/25))/(LN(2)/25)*Calculateur!DB145*Calculateur!DD145*VLOOKUP('Données projet'!$B$13,Paramètres!$A$1:$I$89,3,0)*0.475*44/12</f>
        <v>4.3651385926742261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10.86577849044178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66.814714696519275</v>
      </c>
      <c r="T146" s="59">
        <f t="shared" si="142"/>
        <v>199.56746335788068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4.1406195497991094</v>
      </c>
      <c r="AA146" s="21">
        <f>EXP(-LN(2)/25)*AA145+(1-EXP(-LN(2)/25))/(LN(2)/25)*Calculateur!V146*Calculateur!X146*VLOOKUP('Données projet'!$B$9,Paramètres!$A$1:$I$89,3,0)*0.475*44/12</f>
        <v>0.33356695761027266</v>
      </c>
      <c r="AB146" s="21">
        <f>EXP(-LN(2)/2)*AB145+(1-EXP(-LN(2)/2))/(LN(2)/2)*V146*Y146*VLOOKUP('Données projet'!$B$9,Paramètres!$A$1:$I$89,3,0)*0.475*44/12</f>
        <v>4.4225745226226418E-18</v>
      </c>
      <c r="AC146" s="22">
        <f t="shared" si="111"/>
        <v>4.4741865074093816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367.99999999999972</v>
      </c>
      <c r="AJ146" s="13">
        <f>AI146*VLOOKUP('Données projet'!$B$10,Paramètres!$A$1:$I$89,3,0)*VLOOKUP('Données projet'!$B$10,Paramètres!$A$1:$I$89,5,0)</f>
        <v>292.78079999999977</v>
      </c>
      <c r="AK146" s="13">
        <f t="shared" si="143"/>
        <v>69.660903052386217</v>
      </c>
      <c r="AL146" s="20">
        <f t="shared" si="112"/>
        <v>631.25263281623893</v>
      </c>
      <c r="AM146" s="59">
        <f t="shared" si="113"/>
        <v>924.58596614957219</v>
      </c>
      <c r="AN146" s="59">
        <f ca="1">AVERAGE(OFFSET($AM$3,0,0,'Données projet'!$E$10+1,1))-AVERAGE(OFFSET($H$3,0,0,'Données projet'!$E$10+1,1))</f>
        <v>325.72928944930294</v>
      </c>
      <c r="AO146" s="59">
        <f t="shared" si="144"/>
        <v>318.38876834819752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17.360564266804261</v>
      </c>
      <c r="AV146" s="21">
        <f>EXP(-LN(2)/25)*AV145+(1-EXP(-LN(2)/25))/(LN(2)/25)*Calculateur!AQ146*Calculateur!AS146*VLOOKUP('Données projet'!$B$10,Paramètres!$A$1:$I$89,3,0)*0.475*44/12</f>
        <v>1.2486288573829609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18.609193124187222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268.00000000000023</v>
      </c>
      <c r="BE146" s="13">
        <f>BD146*VLOOKUP('Données projet'!$B$11,Paramètres!$A$1:$I$89,3,0)*VLOOKUP('Données projet'!$B$11,Paramètres!$A$1:$I$89,5,0)</f>
        <v>175.59360000000015</v>
      </c>
      <c r="BF146" s="13">
        <f t="shared" si="145"/>
        <v>44.340433728638573</v>
      </c>
      <c r="BG146" s="20">
        <f t="shared" si="115"/>
        <v>383.05177541071242</v>
      </c>
      <c r="BH146" s="59">
        <f t="shared" si="116"/>
        <v>676.38510874404574</v>
      </c>
      <c r="BI146" s="59">
        <f ca="1">AVERAGE(OFFSET($BH$3,0,0,'Données projet'!$E$11+1,1))-AVERAGE(OFFSET($H$3,0,0,'Données projet'!$E$11+1,1))</f>
        <v>209.40885738157152</v>
      </c>
      <c r="BJ146" s="59">
        <f t="shared" si="146"/>
        <v>230.15385333954697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2.2082759009351882</v>
      </c>
      <c r="BQ146" s="21">
        <f>EXP(-LN(2)/25)*BQ145+(1-EXP(-LN(2)/25))/(LN(2)/25)*Calculateur!BL146*Calculateur!BN146*VLOOKUP('Données projet'!$B$11,Paramètres!$A$1:$I$89,3,0)*0.475*44/12</f>
        <v>3.6557857240512202</v>
      </c>
      <c r="BR146" s="21">
        <f>EXP(-LN(2)/2)*BR145+(1-EXP(-LN(2)/2))/(LN(2)/2)*BL146*BO146*VLOOKUP('Données projet'!$B$11,Paramètres!$A$1:$I$89,3,0)*0.475*44/12</f>
        <v>1.4374219419058574E-8</v>
      </c>
      <c r="BS146" s="22">
        <f t="shared" si="117"/>
        <v>5.864061639360628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5.6843418860808015E-13</v>
      </c>
      <c r="BZ146" s="13">
        <f>BY146*VLOOKUP('Données projet'!$B$12,Paramètres!$A$1:$I$89,3,0)*VLOOKUP('Données projet'!$B$12,Paramètres!$A$1:$I$89,5,0)</f>
        <v>5.1431925385259092E-13</v>
      </c>
      <c r="CA146" s="13">
        <f t="shared" si="147"/>
        <v>6.3855359115685756E-12</v>
      </c>
      <c r="CB146" s="20">
        <f t="shared" si="118"/>
        <v>1.2017247746441865E-11</v>
      </c>
      <c r="CC146" s="59">
        <f t="shared" si="119"/>
        <v>293.33333333334531</v>
      </c>
      <c r="CD146" s="59">
        <f ca="1">AVERAGE(OFFSET($CC$3,0,0,'Données projet'!$E$12+1,1))-AVERAGE(OFFSET($H$3,0,0,'Données projet'!$E$12+1,1))</f>
        <v>270.87836509222456</v>
      </c>
      <c r="CE146" s="59">
        <f t="shared" si="148"/>
        <v>205.24998237949734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134.81859959624157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134.81859959624157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212.00000000000009</v>
      </c>
      <c r="CU146" s="17">
        <f>CT146*VLOOKUP('Données projet'!$B$13,Paramètres!$A$1:$I$89,3,0)*VLOOKUP('Données projet'!$B$13,Paramètres!$A$1:$I$89,5,0)</f>
        <v>185.20320000000009</v>
      </c>
      <c r="CV146" s="13">
        <f t="shared" si="149"/>
        <v>46.477875402099386</v>
      </c>
      <c r="CW146" s="20">
        <f t="shared" si="121"/>
        <v>403.5112063253232</v>
      </c>
      <c r="CX146" s="59">
        <f t="shared" si="122"/>
        <v>696.84453965865646</v>
      </c>
      <c r="CY146" s="59">
        <f ca="1">AVERAGE(OFFSET($CX$3,0,0,'Données projet'!$E$13+1,1))-AVERAGE(OFFSET($H$3,0,0,'Données projet'!$E$13+1,1))</f>
        <v>207.4513063267579</v>
      </c>
      <c r="CZ146" s="59">
        <f t="shared" si="150"/>
        <v>191.63513530247218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6.3731663143711579</v>
      </c>
      <c r="DG146" s="21">
        <f>EXP(-LN(2)/25)*DG145+(1-EXP(-LN(2)/25))/(LN(2)/25)*Calculateur!DB146*Calculateur!DD146*VLOOKUP('Données projet'!$B$13,Paramètres!$A$1:$I$89,3,0)*0.475*44/12</f>
        <v>4.2457736483048878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10.618939962676045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66.814714696519275</v>
      </c>
      <c r="T147" s="59">
        <f t="shared" si="142"/>
        <v>199.56746335788068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4.059424525956099</v>
      </c>
      <c r="AA147" s="21">
        <f>EXP(-LN(2)/25)*AA146+(1-EXP(-LN(2)/25))/(LN(2)/25)*Calculateur!V147*Calculateur!X147*VLOOKUP('Données projet'!$B$9,Paramètres!$A$1:$I$89,3,0)*0.475*44/12</f>
        <v>0.32444555161289584</v>
      </c>
      <c r="AB147" s="21">
        <f>EXP(-LN(2)/2)*AB146+(1-EXP(-LN(2)/2))/(LN(2)/2)*V147*Y147*VLOOKUP('Données projet'!$B$9,Paramètres!$A$1:$I$89,3,0)*0.475*44/12</f>
        <v>3.1272324352493283E-18</v>
      </c>
      <c r="AC147" s="22">
        <f t="shared" si="111"/>
        <v>4.3838700775689947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367.99999999999972</v>
      </c>
      <c r="AJ147" s="13">
        <f>AI147*VLOOKUP('Données projet'!$B$10,Paramètres!$A$1:$I$89,3,0)*VLOOKUP('Données projet'!$B$10,Paramètres!$A$1:$I$89,5,0)</f>
        <v>292.78079999999977</v>
      </c>
      <c r="AK147" s="13">
        <f t="shared" si="143"/>
        <v>69.660903052386217</v>
      </c>
      <c r="AL147" s="20">
        <f t="shared" si="112"/>
        <v>631.25263281623893</v>
      </c>
      <c r="AM147" s="59">
        <f t="shared" si="113"/>
        <v>924.58596614957219</v>
      </c>
      <c r="AN147" s="59">
        <f ca="1">AVERAGE(OFFSET($AM$3,0,0,'Données projet'!$E$10+1,1))-AVERAGE(OFFSET($H$3,0,0,'Données projet'!$E$10+1,1))</f>
        <v>325.72928944930294</v>
      </c>
      <c r="AO147" s="59">
        <f t="shared" si="144"/>
        <v>318.38876834819752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17.020134190430866</v>
      </c>
      <c r="AV147" s="21">
        <f>EXP(-LN(2)/25)*AV146+(1-EXP(-LN(2)/25))/(LN(2)/25)*Calculateur!AQ147*Calculateur!AS147*VLOOKUP('Données projet'!$B$10,Paramètres!$A$1:$I$89,3,0)*0.475*44/12</f>
        <v>1.2144850356152861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18.234619226046153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268.00000000000023</v>
      </c>
      <c r="BE147" s="13">
        <f>BD147*VLOOKUP('Données projet'!$B$11,Paramètres!$A$1:$I$89,3,0)*VLOOKUP('Données projet'!$B$11,Paramètres!$A$1:$I$89,5,0)</f>
        <v>175.59360000000015</v>
      </c>
      <c r="BF147" s="13">
        <f t="shared" si="145"/>
        <v>44.340433728638573</v>
      </c>
      <c r="BG147" s="20">
        <f t="shared" si="115"/>
        <v>383.05177541071242</v>
      </c>
      <c r="BH147" s="59">
        <f t="shared" si="116"/>
        <v>676.38510874404574</v>
      </c>
      <c r="BI147" s="59">
        <f ca="1">AVERAGE(OFFSET($BH$3,0,0,'Données projet'!$E$11+1,1))-AVERAGE(OFFSET($H$3,0,0,'Données projet'!$E$11+1,1))</f>
        <v>209.40885738157152</v>
      </c>
      <c r="BJ147" s="59">
        <f t="shared" si="146"/>
        <v>230.15385333954697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2.164972957433152</v>
      </c>
      <c r="BQ147" s="21">
        <f>EXP(-LN(2)/25)*BQ146+(1-EXP(-LN(2)/25))/(LN(2)/25)*Calculateur!BL147*Calculateur!BN147*VLOOKUP('Données projet'!$B$11,Paramètres!$A$1:$I$89,3,0)*0.475*44/12</f>
        <v>3.5558180711776237</v>
      </c>
      <c r="BR147" s="21">
        <f>EXP(-LN(2)/2)*BR146+(1-EXP(-LN(2)/2))/(LN(2)/2)*BL147*BO147*VLOOKUP('Données projet'!$B$11,Paramètres!$A$1:$I$89,3,0)*0.475*44/12</f>
        <v>1.0164108025479675E-8</v>
      </c>
      <c r="BS147" s="22">
        <f t="shared" si="117"/>
        <v>5.7207910387748839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5.6843418860808015E-13</v>
      </c>
      <c r="BZ147" s="13">
        <f>BY147*VLOOKUP('Données projet'!$B$12,Paramètres!$A$1:$I$89,3,0)*VLOOKUP('Données projet'!$B$12,Paramètres!$A$1:$I$89,5,0)</f>
        <v>5.1431925385259092E-13</v>
      </c>
      <c r="CA147" s="13">
        <f t="shared" si="147"/>
        <v>6.3855359115685756E-12</v>
      </c>
      <c r="CB147" s="20">
        <f t="shared" si="118"/>
        <v>1.2017247746441865E-11</v>
      </c>
      <c r="CC147" s="59">
        <f t="shared" si="119"/>
        <v>293.33333333334531</v>
      </c>
      <c r="CD147" s="59">
        <f ca="1">AVERAGE(OFFSET($CC$3,0,0,'Données projet'!$E$12+1,1))-AVERAGE(OFFSET($H$3,0,0,'Données projet'!$E$12+1,1))</f>
        <v>270.87836509222456</v>
      </c>
      <c r="CE147" s="59">
        <f t="shared" si="148"/>
        <v>205.24998237949734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132.17488908938537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132.17488908938537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212.00000000000009</v>
      </c>
      <c r="CU147" s="17">
        <f>CT147*VLOOKUP('Données projet'!$B$13,Paramètres!$A$1:$I$89,3,0)*VLOOKUP('Données projet'!$B$13,Paramètres!$A$1:$I$89,5,0)</f>
        <v>185.20320000000009</v>
      </c>
      <c r="CV147" s="13">
        <f t="shared" si="149"/>
        <v>46.477875402099386</v>
      </c>
      <c r="CW147" s="20">
        <f t="shared" si="121"/>
        <v>403.5112063253232</v>
      </c>
      <c r="CX147" s="59">
        <f t="shared" si="122"/>
        <v>696.84453965865646</v>
      </c>
      <c r="CY147" s="59">
        <f ca="1">AVERAGE(OFFSET($CX$3,0,0,'Données projet'!$E$13+1,1))-AVERAGE(OFFSET($H$3,0,0,'Données projet'!$E$13+1,1))</f>
        <v>207.4513063267579</v>
      </c>
      <c r="CZ147" s="59">
        <f t="shared" si="150"/>
        <v>191.63513530247218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6.2481924101939574</v>
      </c>
      <c r="DG147" s="21">
        <f>EXP(-LN(2)/25)*DG146+(1-EXP(-LN(2)/25))/(LN(2)/25)*Calculateur!DB147*Calculateur!DD147*VLOOKUP('Données projet'!$B$13,Paramètres!$A$1:$I$89,3,0)*0.475*44/12</f>
        <v>4.1296727446164585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10.377865154810415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66.814714696519275</v>
      </c>
      <c r="T148" s="59">
        <f t="shared" si="142"/>
        <v>199.56746335788068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3.9798216870065755</v>
      </c>
      <c r="AA148" s="21">
        <f>EXP(-LN(2)/25)*AA147+(1-EXP(-LN(2)/25))/(LN(2)/25)*Calculateur!V148*Calculateur!X148*VLOOKUP('Données projet'!$B$9,Paramètres!$A$1:$I$89,3,0)*0.475*44/12</f>
        <v>0.31557357094219118</v>
      </c>
      <c r="AB148" s="21">
        <f>EXP(-LN(2)/2)*AB147+(1-EXP(-LN(2)/2))/(LN(2)/2)*V148*Y148*VLOOKUP('Données projet'!$B$9,Paramètres!$A$1:$I$89,3,0)*0.475*44/12</f>
        <v>2.2112872613113209E-18</v>
      </c>
      <c r="AC148" s="22">
        <f t="shared" si="111"/>
        <v>4.2953952579487664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367.99999999999972</v>
      </c>
      <c r="AJ148" s="13">
        <f>AI148*VLOOKUP('Données projet'!$B$10,Paramètres!$A$1:$I$89,3,0)*VLOOKUP('Données projet'!$B$10,Paramètres!$A$1:$I$89,5,0)</f>
        <v>292.78079999999977</v>
      </c>
      <c r="AK148" s="13">
        <f t="shared" si="143"/>
        <v>69.660903052386217</v>
      </c>
      <c r="AL148" s="20">
        <f t="shared" si="112"/>
        <v>631.25263281623893</v>
      </c>
      <c r="AM148" s="59">
        <f t="shared" si="113"/>
        <v>924.58596614957219</v>
      </c>
      <c r="AN148" s="59">
        <f ca="1">AVERAGE(OFFSET($AM$3,0,0,'Données projet'!$E$10+1,1))-AVERAGE(OFFSET($H$3,0,0,'Données projet'!$E$10+1,1))</f>
        <v>325.72928944930294</v>
      </c>
      <c r="AO148" s="59">
        <f t="shared" si="144"/>
        <v>318.38876834819752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16.686379740213308</v>
      </c>
      <c r="AV148" s="21">
        <f>EXP(-LN(2)/25)*AV147+(1-EXP(-LN(2)/25))/(LN(2)/25)*Calculateur!AQ148*Calculateur!AS148*VLOOKUP('Données projet'!$B$10,Paramètres!$A$1:$I$89,3,0)*0.475*44/12</f>
        <v>1.1812748784493938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17.867654618662701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268.00000000000023</v>
      </c>
      <c r="BE148" s="13">
        <f>BD148*VLOOKUP('Données projet'!$B$11,Paramètres!$A$1:$I$89,3,0)*VLOOKUP('Données projet'!$B$11,Paramètres!$A$1:$I$89,5,0)</f>
        <v>175.59360000000015</v>
      </c>
      <c r="BF148" s="13">
        <f t="shared" si="145"/>
        <v>44.340433728638573</v>
      </c>
      <c r="BG148" s="20">
        <f t="shared" si="115"/>
        <v>383.05177541071242</v>
      </c>
      <c r="BH148" s="59">
        <f t="shared" si="116"/>
        <v>676.38510874404574</v>
      </c>
      <c r="BI148" s="59">
        <f ca="1">AVERAGE(OFFSET($BH$3,0,0,'Données projet'!$E$11+1,1))-AVERAGE(OFFSET($H$3,0,0,'Données projet'!$E$11+1,1))</f>
        <v>209.40885738157152</v>
      </c>
      <c r="BJ148" s="59">
        <f t="shared" si="146"/>
        <v>230.15385333954697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2.122519158241003</v>
      </c>
      <c r="BQ148" s="21">
        <f>EXP(-LN(2)/25)*BQ147+(1-EXP(-LN(2)/25))/(LN(2)/25)*Calculateur!BL148*Calculateur!BN148*VLOOKUP('Données projet'!$B$11,Paramètres!$A$1:$I$89,3,0)*0.475*44/12</f>
        <v>3.458584039028926</v>
      </c>
      <c r="BR148" s="21">
        <f>EXP(-LN(2)/2)*BR147+(1-EXP(-LN(2)/2))/(LN(2)/2)*BL148*BO148*VLOOKUP('Données projet'!$B$11,Paramètres!$A$1:$I$89,3,0)*0.475*44/12</f>
        <v>7.1871097095292881E-9</v>
      </c>
      <c r="BS148" s="22">
        <f t="shared" si="117"/>
        <v>5.5811032044570386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5.6843418860808015E-13</v>
      </c>
      <c r="BZ148" s="13">
        <f>BY148*VLOOKUP('Données projet'!$B$12,Paramètres!$A$1:$I$89,3,0)*VLOOKUP('Données projet'!$B$12,Paramètres!$A$1:$I$89,5,0)</f>
        <v>5.1431925385259092E-13</v>
      </c>
      <c r="CA148" s="13">
        <f t="shared" si="147"/>
        <v>6.3855359115685756E-12</v>
      </c>
      <c r="CB148" s="20">
        <f t="shared" si="118"/>
        <v>1.2017247746441865E-11</v>
      </c>
      <c r="CC148" s="59">
        <f t="shared" si="119"/>
        <v>293.33333333334531</v>
      </c>
      <c r="CD148" s="59">
        <f ca="1">AVERAGE(OFFSET($CC$3,0,0,'Données projet'!$E$12+1,1))-AVERAGE(OFFSET($H$3,0,0,'Données projet'!$E$12+1,1))</f>
        <v>270.87836509222456</v>
      </c>
      <c r="CE148" s="59">
        <f t="shared" si="148"/>
        <v>205.24998237949734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129.58302013306442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129.58302013306442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212.00000000000009</v>
      </c>
      <c r="CU148" s="17">
        <f>CT148*VLOOKUP('Données projet'!$B$13,Paramètres!$A$1:$I$89,3,0)*VLOOKUP('Données projet'!$B$13,Paramètres!$A$1:$I$89,5,0)</f>
        <v>185.20320000000009</v>
      </c>
      <c r="CV148" s="13">
        <f t="shared" si="149"/>
        <v>46.477875402099386</v>
      </c>
      <c r="CW148" s="20">
        <f t="shared" si="121"/>
        <v>403.5112063253232</v>
      </c>
      <c r="CX148" s="59">
        <f t="shared" si="122"/>
        <v>696.84453965865646</v>
      </c>
      <c r="CY148" s="59">
        <f ca="1">AVERAGE(OFFSET($CX$3,0,0,'Données projet'!$E$13+1,1))-AVERAGE(OFFSET($H$3,0,0,'Données projet'!$E$13+1,1))</f>
        <v>207.4513063267579</v>
      </c>
      <c r="CZ148" s="59">
        <f t="shared" si="150"/>
        <v>191.63513530247218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6.1256691680511173</v>
      </c>
      <c r="DG148" s="21">
        <f>EXP(-LN(2)/25)*DG147+(1-EXP(-LN(2)/25))/(LN(2)/25)*Calculateur!DB148*Calculateur!DD148*VLOOKUP('Données projet'!$B$13,Paramètres!$A$1:$I$89,3,0)*0.475*44/12</f>
        <v>4.0167466262448706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10.142415794295989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66.814714696519275</v>
      </c>
      <c r="T149" s="59">
        <f t="shared" si="142"/>
        <v>199.56746335788068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3.9017798111759148</v>
      </c>
      <c r="AA149" s="21">
        <f>EXP(-LN(2)/25)*AA148+(1-EXP(-LN(2)/25))/(LN(2)/25)*Calculateur!V149*Calculateur!X149*VLOOKUP('Données projet'!$B$9,Paramètres!$A$1:$I$89,3,0)*0.475*44/12</f>
        <v>0.30694419504948411</v>
      </c>
      <c r="AB149" s="21">
        <f>EXP(-LN(2)/2)*AB148+(1-EXP(-LN(2)/2))/(LN(2)/2)*V149*Y149*VLOOKUP('Données projet'!$B$9,Paramètres!$A$1:$I$89,3,0)*0.475*44/12</f>
        <v>1.5636162176246641E-18</v>
      </c>
      <c r="AC149" s="22">
        <f t="shared" si="111"/>
        <v>4.208724006225399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367.99999999999972</v>
      </c>
      <c r="AJ149" s="13">
        <f>AI149*VLOOKUP('Données projet'!$B$10,Paramètres!$A$1:$I$89,3,0)*VLOOKUP('Données projet'!$B$10,Paramètres!$A$1:$I$89,5,0)</f>
        <v>292.78079999999977</v>
      </c>
      <c r="AK149" s="13">
        <f t="shared" si="143"/>
        <v>69.660903052386217</v>
      </c>
      <c r="AL149" s="20">
        <f t="shared" si="112"/>
        <v>631.25263281623893</v>
      </c>
      <c r="AM149" s="59">
        <f t="shared" si="113"/>
        <v>924.58596614957219</v>
      </c>
      <c r="AN149" s="59">
        <f ca="1">AVERAGE(OFFSET($AM$3,0,0,'Données projet'!$E$10+1,1))-AVERAGE(OFFSET($H$3,0,0,'Données projet'!$E$10+1,1))</f>
        <v>325.72928944930294</v>
      </c>
      <c r="AO149" s="59">
        <f t="shared" si="144"/>
        <v>318.38876834819752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16.359170011194404</v>
      </c>
      <c r="AV149" s="21">
        <f>EXP(-LN(2)/25)*AV148+(1-EXP(-LN(2)/25))/(LN(2)/25)*Calculateur!AQ149*Calculateur!AS149*VLOOKUP('Données projet'!$B$10,Paramètres!$A$1:$I$89,3,0)*0.475*44/12</f>
        <v>1.1489728547776492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17.508142865972054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268.00000000000023</v>
      </c>
      <c r="BE149" s="13">
        <f>BD149*VLOOKUP('Données projet'!$B$11,Paramètres!$A$1:$I$89,3,0)*VLOOKUP('Données projet'!$B$11,Paramètres!$A$1:$I$89,5,0)</f>
        <v>175.59360000000015</v>
      </c>
      <c r="BF149" s="13">
        <f t="shared" si="145"/>
        <v>44.340433728638573</v>
      </c>
      <c r="BG149" s="20">
        <f t="shared" si="115"/>
        <v>383.05177541071242</v>
      </c>
      <c r="BH149" s="59">
        <f t="shared" si="116"/>
        <v>676.38510874404574</v>
      </c>
      <c r="BI149" s="59">
        <f ca="1">AVERAGE(OFFSET($BH$3,0,0,'Données projet'!$E$11+1,1))-AVERAGE(OFFSET($H$3,0,0,'Données projet'!$E$11+1,1))</f>
        <v>209.40885738157152</v>
      </c>
      <c r="BJ149" s="59">
        <f t="shared" si="146"/>
        <v>230.15385333954697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2.0808978521567516</v>
      </c>
      <c r="BQ149" s="21">
        <f>EXP(-LN(2)/25)*BQ148+(1-EXP(-LN(2)/25))/(LN(2)/25)*Calculateur!BL149*Calculateur!BN149*VLOOKUP('Données projet'!$B$11,Paramètres!$A$1:$I$89,3,0)*0.475*44/12</f>
        <v>3.3640088766026501</v>
      </c>
      <c r="BR149" s="21">
        <f>EXP(-LN(2)/2)*BR148+(1-EXP(-LN(2)/2))/(LN(2)/2)*BL149*BO149*VLOOKUP('Données projet'!$B$11,Paramètres!$A$1:$I$89,3,0)*0.475*44/12</f>
        <v>5.0820540127398374E-9</v>
      </c>
      <c r="BS149" s="22">
        <f t="shared" si="117"/>
        <v>5.4449067338414556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5.6843418860808015E-13</v>
      </c>
      <c r="BZ149" s="13">
        <f>BY149*VLOOKUP('Données projet'!$B$12,Paramètres!$A$1:$I$89,3,0)*VLOOKUP('Données projet'!$B$12,Paramètres!$A$1:$I$89,5,0)</f>
        <v>5.1431925385259092E-13</v>
      </c>
      <c r="CA149" s="13">
        <f t="shared" si="147"/>
        <v>6.3855359115685756E-12</v>
      </c>
      <c r="CB149" s="20">
        <f t="shared" si="118"/>
        <v>1.2017247746441865E-11</v>
      </c>
      <c r="CC149" s="59">
        <f t="shared" si="119"/>
        <v>293.33333333334531</v>
      </c>
      <c r="CD149" s="59">
        <f ca="1">AVERAGE(OFFSET($CC$3,0,0,'Données projet'!$E$12+1,1))-AVERAGE(OFFSET($H$3,0,0,'Données projet'!$E$12+1,1))</f>
        <v>270.87836509222456</v>
      </c>
      <c r="CE149" s="59">
        <f t="shared" si="148"/>
        <v>205.24998237949734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127.04197614609298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127.04197614609298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212.00000000000009</v>
      </c>
      <c r="CU149" s="17">
        <f>CT149*VLOOKUP('Données projet'!$B$13,Paramètres!$A$1:$I$89,3,0)*VLOOKUP('Données projet'!$B$13,Paramètres!$A$1:$I$89,5,0)</f>
        <v>185.20320000000009</v>
      </c>
      <c r="CV149" s="13">
        <f t="shared" si="149"/>
        <v>46.477875402099386</v>
      </c>
      <c r="CW149" s="20">
        <f t="shared" si="121"/>
        <v>403.5112063253232</v>
      </c>
      <c r="CX149" s="59">
        <f t="shared" si="122"/>
        <v>696.84453965865646</v>
      </c>
      <c r="CY149" s="59">
        <f ca="1">AVERAGE(OFFSET($CX$3,0,0,'Données projet'!$E$13+1,1))-AVERAGE(OFFSET($H$3,0,0,'Données projet'!$E$13+1,1))</f>
        <v>207.4513063267579</v>
      </c>
      <c r="CZ149" s="59">
        <f t="shared" si="150"/>
        <v>191.63513530247218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6.0055485319548998</v>
      </c>
      <c r="DG149" s="21">
        <f>EXP(-LN(2)/25)*DG148+(1-EXP(-LN(2)/25))/(LN(2)/25)*Calculateur!DB149*Calculateur!DD149*VLOOKUP('Données projet'!$B$13,Paramètres!$A$1:$I$89,3,0)*0.475*44/12</f>
        <v>3.9069084785186798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9.9124570104735792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66.814714696519275</v>
      </c>
      <c r="T150" s="59">
        <f t="shared" si="142"/>
        <v>199.56746335788068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3.8252682889294491</v>
      </c>
      <c r="AA150" s="21">
        <f>EXP(-LN(2)/25)*AA149+(1-EXP(-LN(2)/25))/(LN(2)/25)*Calculateur!V150*Calculateur!X150*VLOOKUP('Données projet'!$B$9,Paramètres!$A$1:$I$89,3,0)*0.475*44/12</f>
        <v>0.29855078989436229</v>
      </c>
      <c r="AB150" s="21">
        <f>EXP(-LN(2)/2)*AB149+(1-EXP(-LN(2)/2))/(LN(2)/2)*V150*Y150*VLOOKUP('Données projet'!$B$9,Paramètres!$A$1:$I$89,3,0)*0.475*44/12</f>
        <v>1.1056436306556605E-18</v>
      </c>
      <c r="AC150" s="22">
        <f t="shared" si="111"/>
        <v>4.1238190788238116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367.99999999999972</v>
      </c>
      <c r="AJ150" s="13">
        <f>AI150*VLOOKUP('Données projet'!$B$10,Paramètres!$A$1:$I$89,3,0)*VLOOKUP('Données projet'!$B$10,Paramètres!$A$1:$I$89,5,0)</f>
        <v>292.78079999999977</v>
      </c>
      <c r="AK150" s="13">
        <f t="shared" si="143"/>
        <v>69.660903052386217</v>
      </c>
      <c r="AL150" s="20">
        <f t="shared" si="112"/>
        <v>631.25263281623893</v>
      </c>
      <c r="AM150" s="59">
        <f t="shared" si="113"/>
        <v>924.58596614957219</v>
      </c>
      <c r="AN150" s="59">
        <f ca="1">AVERAGE(OFFSET($AM$3,0,0,'Données projet'!$E$10+1,1))-AVERAGE(OFFSET($H$3,0,0,'Données projet'!$E$10+1,1))</f>
        <v>325.72928944930294</v>
      </c>
      <c r="AO150" s="59">
        <f t="shared" si="144"/>
        <v>318.38876834819752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16.038376665383332</v>
      </c>
      <c r="AV150" s="21">
        <f>EXP(-LN(2)/25)*AV149+(1-EXP(-LN(2)/25))/(LN(2)/25)*Calculateur!AQ150*Calculateur!AS150*VLOOKUP('Données projet'!$B$10,Paramètres!$A$1:$I$89,3,0)*0.475*44/12</f>
        <v>1.117554131641898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17.155930797025231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268.00000000000023</v>
      </c>
      <c r="BE150" s="13">
        <f>BD150*VLOOKUP('Données projet'!$B$11,Paramètres!$A$1:$I$89,3,0)*VLOOKUP('Données projet'!$B$11,Paramètres!$A$1:$I$89,5,0)</f>
        <v>175.59360000000015</v>
      </c>
      <c r="BF150" s="13">
        <f t="shared" si="145"/>
        <v>44.340433728638573</v>
      </c>
      <c r="BG150" s="20">
        <f t="shared" si="115"/>
        <v>383.05177541071242</v>
      </c>
      <c r="BH150" s="59">
        <f t="shared" si="116"/>
        <v>676.38510874404574</v>
      </c>
      <c r="BI150" s="59">
        <f ca="1">AVERAGE(OFFSET($BH$3,0,0,'Données projet'!$E$11+1,1))-AVERAGE(OFFSET($H$3,0,0,'Données projet'!$E$11+1,1))</f>
        <v>209.40885738157152</v>
      </c>
      <c r="BJ150" s="59">
        <f t="shared" si="146"/>
        <v>230.15385333954697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2.0400927144983223</v>
      </c>
      <c r="BQ150" s="21">
        <f>EXP(-LN(2)/25)*BQ149+(1-EXP(-LN(2)/25))/(LN(2)/25)*Calculateur!BL150*Calculateur!BN150*VLOOKUP('Données projet'!$B$11,Paramètres!$A$1:$I$89,3,0)*0.475*44/12</f>
        <v>3.2720198769664126</v>
      </c>
      <c r="BR150" s="21">
        <f>EXP(-LN(2)/2)*BR149+(1-EXP(-LN(2)/2))/(LN(2)/2)*BL150*BO150*VLOOKUP('Données projet'!$B$11,Paramètres!$A$1:$I$89,3,0)*0.475*44/12</f>
        <v>3.593554854764644E-9</v>
      </c>
      <c r="BS150" s="22">
        <f t="shared" si="117"/>
        <v>5.3121125950582897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5.6843418860808015E-13</v>
      </c>
      <c r="BZ150" s="13">
        <f>BY150*VLOOKUP('Données projet'!$B$12,Paramètres!$A$1:$I$89,3,0)*VLOOKUP('Données projet'!$B$12,Paramètres!$A$1:$I$89,5,0)</f>
        <v>5.1431925385259092E-13</v>
      </c>
      <c r="CA150" s="13">
        <f t="shared" si="147"/>
        <v>6.3855359115685756E-12</v>
      </c>
      <c r="CB150" s="20">
        <f t="shared" si="118"/>
        <v>1.2017247746441865E-11</v>
      </c>
      <c r="CC150" s="59">
        <f t="shared" si="119"/>
        <v>293.33333333334531</v>
      </c>
      <c r="CD150" s="59">
        <f ca="1">AVERAGE(OFFSET($CC$3,0,0,'Données projet'!$E$12+1,1))-AVERAGE(OFFSET($H$3,0,0,'Données projet'!$E$12+1,1))</f>
        <v>270.87836509222456</v>
      </c>
      <c r="CE150" s="59">
        <f t="shared" si="148"/>
        <v>205.24998237949734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124.55076048182224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124.55076048182224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212.00000000000009</v>
      </c>
      <c r="CU150" s="17">
        <f>CT150*VLOOKUP('Données projet'!$B$13,Paramètres!$A$1:$I$89,3,0)*VLOOKUP('Données projet'!$B$13,Paramètres!$A$1:$I$89,5,0)</f>
        <v>185.20320000000009</v>
      </c>
      <c r="CV150" s="13">
        <f t="shared" si="149"/>
        <v>46.477875402099386</v>
      </c>
      <c r="CW150" s="20">
        <f t="shared" si="121"/>
        <v>403.5112063253232</v>
      </c>
      <c r="CX150" s="59">
        <f t="shared" si="122"/>
        <v>696.84453965865646</v>
      </c>
      <c r="CY150" s="59">
        <f ca="1">AVERAGE(OFFSET($CX$3,0,0,'Données projet'!$E$13+1,1))-AVERAGE(OFFSET($H$3,0,0,'Données projet'!$E$13+1,1))</f>
        <v>207.4513063267579</v>
      </c>
      <c r="CZ150" s="59">
        <f t="shared" si="150"/>
        <v>191.63513530247218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5.8877833882661754</v>
      </c>
      <c r="DG150" s="21">
        <f>EXP(-LN(2)/25)*DG149+(1-EXP(-LN(2)/25))/(LN(2)/25)*Calculateur!DB150*Calculateur!DD150*VLOOKUP('Données projet'!$B$13,Paramètres!$A$1:$I$89,3,0)*0.475*44/12</f>
        <v>3.8000738607181992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9.6878572489843755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66.814714696519275</v>
      </c>
      <c r="T151" s="59">
        <f t="shared" si="142"/>
        <v>199.56746335788068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3.7502571109668161</v>
      </c>
      <c r="AA151" s="21">
        <f>EXP(-LN(2)/25)*AA150+(1-EXP(-LN(2)/25))/(LN(2)/25)*Calculateur!V151*Calculateur!X151*VLOOKUP('Données projet'!$B$9,Paramètres!$A$1:$I$89,3,0)*0.475*44/12</f>
        <v>0.29038690284459728</v>
      </c>
      <c r="AB151" s="21">
        <f>EXP(-LN(2)/2)*AB150+(1-EXP(-LN(2)/2))/(LN(2)/2)*V151*Y151*VLOOKUP('Données projet'!$B$9,Paramètres!$A$1:$I$89,3,0)*0.475*44/12</f>
        <v>7.8180810881233207E-19</v>
      </c>
      <c r="AC151" s="22">
        <f t="shared" si="111"/>
        <v>4.0406440138114137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367.99999999999972</v>
      </c>
      <c r="AJ151" s="13">
        <f>AI151*VLOOKUP('Données projet'!$B$10,Paramètres!$A$1:$I$89,3,0)*VLOOKUP('Données projet'!$B$10,Paramètres!$A$1:$I$89,5,0)</f>
        <v>292.78079999999977</v>
      </c>
      <c r="AK151" s="13">
        <f t="shared" si="143"/>
        <v>69.660903052386217</v>
      </c>
      <c r="AL151" s="20">
        <f t="shared" si="112"/>
        <v>631.25263281623893</v>
      </c>
      <c r="AM151" s="59">
        <f t="shared" si="113"/>
        <v>924.58596614957219</v>
      </c>
      <c r="AN151" s="59">
        <f ca="1">AVERAGE(OFFSET($AM$3,0,0,'Données projet'!$E$10+1,1))-AVERAGE(OFFSET($H$3,0,0,'Données projet'!$E$10+1,1))</f>
        <v>325.72928944930294</v>
      </c>
      <c r="AO151" s="59">
        <f t="shared" si="144"/>
        <v>318.38876834819752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15.723873881418994</v>
      </c>
      <c r="AV151" s="21">
        <f>EXP(-LN(2)/25)*AV150+(1-EXP(-LN(2)/25))/(LN(2)/25)*Calculateur!AQ151*Calculateur!AS151*VLOOKUP('Données projet'!$B$10,Paramètres!$A$1:$I$89,3,0)*0.475*44/12</f>
        <v>1.0869945551425326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16.810868436561528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268.00000000000023</v>
      </c>
      <c r="BE151" s="13">
        <f>BD151*VLOOKUP('Données projet'!$B$11,Paramètres!$A$1:$I$89,3,0)*VLOOKUP('Données projet'!$B$11,Paramètres!$A$1:$I$89,5,0)</f>
        <v>175.59360000000015</v>
      </c>
      <c r="BF151" s="13">
        <f t="shared" si="145"/>
        <v>44.340433728638573</v>
      </c>
      <c r="BG151" s="20">
        <f t="shared" si="115"/>
        <v>383.05177541071242</v>
      </c>
      <c r="BH151" s="59">
        <f t="shared" si="116"/>
        <v>676.38510874404574</v>
      </c>
      <c r="BI151" s="59">
        <f ca="1">AVERAGE(OFFSET($BH$3,0,0,'Données projet'!$E$11+1,1))-AVERAGE(OFFSET($H$3,0,0,'Données projet'!$E$11+1,1))</f>
        <v>209.40885738157152</v>
      </c>
      <c r="BJ151" s="59">
        <f t="shared" si="146"/>
        <v>230.15385333954697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2.0000877407006983</v>
      </c>
      <c r="BQ151" s="21">
        <f>EXP(-LN(2)/25)*BQ150+(1-EXP(-LN(2)/25))/(LN(2)/25)*Calculateur!BL151*Calculateur!BN151*VLOOKUP('Données projet'!$B$11,Paramètres!$A$1:$I$89,3,0)*0.475*44/12</f>
        <v>3.182546321362719</v>
      </c>
      <c r="BR151" s="21">
        <f>EXP(-LN(2)/2)*BR150+(1-EXP(-LN(2)/2))/(LN(2)/2)*BL151*BO151*VLOOKUP('Données projet'!$B$11,Paramètres!$A$1:$I$89,3,0)*0.475*44/12</f>
        <v>2.5410270063699187E-9</v>
      </c>
      <c r="BS151" s="22">
        <f t="shared" si="117"/>
        <v>5.1826340646044446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5.6843418860808015E-13</v>
      </c>
      <c r="BZ151" s="13">
        <f>BY151*VLOOKUP('Données projet'!$B$12,Paramètres!$A$1:$I$89,3,0)*VLOOKUP('Données projet'!$B$12,Paramètres!$A$1:$I$89,5,0)</f>
        <v>5.1431925385259092E-13</v>
      </c>
      <c r="CA151" s="13">
        <f t="shared" si="147"/>
        <v>6.3855359115685756E-12</v>
      </c>
      <c r="CB151" s="20">
        <f t="shared" si="118"/>
        <v>1.2017247746441865E-11</v>
      </c>
      <c r="CC151" s="59">
        <f t="shared" si="119"/>
        <v>293.33333333334531</v>
      </c>
      <c r="CD151" s="59">
        <f ca="1">AVERAGE(OFFSET($CC$3,0,0,'Données projet'!$E$12+1,1))-AVERAGE(OFFSET($H$3,0,0,'Données projet'!$E$12+1,1))</f>
        <v>270.87836509222456</v>
      </c>
      <c r="CE151" s="59">
        <f t="shared" si="148"/>
        <v>205.24998237949734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122.10839603723633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122.10839603723633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212.00000000000009</v>
      </c>
      <c r="CU151" s="17">
        <f>CT151*VLOOKUP('Données projet'!$B$13,Paramètres!$A$1:$I$89,3,0)*VLOOKUP('Données projet'!$B$13,Paramètres!$A$1:$I$89,5,0)</f>
        <v>185.20320000000009</v>
      </c>
      <c r="CV151" s="13">
        <f t="shared" si="149"/>
        <v>46.477875402099386</v>
      </c>
      <c r="CW151" s="20">
        <f t="shared" si="121"/>
        <v>403.5112063253232</v>
      </c>
      <c r="CX151" s="59">
        <f t="shared" si="122"/>
        <v>696.84453965865646</v>
      </c>
      <c r="CY151" s="59">
        <f ca="1">AVERAGE(OFFSET($CX$3,0,0,'Données projet'!$E$13+1,1))-AVERAGE(OFFSET($H$3,0,0,'Données projet'!$E$13+1,1))</f>
        <v>207.4513063267579</v>
      </c>
      <c r="CZ151" s="59">
        <f t="shared" si="150"/>
        <v>191.63513530247218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5.772327547215542</v>
      </c>
      <c r="DG151" s="21">
        <f>EXP(-LN(2)/25)*DG150+(1-EXP(-LN(2)/25))/(LN(2)/25)*Calculateur!DB151*Calculateur!DD151*VLOOKUP('Données projet'!$B$13,Paramètres!$A$1:$I$89,3,0)*0.475*44/12</f>
        <v>3.6961606411596608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9.4684881883752023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66.814714696519275</v>
      </c>
      <c r="T152" s="59">
        <f t="shared" si="142"/>
        <v>199.56746335788068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3.6767168564517294</v>
      </c>
      <c r="AA152" s="21">
        <f>EXP(-LN(2)/25)*AA151+(1-EXP(-LN(2)/25))/(LN(2)/25)*Calculateur!V152*Calculateur!X152*VLOOKUP('Données projet'!$B$9,Paramètres!$A$1:$I$89,3,0)*0.475*44/12</f>
        <v>0.28244625771552823</v>
      </c>
      <c r="AB152" s="21">
        <f>EXP(-LN(2)/2)*AB151+(1-EXP(-LN(2)/2))/(LN(2)/2)*V152*Y152*VLOOKUP('Données projet'!$B$9,Paramètres!$A$1:$I$89,3,0)*0.475*44/12</f>
        <v>5.5282181532783023E-19</v>
      </c>
      <c r="AC152" s="22">
        <f t="shared" si="111"/>
        <v>3.9591631141672576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367.99999999999972</v>
      </c>
      <c r="AJ152" s="13">
        <f>AI152*VLOOKUP('Données projet'!$B$10,Paramètres!$A$1:$I$89,3,0)*VLOOKUP('Données projet'!$B$10,Paramètres!$A$1:$I$89,5,0)</f>
        <v>292.78079999999977</v>
      </c>
      <c r="AK152" s="13">
        <f t="shared" si="143"/>
        <v>69.660903052386217</v>
      </c>
      <c r="AL152" s="20">
        <f t="shared" si="112"/>
        <v>631.25263281623893</v>
      </c>
      <c r="AM152" s="59">
        <f t="shared" si="113"/>
        <v>924.58596614957219</v>
      </c>
      <c r="AN152" s="59">
        <f ca="1">AVERAGE(OFFSET($AM$3,0,0,'Données projet'!$E$10+1,1))-AVERAGE(OFFSET($H$3,0,0,'Données projet'!$E$10+1,1))</f>
        <v>325.72928944930294</v>
      </c>
      <c r="AO152" s="59">
        <f t="shared" si="144"/>
        <v>318.38876834819752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15.415538305220441</v>
      </c>
      <c r="AV152" s="21">
        <f>EXP(-LN(2)/25)*AV151+(1-EXP(-LN(2)/25))/(LN(2)/25)*Calculateur!AQ152*Calculateur!AS152*VLOOKUP('Données projet'!$B$10,Paramètres!$A$1:$I$89,3,0)*0.475*44/12</f>
        <v>1.0572706318696008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16.47280893709004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268.00000000000023</v>
      </c>
      <c r="BE152" s="13">
        <f>BD152*VLOOKUP('Données projet'!$B$11,Paramètres!$A$1:$I$89,3,0)*VLOOKUP('Données projet'!$B$11,Paramètres!$A$1:$I$89,5,0)</f>
        <v>175.59360000000015</v>
      </c>
      <c r="BF152" s="13">
        <f t="shared" si="145"/>
        <v>44.340433728638573</v>
      </c>
      <c r="BG152" s="20">
        <f t="shared" si="115"/>
        <v>383.05177541071242</v>
      </c>
      <c r="BH152" s="59">
        <f t="shared" si="116"/>
        <v>676.38510874404574</v>
      </c>
      <c r="BI152" s="59">
        <f ca="1">AVERAGE(OFFSET($BH$3,0,0,'Données projet'!$E$11+1,1))-AVERAGE(OFFSET($H$3,0,0,'Données projet'!$E$11+1,1))</f>
        <v>209.40885738157152</v>
      </c>
      <c r="BJ152" s="59">
        <f t="shared" si="146"/>
        <v>230.15385333954697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1.9608672400386211</v>
      </c>
      <c r="BQ152" s="21">
        <f>EXP(-LN(2)/25)*BQ151+(1-EXP(-LN(2)/25))/(LN(2)/25)*Calculateur!BL152*Calculateur!BN152*VLOOKUP('Données projet'!$B$11,Paramètres!$A$1:$I$89,3,0)*0.475*44/12</f>
        <v>3.0955194248422182</v>
      </c>
      <c r="BR152" s="21">
        <f>EXP(-LN(2)/2)*BR151+(1-EXP(-LN(2)/2))/(LN(2)/2)*BL152*BO152*VLOOKUP('Données projet'!$B$11,Paramètres!$A$1:$I$89,3,0)*0.475*44/12</f>
        <v>1.796777427382322E-9</v>
      </c>
      <c r="BS152" s="22">
        <f t="shared" si="117"/>
        <v>5.0563866666776169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5.6843418860808015E-13</v>
      </c>
      <c r="BZ152" s="13">
        <f>BY152*VLOOKUP('Données projet'!$B$12,Paramètres!$A$1:$I$89,3,0)*VLOOKUP('Données projet'!$B$12,Paramètres!$A$1:$I$89,5,0)</f>
        <v>5.1431925385259092E-13</v>
      </c>
      <c r="CA152" s="13">
        <f t="shared" si="147"/>
        <v>6.3855359115685756E-12</v>
      </c>
      <c r="CB152" s="20">
        <f t="shared" si="118"/>
        <v>1.2017247746441865E-11</v>
      </c>
      <c r="CC152" s="59">
        <f t="shared" si="119"/>
        <v>293.33333333334531</v>
      </c>
      <c r="CD152" s="59">
        <f ca="1">AVERAGE(OFFSET($CC$3,0,0,'Données projet'!$E$12+1,1))-AVERAGE(OFFSET($H$3,0,0,'Données projet'!$E$12+1,1))</f>
        <v>270.87836509222456</v>
      </c>
      <c r="CE152" s="59">
        <f t="shared" si="148"/>
        <v>205.24998237949734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119.71392486971354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119.71392486971354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212.00000000000009</v>
      </c>
      <c r="CU152" s="17">
        <f>CT152*VLOOKUP('Données projet'!$B$13,Paramètres!$A$1:$I$89,3,0)*VLOOKUP('Données projet'!$B$13,Paramètres!$A$1:$I$89,5,0)</f>
        <v>185.20320000000009</v>
      </c>
      <c r="CV152" s="13">
        <f t="shared" si="149"/>
        <v>46.477875402099386</v>
      </c>
      <c r="CW152" s="20">
        <f t="shared" si="121"/>
        <v>403.5112063253232</v>
      </c>
      <c r="CX152" s="59">
        <f t="shared" si="122"/>
        <v>696.84453965865646</v>
      </c>
      <c r="CY152" s="59">
        <f ca="1">AVERAGE(OFFSET($CX$3,0,0,'Données projet'!$E$13+1,1))-AVERAGE(OFFSET($H$3,0,0,'Données projet'!$E$13+1,1))</f>
        <v>207.4513063267579</v>
      </c>
      <c r="CZ152" s="59">
        <f t="shared" si="150"/>
        <v>191.63513530247218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5.6591357247868013</v>
      </c>
      <c r="DG152" s="21">
        <f>EXP(-LN(2)/25)*DG151+(1-EXP(-LN(2)/25))/(LN(2)/25)*Calculateur!DB152*Calculateur!DD152*VLOOKUP('Données projet'!$B$13,Paramètres!$A$1:$I$89,3,0)*0.475*44/12</f>
        <v>3.5950889340545094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9.2542246588413111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66.814714696519275</v>
      </c>
      <c r="T153" s="59">
        <f t="shared" si="142"/>
        <v>199.56746335788068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3.6046186814725574</v>
      </c>
      <c r="AA153" s="21">
        <f>EXP(-LN(2)/25)*AA152+(1-EXP(-LN(2)/25))/(LN(2)/25)*Calculateur!V153*Calculateur!X153*VLOOKUP('Données projet'!$B$9,Paramètres!$A$1:$I$89,3,0)*0.475*44/12</f>
        <v>0.27472274994509394</v>
      </c>
      <c r="AB153" s="21">
        <f>EXP(-LN(2)/2)*AB152+(1-EXP(-LN(2)/2))/(LN(2)/2)*V153*Y153*VLOOKUP('Données projet'!$B$9,Paramètres!$A$1:$I$89,3,0)*0.475*44/12</f>
        <v>3.9090405440616604E-19</v>
      </c>
      <c r="AC153" s="22">
        <f t="shared" si="111"/>
        <v>3.8793414314176511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367.99999999999972</v>
      </c>
      <c r="AJ153" s="13">
        <f>AI153*VLOOKUP('Données projet'!$B$10,Paramètres!$A$1:$I$89,3,0)*VLOOKUP('Données projet'!$B$10,Paramètres!$A$1:$I$89,5,0)</f>
        <v>292.78079999999977</v>
      </c>
      <c r="AK153" s="13">
        <f t="shared" si="143"/>
        <v>69.660903052386217</v>
      </c>
      <c r="AL153" s="20">
        <f t="shared" si="112"/>
        <v>631.25263281623893</v>
      </c>
      <c r="AM153" s="59">
        <f t="shared" si="113"/>
        <v>924.58596614957219</v>
      </c>
      <c r="AN153" s="59">
        <f ca="1">AVERAGE(OFFSET($AM$3,0,0,'Données projet'!$E$10+1,1))-AVERAGE(OFFSET($H$3,0,0,'Données projet'!$E$10+1,1))</f>
        <v>325.72928944930294</v>
      </c>
      <c r="AO153" s="59">
        <f t="shared" si="144"/>
        <v>318.38876834819752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15.113249001605009</v>
      </c>
      <c r="AV153" s="21">
        <f>EXP(-LN(2)/25)*AV152+(1-EXP(-LN(2)/25))/(LN(2)/25)*Calculateur!AQ153*Calculateur!AS153*VLOOKUP('Données projet'!$B$10,Paramètres!$A$1:$I$89,3,0)*0.475*44/12</f>
        <v>1.0283595108416805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16.141608512446691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268.00000000000023</v>
      </c>
      <c r="BE153" s="13">
        <f>BD153*VLOOKUP('Données projet'!$B$11,Paramètres!$A$1:$I$89,3,0)*VLOOKUP('Données projet'!$B$11,Paramètres!$A$1:$I$89,5,0)</f>
        <v>175.59360000000015</v>
      </c>
      <c r="BF153" s="13">
        <f t="shared" si="145"/>
        <v>44.340433728638573</v>
      </c>
      <c r="BG153" s="20">
        <f t="shared" si="115"/>
        <v>383.05177541071242</v>
      </c>
      <c r="BH153" s="59">
        <f t="shared" si="116"/>
        <v>676.38510874404574</v>
      </c>
      <c r="BI153" s="59">
        <f ca="1">AVERAGE(OFFSET($BH$3,0,0,'Données projet'!$E$11+1,1))-AVERAGE(OFFSET($H$3,0,0,'Données projet'!$E$11+1,1))</f>
        <v>209.40885738157152</v>
      </c>
      <c r="BJ153" s="59">
        <f t="shared" si="146"/>
        <v>230.15385333954697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1.9224158294723839</v>
      </c>
      <c r="BQ153" s="21">
        <f>EXP(-LN(2)/25)*BQ152+(1-EXP(-LN(2)/25))/(LN(2)/25)*Calculateur!BL153*Calculateur!BN153*VLOOKUP('Données projet'!$B$11,Paramètres!$A$1:$I$89,3,0)*0.475*44/12</f>
        <v>3.0108722833836161</v>
      </c>
      <c r="BR153" s="21">
        <f>EXP(-LN(2)/2)*BR152+(1-EXP(-LN(2)/2))/(LN(2)/2)*BL153*BO153*VLOOKUP('Données projet'!$B$11,Paramètres!$A$1:$I$89,3,0)*0.475*44/12</f>
        <v>1.2705135031849593E-9</v>
      </c>
      <c r="BS153" s="22">
        <f t="shared" si="117"/>
        <v>4.9332881141265137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5.6843418860808015E-13</v>
      </c>
      <c r="BZ153" s="13">
        <f>BY153*VLOOKUP('Données projet'!$B$12,Paramètres!$A$1:$I$89,3,0)*VLOOKUP('Données projet'!$B$12,Paramètres!$A$1:$I$89,5,0)</f>
        <v>5.1431925385259092E-13</v>
      </c>
      <c r="CA153" s="13">
        <f t="shared" si="147"/>
        <v>6.3855359115685756E-12</v>
      </c>
      <c r="CB153" s="20">
        <f t="shared" si="118"/>
        <v>1.2017247746441865E-11</v>
      </c>
      <c r="CC153" s="59">
        <f t="shared" si="119"/>
        <v>293.33333333334531</v>
      </c>
      <c r="CD153" s="59">
        <f ca="1">AVERAGE(OFFSET($CC$3,0,0,'Données projet'!$E$12+1,1))-AVERAGE(OFFSET($H$3,0,0,'Données projet'!$E$12+1,1))</f>
        <v>270.87836509222456</v>
      </c>
      <c r="CE153" s="59">
        <f t="shared" si="148"/>
        <v>205.24998237949734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117.36640782130267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117.36640782130267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212.00000000000009</v>
      </c>
      <c r="CU153" s="17">
        <f>CT153*VLOOKUP('Données projet'!$B$13,Paramètres!$A$1:$I$89,3,0)*VLOOKUP('Données projet'!$B$13,Paramètres!$A$1:$I$89,5,0)</f>
        <v>185.20320000000009</v>
      </c>
      <c r="CV153" s="13">
        <f t="shared" si="149"/>
        <v>46.477875402099386</v>
      </c>
      <c r="CW153" s="20">
        <f t="shared" si="121"/>
        <v>403.5112063253232</v>
      </c>
      <c r="CX153" s="59">
        <f t="shared" si="122"/>
        <v>696.84453965865646</v>
      </c>
      <c r="CY153" s="59">
        <f ca="1">AVERAGE(OFFSET($CX$3,0,0,'Données projet'!$E$13+1,1))-AVERAGE(OFFSET($H$3,0,0,'Données projet'!$E$13+1,1))</f>
        <v>207.4513063267579</v>
      </c>
      <c r="CZ153" s="59">
        <f t="shared" si="150"/>
        <v>191.63513530247218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5.5481635249556938</v>
      </c>
      <c r="DG153" s="21">
        <f>EXP(-LN(2)/25)*DG152+(1-EXP(-LN(2)/25))/(LN(2)/25)*Calculateur!DB153*Calculateur!DD153*VLOOKUP('Données projet'!$B$13,Paramètres!$A$1:$I$89,3,0)*0.475*44/12</f>
        <v>3.4967810380952784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9.0449445630509722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66.814714696519275</v>
      </c>
      <c r="T154" s="59">
        <f t="shared" si="142"/>
        <v>199.56746335788068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3.5339343077291825</v>
      </c>
      <c r="AA154" s="21">
        <f>EXP(-LN(2)/25)*AA153+(1-EXP(-LN(2)/25))/(LN(2)/25)*Calculateur!V154*Calculateur!X154*VLOOKUP('Données projet'!$B$9,Paramètres!$A$1:$I$89,3,0)*0.475*44/12</f>
        <v>0.26721044190080379</v>
      </c>
      <c r="AB154" s="21">
        <f>EXP(-LN(2)/2)*AB153+(1-EXP(-LN(2)/2))/(LN(2)/2)*V154*Y154*VLOOKUP('Données projet'!$B$9,Paramètres!$A$1:$I$89,3,0)*0.475*44/12</f>
        <v>2.7641090766391511E-19</v>
      </c>
      <c r="AC154" s="22">
        <f t="shared" ref="AC154:AC203" si="163">SUM(Z154:AB154)</f>
        <v>3.8011447496299864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367.99999999999972</v>
      </c>
      <c r="AJ154" s="13">
        <f>AI154*VLOOKUP('Données projet'!$B$10,Paramètres!$A$1:$I$89,3,0)*VLOOKUP('Données projet'!$B$10,Paramètres!$A$1:$I$89,5,0)</f>
        <v>292.78079999999977</v>
      </c>
      <c r="AK154" s="13">
        <f t="shared" ref="AK154:AK203" si="164">EXP(-1.0587+0.8836*LN(AJ154)+0.284)</f>
        <v>69.660903052386217</v>
      </c>
      <c r="AL154" s="20">
        <f t="shared" ref="AL154:AL203" si="165">(AJ154+AK154)*0.475*44/12</f>
        <v>631.25263281623893</v>
      </c>
      <c r="AM154" s="59">
        <f t="shared" si="113"/>
        <v>924.58596614957219</v>
      </c>
      <c r="AN154" s="59">
        <f ca="1">AVERAGE(OFFSET($AM$3,0,0,'Données projet'!$E$10+1,1))-AVERAGE(OFFSET($H$3,0,0,'Données projet'!$E$10+1,1))</f>
        <v>325.72928944930294</v>
      </c>
      <c r="AO154" s="59">
        <f t="shared" si="144"/>
        <v>318.38876834819752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14.816887406855207</v>
      </c>
      <c r="AV154" s="21">
        <f>EXP(-LN(2)/25)*AV153+(1-EXP(-LN(2)/25))/(LN(2)/25)*Calculateur!AQ154*Calculateur!AS154*VLOOKUP('Données projet'!$B$10,Paramètres!$A$1:$I$89,3,0)*0.475*44/12</f>
        <v>1.0002389659386384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15.817126372793846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268.00000000000023</v>
      </c>
      <c r="BE154" s="13">
        <f>BD154*VLOOKUP('Données projet'!$B$11,Paramètres!$A$1:$I$89,3,0)*VLOOKUP('Données projet'!$B$11,Paramètres!$A$1:$I$89,5,0)</f>
        <v>175.59360000000015</v>
      </c>
      <c r="BF154" s="13">
        <f t="shared" ref="BF154:BF203" si="167">EXP(-1.0587+0.8836*LN(BE154)+0.284)</f>
        <v>44.340433728638573</v>
      </c>
      <c r="BG154" s="20">
        <f t="shared" ref="BG154:BG203" si="168">(BE154+BF154)*0.475*44/12</f>
        <v>383.05177541071242</v>
      </c>
      <c r="BH154" s="59">
        <f t="shared" si="116"/>
        <v>676.38510874404574</v>
      </c>
      <c r="BI154" s="59">
        <f ca="1">AVERAGE(OFFSET($BH$3,0,0,'Données projet'!$E$11+1,1))-AVERAGE(OFFSET($H$3,0,0,'Données projet'!$E$11+1,1))</f>
        <v>209.40885738157152</v>
      </c>
      <c r="BJ154" s="59">
        <f t="shared" si="146"/>
        <v>230.15385333954697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1.8847184276143059</v>
      </c>
      <c r="BQ154" s="21">
        <f>EXP(-LN(2)/25)*BQ153+(1-EXP(-LN(2)/25))/(LN(2)/25)*Calculateur!BL154*Calculateur!BN154*VLOOKUP('Données projet'!$B$11,Paramètres!$A$1:$I$89,3,0)*0.475*44/12</f>
        <v>2.9285398224595993</v>
      </c>
      <c r="BR154" s="21">
        <f>EXP(-LN(2)/2)*BR153+(1-EXP(-LN(2)/2))/(LN(2)/2)*BL154*BO154*VLOOKUP('Données projet'!$B$11,Paramètres!$A$1:$I$89,3,0)*0.475*44/12</f>
        <v>8.9838871369116101E-10</v>
      </c>
      <c r="BS154" s="22">
        <f t="shared" ref="BS154:BS203" si="169">SUM(BP154:BR154)</f>
        <v>4.8132582509722939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5.6843418860808015E-13</v>
      </c>
      <c r="BZ154" s="13">
        <f>BY154*VLOOKUP('Données projet'!$B$12,Paramètres!$A$1:$I$89,3,0)*VLOOKUP('Données projet'!$B$12,Paramètres!$A$1:$I$89,5,0)</f>
        <v>5.1431925385259092E-13</v>
      </c>
      <c r="CA154" s="13">
        <f t="shared" ref="CA154:CA203" si="170">EXP(-1.0587+0.8836*LN(BZ154)+0.284)</f>
        <v>6.3855359115685756E-12</v>
      </c>
      <c r="CB154" s="20">
        <f t="shared" ref="CB154:CB203" si="171">(BZ154+CA154)*0.475*44/12</f>
        <v>1.2017247746441865E-11</v>
      </c>
      <c r="CC154" s="59">
        <f t="shared" si="119"/>
        <v>293.33333333334531</v>
      </c>
      <c r="CD154" s="59">
        <f ca="1">AVERAGE(OFFSET($CC$3,0,0,'Données projet'!$E$12+1,1))-AVERAGE(OFFSET($H$3,0,0,'Données projet'!$E$12+1,1))</f>
        <v>270.87836509222456</v>
      </c>
      <c r="CE154" s="59">
        <f t="shared" si="148"/>
        <v>205.24998237949734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115.06492415036712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115.06492415036712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212.00000000000009</v>
      </c>
      <c r="CU154" s="17">
        <f>CT154*VLOOKUP('Données projet'!$B$13,Paramètres!$A$1:$I$89,3,0)*VLOOKUP('Données projet'!$B$13,Paramètres!$A$1:$I$89,5,0)</f>
        <v>185.20320000000009</v>
      </c>
      <c r="CV154" s="13">
        <f t="shared" ref="CV154:CV203" si="173">EXP(-1.0587+0.8836*LN(CU154)+0.284)</f>
        <v>46.477875402099386</v>
      </c>
      <c r="CW154" s="20">
        <f t="shared" ref="CW154:CW203" si="174">(CU154+CV154)*0.475*44/12</f>
        <v>403.5112063253232</v>
      </c>
      <c r="CX154" s="59">
        <f t="shared" si="122"/>
        <v>696.84453965865646</v>
      </c>
      <c r="CY154" s="59">
        <f ca="1">AVERAGE(OFFSET($CX$3,0,0,'Données projet'!$E$13+1,1))-AVERAGE(OFFSET($H$3,0,0,'Données projet'!$E$13+1,1))</f>
        <v>207.4513063267579</v>
      </c>
      <c r="CZ154" s="59">
        <f t="shared" si="150"/>
        <v>191.63513530247218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5.4393674222769164</v>
      </c>
      <c r="DG154" s="21">
        <f>EXP(-LN(2)/25)*DG153+(1-EXP(-LN(2)/25))/(LN(2)/25)*Calculateur!DB154*Calculateur!DD154*VLOOKUP('Données projet'!$B$13,Paramètres!$A$1:$I$89,3,0)*0.475*44/12</f>
        <v>3.4011613767208404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8.8405287989977559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66.814714696519275</v>
      </c>
      <c r="T155" s="59">
        <f t="shared" si="142"/>
        <v>199.56746335788068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3.4646360114417041</v>
      </c>
      <c r="AA155" s="21">
        <f>EXP(-LN(2)/25)*AA154+(1-EXP(-LN(2)/25))/(LN(2)/25)*Calculateur!V155*Calculateur!X155*VLOOKUP('Données projet'!$B$9,Paramètres!$A$1:$I$89,3,0)*0.475*44/12</f>
        <v>0.25990355831503986</v>
      </c>
      <c r="AB155" s="21">
        <f>EXP(-LN(2)/2)*AB154+(1-EXP(-LN(2)/2))/(LN(2)/2)*V155*Y155*VLOOKUP('Données projet'!$B$9,Paramètres!$A$1:$I$89,3,0)*0.475*44/12</f>
        <v>1.9545202720308302E-19</v>
      </c>
      <c r="AC155" s="22">
        <f t="shared" si="163"/>
        <v>3.7245395697567441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367.99999999999972</v>
      </c>
      <c r="AJ155" s="13">
        <f>AI155*VLOOKUP('Données projet'!$B$10,Paramètres!$A$1:$I$89,3,0)*VLOOKUP('Données projet'!$B$10,Paramètres!$A$1:$I$89,5,0)</f>
        <v>292.78079999999977</v>
      </c>
      <c r="AK155" s="13">
        <f t="shared" si="164"/>
        <v>69.660903052386217</v>
      </c>
      <c r="AL155" s="20">
        <f t="shared" si="165"/>
        <v>631.25263281623893</v>
      </c>
      <c r="AM155" s="59">
        <f t="shared" si="113"/>
        <v>924.58596614957219</v>
      </c>
      <c r="AN155" s="59">
        <f ca="1">AVERAGE(OFFSET($AM$3,0,0,'Données projet'!$E$10+1,1))-AVERAGE(OFFSET($H$3,0,0,'Données projet'!$E$10+1,1))</f>
        <v>325.72928944930294</v>
      </c>
      <c r="AO155" s="59">
        <f t="shared" si="144"/>
        <v>318.38876834819752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14.526337282215724</v>
      </c>
      <c r="AV155" s="21">
        <f>EXP(-LN(2)/25)*AV154+(1-EXP(-LN(2)/25))/(LN(2)/25)*Calculateur!AQ155*Calculateur!AS155*VLOOKUP('Données projet'!$B$10,Paramètres!$A$1:$I$89,3,0)*0.475*44/12</f>
        <v>0.97288737881476517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15.499224661030489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268.00000000000023</v>
      </c>
      <c r="BE155" s="13">
        <f>BD155*VLOOKUP('Données projet'!$B$11,Paramètres!$A$1:$I$89,3,0)*VLOOKUP('Données projet'!$B$11,Paramètres!$A$1:$I$89,5,0)</f>
        <v>175.59360000000015</v>
      </c>
      <c r="BF155" s="13">
        <f t="shared" si="167"/>
        <v>44.340433728638573</v>
      </c>
      <c r="BG155" s="20">
        <f t="shared" si="168"/>
        <v>383.05177541071242</v>
      </c>
      <c r="BH155" s="59">
        <f t="shared" si="116"/>
        <v>676.38510874404574</v>
      </c>
      <c r="BI155" s="59">
        <f ca="1">AVERAGE(OFFSET($BH$3,0,0,'Données projet'!$E$11+1,1))-AVERAGE(OFFSET($H$3,0,0,'Données projet'!$E$11+1,1))</f>
        <v>209.40885738157152</v>
      </c>
      <c r="BJ155" s="59">
        <f t="shared" si="146"/>
        <v>230.15385333954697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1.8477602488135201</v>
      </c>
      <c r="BQ155" s="21">
        <f>EXP(-LN(2)/25)*BQ154+(1-EXP(-LN(2)/25))/(LN(2)/25)*Calculateur!BL155*Calculateur!BN155*VLOOKUP('Données projet'!$B$11,Paramètres!$A$1:$I$89,3,0)*0.475*44/12</f>
        <v>2.8484587470092255</v>
      </c>
      <c r="BR155" s="21">
        <f>EXP(-LN(2)/2)*BR154+(1-EXP(-LN(2)/2))/(LN(2)/2)*BL155*BO155*VLOOKUP('Données projet'!$B$11,Paramètres!$A$1:$I$89,3,0)*0.475*44/12</f>
        <v>6.3525675159247967E-10</v>
      </c>
      <c r="BS155" s="22">
        <f t="shared" si="169"/>
        <v>4.6962189964580023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5.6843418860808015E-13</v>
      </c>
      <c r="BZ155" s="13">
        <f>BY155*VLOOKUP('Données projet'!$B$12,Paramètres!$A$1:$I$89,3,0)*VLOOKUP('Données projet'!$B$12,Paramètres!$A$1:$I$89,5,0)</f>
        <v>5.1431925385259092E-13</v>
      </c>
      <c r="CA155" s="13">
        <f t="shared" si="170"/>
        <v>6.3855359115685756E-12</v>
      </c>
      <c r="CB155" s="20">
        <f t="shared" si="171"/>
        <v>1.2017247746441865E-11</v>
      </c>
      <c r="CC155" s="59">
        <f t="shared" si="119"/>
        <v>293.33333333334531</v>
      </c>
      <c r="CD155" s="59">
        <f ca="1">AVERAGE(OFFSET($CC$3,0,0,'Données projet'!$E$12+1,1))-AVERAGE(OFFSET($H$3,0,0,'Données projet'!$E$12+1,1))</f>
        <v>270.87836509222456</v>
      </c>
      <c r="CE155" s="59">
        <f t="shared" si="148"/>
        <v>205.24998237949734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112.80857117045218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112.80857117045218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212.00000000000009</v>
      </c>
      <c r="CU155" s="17">
        <f>CT155*VLOOKUP('Données projet'!$B$13,Paramètres!$A$1:$I$89,3,0)*VLOOKUP('Données projet'!$B$13,Paramètres!$A$1:$I$89,5,0)</f>
        <v>185.20320000000009</v>
      </c>
      <c r="CV155" s="13">
        <f t="shared" si="173"/>
        <v>46.477875402099386</v>
      </c>
      <c r="CW155" s="20">
        <f t="shared" si="174"/>
        <v>403.5112063253232</v>
      </c>
      <c r="CX155" s="59">
        <f t="shared" si="122"/>
        <v>696.84453965865646</v>
      </c>
      <c r="CY155" s="59">
        <f ca="1">AVERAGE(OFFSET($CX$3,0,0,'Données projet'!$E$13+1,1))-AVERAGE(OFFSET($H$3,0,0,'Données projet'!$E$13+1,1))</f>
        <v>207.4513063267579</v>
      </c>
      <c r="CZ155" s="59">
        <f t="shared" si="150"/>
        <v>191.63513530247218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5.3327047448125997</v>
      </c>
      <c r="DG155" s="21">
        <f>EXP(-LN(2)/25)*DG154+(1-EXP(-LN(2)/25))/(LN(2)/25)*Calculateur!DB155*Calculateur!DD155*VLOOKUP('Données projet'!$B$13,Paramètres!$A$1:$I$89,3,0)*0.475*44/12</f>
        <v>3.3081564400151056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8.6408611848277062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66.814714696519275</v>
      </c>
      <c r="T156" s="59">
        <f t="shared" si="142"/>
        <v>199.56746335788068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3.396696612476636</v>
      </c>
      <c r="AA156" s="21">
        <f>EXP(-LN(2)/25)*AA155+(1-EXP(-LN(2)/25))/(LN(2)/25)*Calculateur!V156*Calculateur!X156*VLOOKUP('Données projet'!$B$9,Paramètres!$A$1:$I$89,3,0)*0.475*44/12</f>
        <v>0.252796481845181</v>
      </c>
      <c r="AB156" s="21">
        <f>EXP(-LN(2)/2)*AB155+(1-EXP(-LN(2)/2))/(LN(2)/2)*V156*Y156*VLOOKUP('Données projet'!$B$9,Paramètres!$A$1:$I$89,3,0)*0.475*44/12</f>
        <v>1.3820545383195756E-19</v>
      </c>
      <c r="AC156" s="22">
        <f t="shared" si="163"/>
        <v>3.6494930943218171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367.99999999999972</v>
      </c>
      <c r="AJ156" s="13">
        <f>AI156*VLOOKUP('Données projet'!$B$10,Paramètres!$A$1:$I$89,3,0)*VLOOKUP('Données projet'!$B$10,Paramètres!$A$1:$I$89,5,0)</f>
        <v>292.78079999999977</v>
      </c>
      <c r="AK156" s="13">
        <f t="shared" si="164"/>
        <v>69.660903052386217</v>
      </c>
      <c r="AL156" s="20">
        <f t="shared" si="165"/>
        <v>631.25263281623893</v>
      </c>
      <c r="AM156" s="59">
        <f t="shared" si="113"/>
        <v>924.58596614957219</v>
      </c>
      <c r="AN156" s="59">
        <f ca="1">AVERAGE(OFFSET($AM$3,0,0,'Données projet'!$E$10+1,1))-AVERAGE(OFFSET($H$3,0,0,'Données projet'!$E$10+1,1))</f>
        <v>325.72928944930294</v>
      </c>
      <c r="AO156" s="59">
        <f t="shared" si="144"/>
        <v>318.38876834819752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14.241484668302345</v>
      </c>
      <c r="AV156" s="21">
        <f>EXP(-LN(2)/25)*AV155+(1-EXP(-LN(2)/25))/(LN(2)/25)*Calculateur!AQ156*Calculateur!AS156*VLOOKUP('Données projet'!$B$10,Paramètres!$A$1:$I$89,3,0)*0.475*44/12</f>
        <v>0.9462837222791517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15.187768390581496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268.00000000000023</v>
      </c>
      <c r="BE156" s="13">
        <f>BD156*VLOOKUP('Données projet'!$B$11,Paramètres!$A$1:$I$89,3,0)*VLOOKUP('Données projet'!$B$11,Paramètres!$A$1:$I$89,5,0)</f>
        <v>175.59360000000015</v>
      </c>
      <c r="BF156" s="13">
        <f t="shared" si="167"/>
        <v>44.340433728638573</v>
      </c>
      <c r="BG156" s="20">
        <f t="shared" si="168"/>
        <v>383.05177541071242</v>
      </c>
      <c r="BH156" s="59">
        <f t="shared" si="116"/>
        <v>676.38510874404574</v>
      </c>
      <c r="BI156" s="59">
        <f ca="1">AVERAGE(OFFSET($BH$3,0,0,'Données projet'!$E$11+1,1))-AVERAGE(OFFSET($H$3,0,0,'Données projet'!$E$11+1,1))</f>
        <v>209.40885738157152</v>
      </c>
      <c r="BJ156" s="59">
        <f t="shared" si="146"/>
        <v>230.15385333954697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1.8115267973567546</v>
      </c>
      <c r="BQ156" s="21">
        <f>EXP(-LN(2)/25)*BQ155+(1-EXP(-LN(2)/25))/(LN(2)/25)*Calculateur!BL156*Calculateur!BN156*VLOOKUP('Données projet'!$B$11,Paramètres!$A$1:$I$89,3,0)*0.475*44/12</f>
        <v>2.7705674927783228</v>
      </c>
      <c r="BR156" s="21">
        <f>EXP(-LN(2)/2)*BR155+(1-EXP(-LN(2)/2))/(LN(2)/2)*BL156*BO156*VLOOKUP('Données projet'!$B$11,Paramètres!$A$1:$I$89,3,0)*0.475*44/12</f>
        <v>4.491943568455805E-10</v>
      </c>
      <c r="BS156" s="22">
        <f t="shared" si="169"/>
        <v>4.5820942905842719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5.6843418860808015E-13</v>
      </c>
      <c r="BZ156" s="13">
        <f>BY156*VLOOKUP('Données projet'!$B$12,Paramètres!$A$1:$I$89,3,0)*VLOOKUP('Données projet'!$B$12,Paramètres!$A$1:$I$89,5,0)</f>
        <v>5.1431925385259092E-13</v>
      </c>
      <c r="CA156" s="13">
        <f t="shared" si="170"/>
        <v>6.3855359115685756E-12</v>
      </c>
      <c r="CB156" s="20">
        <f t="shared" si="171"/>
        <v>1.2017247746441865E-11</v>
      </c>
      <c r="CC156" s="59">
        <f t="shared" si="119"/>
        <v>293.33333333334531</v>
      </c>
      <c r="CD156" s="59">
        <f ca="1">AVERAGE(OFFSET($CC$3,0,0,'Données projet'!$E$12+1,1))-AVERAGE(OFFSET($H$3,0,0,'Données projet'!$E$12+1,1))</f>
        <v>270.87836509222456</v>
      </c>
      <c r="CE156" s="59">
        <f t="shared" si="148"/>
        <v>205.24998237949734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110.59646389623396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110.59646389623396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212.00000000000009</v>
      </c>
      <c r="CU156" s="17">
        <f>CT156*VLOOKUP('Données projet'!$B$13,Paramètres!$A$1:$I$89,3,0)*VLOOKUP('Données projet'!$B$13,Paramètres!$A$1:$I$89,5,0)</f>
        <v>185.20320000000009</v>
      </c>
      <c r="CV156" s="13">
        <f t="shared" si="173"/>
        <v>46.477875402099386</v>
      </c>
      <c r="CW156" s="20">
        <f t="shared" si="174"/>
        <v>403.5112063253232</v>
      </c>
      <c r="CX156" s="59">
        <f t="shared" si="122"/>
        <v>696.84453965865646</v>
      </c>
      <c r="CY156" s="59">
        <f ca="1">AVERAGE(OFFSET($CX$3,0,0,'Données projet'!$E$13+1,1))-AVERAGE(OFFSET($H$3,0,0,'Données projet'!$E$13+1,1))</f>
        <v>207.4513063267579</v>
      </c>
      <c r="CZ156" s="59">
        <f t="shared" si="150"/>
        <v>191.63513530247218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5.2281336573955484</v>
      </c>
      <c r="DG156" s="21">
        <f>EXP(-LN(2)/25)*DG155+(1-EXP(-LN(2)/25))/(LN(2)/25)*Calculateur!DB156*Calculateur!DD156*VLOOKUP('Données projet'!$B$13,Paramètres!$A$1:$I$89,3,0)*0.475*44/12</f>
        <v>3.2176947281945063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8.4458283855900547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66.814714696519275</v>
      </c>
      <c r="T157" s="59">
        <f t="shared" si="142"/>
        <v>199.56746335788068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3.3300894636863316</v>
      </c>
      <c r="AA157" s="21">
        <f>EXP(-LN(2)/25)*AA156+(1-EXP(-LN(2)/25))/(LN(2)/25)*Calculateur!V157*Calculateur!X157*VLOOKUP('Données projet'!$B$9,Paramètres!$A$1:$I$89,3,0)*0.475*44/12</f>
        <v>0.24588374875513533</v>
      </c>
      <c r="AB157" s="21">
        <f>EXP(-LN(2)/2)*AB156+(1-EXP(-LN(2)/2))/(LN(2)/2)*V157*Y157*VLOOKUP('Données projet'!$B$9,Paramètres!$A$1:$I$89,3,0)*0.475*44/12</f>
        <v>9.7726013601541509E-20</v>
      </c>
      <c r="AC157" s="22">
        <f t="shared" si="163"/>
        <v>3.5759732124414669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367.99999999999972</v>
      </c>
      <c r="AJ157" s="13">
        <f>AI157*VLOOKUP('Données projet'!$B$10,Paramètres!$A$1:$I$89,3,0)*VLOOKUP('Données projet'!$B$10,Paramètres!$A$1:$I$89,5,0)</f>
        <v>292.78079999999977</v>
      </c>
      <c r="AK157" s="13">
        <f t="shared" si="164"/>
        <v>69.660903052386217</v>
      </c>
      <c r="AL157" s="20">
        <f t="shared" si="165"/>
        <v>631.25263281623893</v>
      </c>
      <c r="AM157" s="59">
        <f t="shared" si="113"/>
        <v>924.58596614957219</v>
      </c>
      <c r="AN157" s="59">
        <f ca="1">AVERAGE(OFFSET($AM$3,0,0,'Données projet'!$E$10+1,1))-AVERAGE(OFFSET($H$3,0,0,'Données projet'!$E$10+1,1))</f>
        <v>325.72928944930294</v>
      </c>
      <c r="AO157" s="59">
        <f t="shared" si="144"/>
        <v>318.38876834819752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13.962217840404868</v>
      </c>
      <c r="AV157" s="21">
        <f>EXP(-LN(2)/25)*AV156+(1-EXP(-LN(2)/25))/(LN(2)/25)*Calculateur!AQ157*Calculateur!AS157*VLOOKUP('Données projet'!$B$10,Paramètres!$A$1:$I$89,3,0)*0.475*44/12</f>
        <v>0.92040754413053005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14.882625384535398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268.00000000000023</v>
      </c>
      <c r="BE157" s="13">
        <f>BD157*VLOOKUP('Données projet'!$B$11,Paramètres!$A$1:$I$89,3,0)*VLOOKUP('Données projet'!$B$11,Paramètres!$A$1:$I$89,5,0)</f>
        <v>175.59360000000015</v>
      </c>
      <c r="BF157" s="13">
        <f t="shared" si="167"/>
        <v>44.340433728638573</v>
      </c>
      <c r="BG157" s="20">
        <f t="shared" si="168"/>
        <v>383.05177541071242</v>
      </c>
      <c r="BH157" s="59">
        <f t="shared" si="116"/>
        <v>676.38510874404574</v>
      </c>
      <c r="BI157" s="59">
        <f ca="1">AVERAGE(OFFSET($BH$3,0,0,'Données projet'!$E$11+1,1))-AVERAGE(OFFSET($H$3,0,0,'Données projet'!$E$11+1,1))</f>
        <v>209.40885738157152</v>
      </c>
      <c r="BJ157" s="59">
        <f t="shared" si="146"/>
        <v>230.15385333954697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1.7760038617828331</v>
      </c>
      <c r="BQ157" s="21">
        <f>EXP(-LN(2)/25)*BQ156+(1-EXP(-LN(2)/25))/(LN(2)/25)*Calculateur!BL157*Calculateur!BN157*VLOOKUP('Données projet'!$B$11,Paramètres!$A$1:$I$89,3,0)*0.475*44/12</f>
        <v>2.6948061789904871</v>
      </c>
      <c r="BR157" s="21">
        <f>EXP(-LN(2)/2)*BR156+(1-EXP(-LN(2)/2))/(LN(2)/2)*BL157*BO157*VLOOKUP('Données projet'!$B$11,Paramètres!$A$1:$I$89,3,0)*0.475*44/12</f>
        <v>3.1762837579623984E-10</v>
      </c>
      <c r="BS157" s="22">
        <f t="shared" si="169"/>
        <v>4.4708100410909486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5.6843418860808015E-13</v>
      </c>
      <c r="BZ157" s="13">
        <f>BY157*VLOOKUP('Données projet'!$B$12,Paramètres!$A$1:$I$89,3,0)*VLOOKUP('Données projet'!$B$12,Paramètres!$A$1:$I$89,5,0)</f>
        <v>5.1431925385259092E-13</v>
      </c>
      <c r="CA157" s="13">
        <f t="shared" si="170"/>
        <v>6.3855359115685756E-12</v>
      </c>
      <c r="CB157" s="20">
        <f t="shared" si="171"/>
        <v>1.2017247746441865E-11</v>
      </c>
      <c r="CC157" s="59">
        <f t="shared" si="119"/>
        <v>293.33333333334531</v>
      </c>
      <c r="CD157" s="59">
        <f ca="1">AVERAGE(OFFSET($CC$3,0,0,'Données projet'!$E$12+1,1))-AVERAGE(OFFSET($H$3,0,0,'Données projet'!$E$12+1,1))</f>
        <v>270.87836509222456</v>
      </c>
      <c r="CE157" s="59">
        <f t="shared" si="148"/>
        <v>205.24998237949734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108.42773469641094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108.42773469641094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212.00000000000009</v>
      </c>
      <c r="CU157" s="17">
        <f>CT157*VLOOKUP('Données projet'!$B$13,Paramètres!$A$1:$I$89,3,0)*VLOOKUP('Données projet'!$B$13,Paramètres!$A$1:$I$89,5,0)</f>
        <v>185.20320000000009</v>
      </c>
      <c r="CV157" s="13">
        <f t="shared" si="173"/>
        <v>46.477875402099386</v>
      </c>
      <c r="CW157" s="20">
        <f t="shared" si="174"/>
        <v>403.5112063253232</v>
      </c>
      <c r="CX157" s="59">
        <f t="shared" si="122"/>
        <v>696.84453965865646</v>
      </c>
      <c r="CY157" s="59">
        <f ca="1">AVERAGE(OFFSET($CX$3,0,0,'Données projet'!$E$13+1,1))-AVERAGE(OFFSET($H$3,0,0,'Données projet'!$E$13+1,1))</f>
        <v>207.4513063267579</v>
      </c>
      <c r="CZ157" s="59">
        <f t="shared" si="150"/>
        <v>191.63513530247218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5.1256131452206803</v>
      </c>
      <c r="DG157" s="21">
        <f>EXP(-LN(2)/25)*DG156+(1-EXP(-LN(2)/25))/(LN(2)/25)*Calculateur!DB157*Calculateur!DD157*VLOOKUP('Données projet'!$B$13,Paramètres!$A$1:$I$89,3,0)*0.475*44/12</f>
        <v>3.1297066966408158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8.2553198418614961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66.814714696519275</v>
      </c>
      <c r="T158" s="59">
        <f t="shared" si="142"/>
        <v>199.56746335788068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3.2647884404574556</v>
      </c>
      <c r="AA158" s="21">
        <f>EXP(-LN(2)/25)*AA157+(1-EXP(-LN(2)/25))/(LN(2)/25)*Calculateur!V158*Calculateur!X158*VLOOKUP('Données projet'!$B$9,Paramètres!$A$1:$I$89,3,0)*0.475*44/12</f>
        <v>0.23916004471496177</v>
      </c>
      <c r="AB158" s="21">
        <f>EXP(-LN(2)/2)*AB157+(1-EXP(-LN(2)/2))/(LN(2)/2)*V158*Y158*VLOOKUP('Données projet'!$B$9,Paramètres!$A$1:$I$89,3,0)*0.475*44/12</f>
        <v>6.9102726915978778E-20</v>
      </c>
      <c r="AC158" s="22">
        <f t="shared" si="163"/>
        <v>3.5039484851724172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367.99999999999972</v>
      </c>
      <c r="AJ158" s="13">
        <f>AI158*VLOOKUP('Données projet'!$B$10,Paramètres!$A$1:$I$89,3,0)*VLOOKUP('Données projet'!$B$10,Paramètres!$A$1:$I$89,5,0)</f>
        <v>292.78079999999977</v>
      </c>
      <c r="AK158" s="13">
        <f t="shared" si="164"/>
        <v>69.660903052386217</v>
      </c>
      <c r="AL158" s="20">
        <f t="shared" si="165"/>
        <v>631.25263281623893</v>
      </c>
      <c r="AM158" s="59">
        <f t="shared" si="113"/>
        <v>924.58596614957219</v>
      </c>
      <c r="AN158" s="59">
        <f ca="1">AVERAGE(OFFSET($AM$3,0,0,'Données projet'!$E$10+1,1))-AVERAGE(OFFSET($H$3,0,0,'Données projet'!$E$10+1,1))</f>
        <v>325.72928944930294</v>
      </c>
      <c r="AO158" s="59">
        <f t="shared" si="144"/>
        <v>318.38876834819752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13.688427264666515</v>
      </c>
      <c r="AV158" s="21">
        <f>EXP(-LN(2)/25)*AV157+(1-EXP(-LN(2)/25))/(LN(2)/25)*Calculateur!AQ158*Calculateur!AS158*VLOOKUP('Données projet'!$B$10,Paramètres!$A$1:$I$89,3,0)*0.475*44/12</f>
        <v>0.89523895143415155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14.583666216100667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268.00000000000023</v>
      </c>
      <c r="BE158" s="13">
        <f>BD158*VLOOKUP('Données projet'!$B$11,Paramètres!$A$1:$I$89,3,0)*VLOOKUP('Données projet'!$B$11,Paramètres!$A$1:$I$89,5,0)</f>
        <v>175.59360000000015</v>
      </c>
      <c r="BF158" s="13">
        <f t="shared" si="167"/>
        <v>44.340433728638573</v>
      </c>
      <c r="BG158" s="20">
        <f t="shared" si="168"/>
        <v>383.05177541071242</v>
      </c>
      <c r="BH158" s="59">
        <f t="shared" si="116"/>
        <v>676.38510874404574</v>
      </c>
      <c r="BI158" s="59">
        <f ca="1">AVERAGE(OFFSET($BH$3,0,0,'Données projet'!$E$11+1,1))-AVERAGE(OFFSET($H$3,0,0,'Données projet'!$E$11+1,1))</f>
        <v>209.40885738157152</v>
      </c>
      <c r="BJ158" s="59">
        <f t="shared" si="146"/>
        <v>230.15385333954697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1.7411775093086648</v>
      </c>
      <c r="BQ158" s="21">
        <f>EXP(-LN(2)/25)*BQ157+(1-EXP(-LN(2)/25))/(LN(2)/25)*Calculateur!BL158*Calculateur!BN158*VLOOKUP('Données projet'!$B$11,Paramètres!$A$1:$I$89,3,0)*0.475*44/12</f>
        <v>2.6211165623122943</v>
      </c>
      <c r="BR158" s="21">
        <f>EXP(-LN(2)/2)*BR157+(1-EXP(-LN(2)/2))/(LN(2)/2)*BL158*BO158*VLOOKUP('Données projet'!$B$11,Paramètres!$A$1:$I$89,3,0)*0.475*44/12</f>
        <v>2.2459717842279025E-10</v>
      </c>
      <c r="BS158" s="22">
        <f t="shared" si="169"/>
        <v>4.3622940718455565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5.6843418860808015E-13</v>
      </c>
      <c r="BZ158" s="13">
        <f>BY158*VLOOKUP('Données projet'!$B$12,Paramètres!$A$1:$I$89,3,0)*VLOOKUP('Données projet'!$B$12,Paramètres!$A$1:$I$89,5,0)</f>
        <v>5.1431925385259092E-13</v>
      </c>
      <c r="CA158" s="13">
        <f t="shared" si="170"/>
        <v>6.3855359115685756E-12</v>
      </c>
      <c r="CB158" s="20">
        <f t="shared" si="171"/>
        <v>1.2017247746441865E-11</v>
      </c>
      <c r="CC158" s="59">
        <f t="shared" si="119"/>
        <v>293.33333333334531</v>
      </c>
      <c r="CD158" s="59">
        <f ca="1">AVERAGE(OFFSET($CC$3,0,0,'Données projet'!$E$12+1,1))-AVERAGE(OFFSET($H$3,0,0,'Données projet'!$E$12+1,1))</f>
        <v>270.87836509222456</v>
      </c>
      <c r="CE158" s="59">
        <f t="shared" si="148"/>
        <v>205.24998237949734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106.30153295340226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106.30153295340226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212.00000000000009</v>
      </c>
      <c r="CU158" s="17">
        <f>CT158*VLOOKUP('Données projet'!$B$13,Paramètres!$A$1:$I$89,3,0)*VLOOKUP('Données projet'!$B$13,Paramètres!$A$1:$I$89,5,0)</f>
        <v>185.20320000000009</v>
      </c>
      <c r="CV158" s="13">
        <f t="shared" si="173"/>
        <v>46.477875402099386</v>
      </c>
      <c r="CW158" s="20">
        <f t="shared" si="174"/>
        <v>403.5112063253232</v>
      </c>
      <c r="CX158" s="59">
        <f t="shared" si="122"/>
        <v>696.84453965865646</v>
      </c>
      <c r="CY158" s="59">
        <f ca="1">AVERAGE(OFFSET($CX$3,0,0,'Données projet'!$E$13+1,1))-AVERAGE(OFFSET($H$3,0,0,'Données projet'!$E$13+1,1))</f>
        <v>207.4513063267579</v>
      </c>
      <c r="CZ158" s="59">
        <f t="shared" si="150"/>
        <v>191.63513530247218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5.0251029977582231</v>
      </c>
      <c r="DG158" s="21">
        <f>EXP(-LN(2)/25)*DG157+(1-EXP(-LN(2)/25))/(LN(2)/25)*Calculateur!DB158*Calculateur!DD158*VLOOKUP('Données projet'!$B$13,Paramètres!$A$1:$I$89,3,0)*0.475*44/12</f>
        <v>3.0441247024370504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8.0692277001952739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66.814714696519275</v>
      </c>
      <c r="T159" s="59">
        <f t="shared" si="142"/>
        <v>199.56746335788068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3.2007679304644068</v>
      </c>
      <c r="AA159" s="21">
        <f>EXP(-LN(2)/25)*AA158+(1-EXP(-LN(2)/25))/(LN(2)/25)*Calculateur!V159*Calculateur!X159*VLOOKUP('Données projet'!$B$9,Paramètres!$A$1:$I$89,3,0)*0.475*44/12</f>
        <v>0.232620200715351</v>
      </c>
      <c r="AB159" s="21">
        <f>EXP(-LN(2)/2)*AB158+(1-EXP(-LN(2)/2))/(LN(2)/2)*V159*Y159*VLOOKUP('Données projet'!$B$9,Paramètres!$A$1:$I$89,3,0)*0.475*44/12</f>
        <v>4.8863006800770754E-20</v>
      </c>
      <c r="AC159" s="22">
        <f t="shared" si="163"/>
        <v>3.4333881311797576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367.99999999999972</v>
      </c>
      <c r="AJ159" s="13">
        <f>AI159*VLOOKUP('Données projet'!$B$10,Paramètres!$A$1:$I$89,3,0)*VLOOKUP('Données projet'!$B$10,Paramètres!$A$1:$I$89,5,0)</f>
        <v>292.78079999999977</v>
      </c>
      <c r="AK159" s="13">
        <f t="shared" si="164"/>
        <v>69.660903052386217</v>
      </c>
      <c r="AL159" s="20">
        <f t="shared" si="165"/>
        <v>631.25263281623893</v>
      </c>
      <c r="AM159" s="59">
        <f t="shared" si="113"/>
        <v>924.58596614957219</v>
      </c>
      <c r="AN159" s="59">
        <f ca="1">AVERAGE(OFFSET($AM$3,0,0,'Données projet'!$E$10+1,1))-AVERAGE(OFFSET($H$3,0,0,'Données projet'!$E$10+1,1))</f>
        <v>325.72928944930294</v>
      </c>
      <c r="AO159" s="59">
        <f t="shared" si="144"/>
        <v>318.38876834819752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13.42000555512263</v>
      </c>
      <c r="AV159" s="21">
        <f>EXP(-LN(2)/25)*AV158+(1-EXP(-LN(2)/25))/(LN(2)/25)*Calculateur!AQ159*Calculateur!AS159*VLOOKUP('Données projet'!$B$10,Paramètres!$A$1:$I$89,3,0)*0.475*44/12</f>
        <v>0.87075859522861432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14.290764150351244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268.00000000000023</v>
      </c>
      <c r="BE159" s="13">
        <f>BD159*VLOOKUP('Données projet'!$B$11,Paramètres!$A$1:$I$89,3,0)*VLOOKUP('Données projet'!$B$11,Paramètres!$A$1:$I$89,5,0)</f>
        <v>175.59360000000015</v>
      </c>
      <c r="BF159" s="13">
        <f t="shared" si="167"/>
        <v>44.340433728638573</v>
      </c>
      <c r="BG159" s="20">
        <f t="shared" si="168"/>
        <v>383.05177541071242</v>
      </c>
      <c r="BH159" s="59">
        <f t="shared" si="116"/>
        <v>676.38510874404574</v>
      </c>
      <c r="BI159" s="59">
        <f ca="1">AVERAGE(OFFSET($BH$3,0,0,'Données projet'!$E$11+1,1))-AVERAGE(OFFSET($H$3,0,0,'Données projet'!$E$11+1,1))</f>
        <v>209.40885738157152</v>
      </c>
      <c r="BJ159" s="59">
        <f t="shared" si="146"/>
        <v>230.15385333954697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1.7070340803645374</v>
      </c>
      <c r="BQ159" s="21">
        <f>EXP(-LN(2)/25)*BQ158+(1-EXP(-LN(2)/25))/(LN(2)/25)*Calculateur!BL159*Calculateur!BN159*VLOOKUP('Données projet'!$B$11,Paramètres!$A$1:$I$89,3,0)*0.475*44/12</f>
        <v>2.5494419920773352</v>
      </c>
      <c r="BR159" s="21">
        <f>EXP(-LN(2)/2)*BR158+(1-EXP(-LN(2)/2))/(LN(2)/2)*BL159*BO159*VLOOKUP('Données projet'!$B$11,Paramètres!$A$1:$I$89,3,0)*0.475*44/12</f>
        <v>1.5881418789811992E-10</v>
      </c>
      <c r="BS159" s="22">
        <f t="shared" si="169"/>
        <v>4.2564760726006865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5.6843418860808015E-13</v>
      </c>
      <c r="BZ159" s="13">
        <f>BY159*VLOOKUP('Données projet'!$B$12,Paramètres!$A$1:$I$89,3,0)*VLOOKUP('Données projet'!$B$12,Paramètres!$A$1:$I$89,5,0)</f>
        <v>5.1431925385259092E-13</v>
      </c>
      <c r="CA159" s="13">
        <f t="shared" si="170"/>
        <v>6.3855359115685756E-12</v>
      </c>
      <c r="CB159" s="20">
        <f t="shared" si="171"/>
        <v>1.2017247746441865E-11</v>
      </c>
      <c r="CC159" s="59">
        <f t="shared" si="119"/>
        <v>293.33333333334531</v>
      </c>
      <c r="CD159" s="59">
        <f ca="1">AVERAGE(OFFSET($CC$3,0,0,'Données projet'!$E$12+1,1))-AVERAGE(OFFSET($H$3,0,0,'Données projet'!$E$12+1,1))</f>
        <v>270.87836509222456</v>
      </c>
      <c r="CE159" s="59">
        <f t="shared" si="148"/>
        <v>205.24998237949734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104.21702472971897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104.21702472971897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212.00000000000009</v>
      </c>
      <c r="CU159" s="17">
        <f>CT159*VLOOKUP('Données projet'!$B$13,Paramètres!$A$1:$I$89,3,0)*VLOOKUP('Données projet'!$B$13,Paramètres!$A$1:$I$89,5,0)</f>
        <v>185.20320000000009</v>
      </c>
      <c r="CV159" s="13">
        <f t="shared" si="173"/>
        <v>46.477875402099386</v>
      </c>
      <c r="CW159" s="20">
        <f t="shared" si="174"/>
        <v>403.5112063253232</v>
      </c>
      <c r="CX159" s="59">
        <f t="shared" si="122"/>
        <v>696.84453965865646</v>
      </c>
      <c r="CY159" s="59">
        <f ca="1">AVERAGE(OFFSET($CX$3,0,0,'Données projet'!$E$13+1,1))-AVERAGE(OFFSET($H$3,0,0,'Données projet'!$E$13+1,1))</f>
        <v>207.4513063267579</v>
      </c>
      <c r="CZ159" s="59">
        <f t="shared" si="150"/>
        <v>191.63513530247218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4.9265637929823685</v>
      </c>
      <c r="DG159" s="21">
        <f>EXP(-LN(2)/25)*DG158+(1-EXP(-LN(2)/25))/(LN(2)/25)*Calculateur!DB159*Calculateur!DD159*VLOOKUP('Données projet'!$B$13,Paramètres!$A$1:$I$89,3,0)*0.475*44/12</f>
        <v>2.9608829523653486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7.8874467453477166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66.814714696519275</v>
      </c>
      <c r="T160" s="59">
        <f t="shared" si="142"/>
        <v>199.56746335788068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3.1380028236236663</v>
      </c>
      <c r="AA160" s="21">
        <f>EXP(-LN(2)/25)*AA159+(1-EXP(-LN(2)/25))/(LN(2)/25)*Calculateur!V160*Calculateur!X160*VLOOKUP('Données projet'!$B$9,Paramètres!$A$1:$I$89,3,0)*0.475*44/12</f>
        <v>0.22625918909382503</v>
      </c>
      <c r="AB160" s="21">
        <f>EXP(-LN(2)/2)*AB159+(1-EXP(-LN(2)/2))/(LN(2)/2)*V160*Y160*VLOOKUP('Données projet'!$B$9,Paramètres!$A$1:$I$89,3,0)*0.475*44/12</f>
        <v>3.4551363457989389E-20</v>
      </c>
      <c r="AC160" s="22">
        <f t="shared" si="163"/>
        <v>3.3642620127174911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367.99999999999972</v>
      </c>
      <c r="AJ160" s="13">
        <f>AI160*VLOOKUP('Données projet'!$B$10,Paramètres!$A$1:$I$89,3,0)*VLOOKUP('Données projet'!$B$10,Paramètres!$A$1:$I$89,5,0)</f>
        <v>292.78079999999977</v>
      </c>
      <c r="AK160" s="13">
        <f t="shared" si="164"/>
        <v>69.660903052386217</v>
      </c>
      <c r="AL160" s="20">
        <f t="shared" si="165"/>
        <v>631.25263281623893</v>
      </c>
      <c r="AM160" s="59">
        <f t="shared" si="113"/>
        <v>924.58596614957219</v>
      </c>
      <c r="AN160" s="59">
        <f ca="1">AVERAGE(OFFSET($AM$3,0,0,'Données projet'!$E$10+1,1))-AVERAGE(OFFSET($H$3,0,0,'Données projet'!$E$10+1,1))</f>
        <v>325.72928944930294</v>
      </c>
      <c r="AO160" s="59">
        <f t="shared" si="144"/>
        <v>318.38876834819752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13.156847431581824</v>
      </c>
      <c r="AV160" s="21">
        <f>EXP(-LN(2)/25)*AV159+(1-EXP(-LN(2)/25))/(LN(2)/25)*Calculateur!AQ160*Calculateur!AS160*VLOOKUP('Données projet'!$B$10,Paramètres!$A$1:$I$89,3,0)*0.475*44/12</f>
        <v>0.84694765565088348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14.003795087232707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268.00000000000023</v>
      </c>
      <c r="BE160" s="13">
        <f>BD160*VLOOKUP('Données projet'!$B$11,Paramètres!$A$1:$I$89,3,0)*VLOOKUP('Données projet'!$B$11,Paramètres!$A$1:$I$89,5,0)</f>
        <v>175.59360000000015</v>
      </c>
      <c r="BF160" s="13">
        <f t="shared" si="167"/>
        <v>44.340433728638573</v>
      </c>
      <c r="BG160" s="20">
        <f t="shared" si="168"/>
        <v>383.05177541071242</v>
      </c>
      <c r="BH160" s="59">
        <f t="shared" si="116"/>
        <v>676.38510874404574</v>
      </c>
      <c r="BI160" s="59">
        <f ca="1">AVERAGE(OFFSET($BH$3,0,0,'Données projet'!$E$11+1,1))-AVERAGE(OFFSET($H$3,0,0,'Données projet'!$E$11+1,1))</f>
        <v>209.40885738157152</v>
      </c>
      <c r="BJ160" s="59">
        <f t="shared" si="146"/>
        <v>230.15385333954697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1.6735601832365692</v>
      </c>
      <c r="BQ160" s="21">
        <f>EXP(-LN(2)/25)*BQ159+(1-EXP(-LN(2)/25))/(LN(2)/25)*Calculateur!BL160*Calculateur!BN160*VLOOKUP('Données projet'!$B$11,Paramètres!$A$1:$I$89,3,0)*0.475*44/12</f>
        <v>2.4797273667346529</v>
      </c>
      <c r="BR160" s="21">
        <f>EXP(-LN(2)/2)*BR159+(1-EXP(-LN(2)/2))/(LN(2)/2)*BL160*BO160*VLOOKUP('Données projet'!$B$11,Paramètres!$A$1:$I$89,3,0)*0.475*44/12</f>
        <v>1.1229858921139513E-10</v>
      </c>
      <c r="BS160" s="22">
        <f t="shared" si="169"/>
        <v>4.1532875500835207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5.6843418860808015E-13</v>
      </c>
      <c r="BZ160" s="13">
        <f>BY160*VLOOKUP('Données projet'!$B$12,Paramètres!$A$1:$I$89,3,0)*VLOOKUP('Données projet'!$B$12,Paramètres!$A$1:$I$89,5,0)</f>
        <v>5.1431925385259092E-13</v>
      </c>
      <c r="CA160" s="13">
        <f t="shared" si="170"/>
        <v>6.3855359115685756E-12</v>
      </c>
      <c r="CB160" s="20">
        <f t="shared" si="171"/>
        <v>1.2017247746441865E-11</v>
      </c>
      <c r="CC160" s="59">
        <f t="shared" si="119"/>
        <v>293.33333333334531</v>
      </c>
      <c r="CD160" s="59">
        <f ca="1">AVERAGE(OFFSET($CC$3,0,0,'Données projet'!$E$12+1,1))-AVERAGE(OFFSET($H$3,0,0,'Données projet'!$E$12+1,1))</f>
        <v>270.87836509222456</v>
      </c>
      <c r="CE160" s="59">
        <f t="shared" si="148"/>
        <v>205.24998237949734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102.17339244087763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102.17339244087763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212.00000000000009</v>
      </c>
      <c r="CU160" s="17">
        <f>CT160*VLOOKUP('Données projet'!$B$13,Paramètres!$A$1:$I$89,3,0)*VLOOKUP('Données projet'!$B$13,Paramètres!$A$1:$I$89,5,0)</f>
        <v>185.20320000000009</v>
      </c>
      <c r="CV160" s="13">
        <f t="shared" si="173"/>
        <v>46.477875402099386</v>
      </c>
      <c r="CW160" s="20">
        <f t="shared" si="174"/>
        <v>403.5112063253232</v>
      </c>
      <c r="CX160" s="59">
        <f t="shared" si="122"/>
        <v>696.84453965865646</v>
      </c>
      <c r="CY160" s="59">
        <f ca="1">AVERAGE(OFFSET($CX$3,0,0,'Données projet'!$E$13+1,1))-AVERAGE(OFFSET($H$3,0,0,'Données projet'!$E$13+1,1))</f>
        <v>207.4513063267579</v>
      </c>
      <c r="CZ160" s="59">
        <f t="shared" si="150"/>
        <v>191.63513530247218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4.8299568819091876</v>
      </c>
      <c r="DG160" s="21">
        <f>EXP(-LN(2)/25)*DG159+(1-EXP(-LN(2)/25))/(LN(2)/25)*Calculateur!DB160*Calculateur!DD160*VLOOKUP('Données projet'!$B$13,Paramètres!$A$1:$I$89,3,0)*0.475*44/12</f>
        <v>2.8799174523268509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7.709874334236039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66.814714696519275</v>
      </c>
      <c r="T161" s="59">
        <f t="shared" si="142"/>
        <v>199.56746335788068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3.0764685022451377</v>
      </c>
      <c r="AA161" s="21">
        <f>EXP(-LN(2)/25)*AA160+(1-EXP(-LN(2)/25))/(LN(2)/25)*Calculateur!V161*Calculateur!X161*VLOOKUP('Données projet'!$B$9,Paramètres!$A$1:$I$89,3,0)*0.475*44/12</f>
        <v>0.22007211966960075</v>
      </c>
      <c r="AB161" s="21">
        <f>EXP(-LN(2)/2)*AB160+(1-EXP(-LN(2)/2))/(LN(2)/2)*V161*Y161*VLOOKUP('Données projet'!$B$9,Paramètres!$A$1:$I$89,3,0)*0.475*44/12</f>
        <v>2.4431503400385377E-20</v>
      </c>
      <c r="AC161" s="22">
        <f t="shared" si="163"/>
        <v>3.2965406219147386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367.99999999999972</v>
      </c>
      <c r="AJ161" s="13">
        <f>AI161*VLOOKUP('Données projet'!$B$10,Paramètres!$A$1:$I$89,3,0)*VLOOKUP('Données projet'!$B$10,Paramètres!$A$1:$I$89,5,0)</f>
        <v>292.78079999999977</v>
      </c>
      <c r="AK161" s="13">
        <f t="shared" si="164"/>
        <v>69.660903052386217</v>
      </c>
      <c r="AL161" s="20">
        <f t="shared" si="165"/>
        <v>631.25263281623893</v>
      </c>
      <c r="AM161" s="59">
        <f t="shared" si="113"/>
        <v>924.58596614957219</v>
      </c>
      <c r="AN161" s="59">
        <f ca="1">AVERAGE(OFFSET($AM$3,0,0,'Données projet'!$E$10+1,1))-AVERAGE(OFFSET($H$3,0,0,'Données projet'!$E$10+1,1))</f>
        <v>325.72928944930294</v>
      </c>
      <c r="AO161" s="59">
        <f t="shared" si="144"/>
        <v>318.38876834819752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12.898849678333045</v>
      </c>
      <c r="AV161" s="21">
        <f>EXP(-LN(2)/25)*AV160+(1-EXP(-LN(2)/25))/(LN(2)/25)*Calculateur!AQ161*Calculateur!AS161*VLOOKUP('Données projet'!$B$10,Paramètres!$A$1:$I$89,3,0)*0.475*44/12</f>
        <v>0.82378782746806856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13.722637505801114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268.00000000000023</v>
      </c>
      <c r="BE161" s="13">
        <f>BD161*VLOOKUP('Données projet'!$B$11,Paramètres!$A$1:$I$89,3,0)*VLOOKUP('Données projet'!$B$11,Paramètres!$A$1:$I$89,5,0)</f>
        <v>175.59360000000015</v>
      </c>
      <c r="BF161" s="13">
        <f t="shared" si="167"/>
        <v>44.340433728638573</v>
      </c>
      <c r="BG161" s="20">
        <f t="shared" si="168"/>
        <v>383.05177541071242</v>
      </c>
      <c r="BH161" s="59">
        <f t="shared" si="116"/>
        <v>676.38510874404574</v>
      </c>
      <c r="BI161" s="59">
        <f ca="1">AVERAGE(OFFSET($BH$3,0,0,'Données projet'!$E$11+1,1))-AVERAGE(OFFSET($H$3,0,0,'Données projet'!$E$11+1,1))</f>
        <v>209.40885738157152</v>
      </c>
      <c r="BJ161" s="59">
        <f t="shared" si="146"/>
        <v>230.15385333954697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1.6407426888142191</v>
      </c>
      <c r="BQ161" s="21">
        <f>EXP(-LN(2)/25)*BQ160+(1-EXP(-LN(2)/25))/(LN(2)/25)*Calculateur!BL161*Calculateur!BN161*VLOOKUP('Données projet'!$B$11,Paramètres!$A$1:$I$89,3,0)*0.475*44/12</f>
        <v>2.411919091488099</v>
      </c>
      <c r="BR161" s="21">
        <f>EXP(-LN(2)/2)*BR160+(1-EXP(-LN(2)/2))/(LN(2)/2)*BL161*BO161*VLOOKUP('Données projet'!$B$11,Paramètres!$A$1:$I$89,3,0)*0.475*44/12</f>
        <v>7.9407093949059959E-11</v>
      </c>
      <c r="BS161" s="22">
        <f t="shared" si="169"/>
        <v>4.0526617803817251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5.6843418860808015E-13</v>
      </c>
      <c r="BZ161" s="13">
        <f>BY161*VLOOKUP('Données projet'!$B$12,Paramètres!$A$1:$I$89,3,0)*VLOOKUP('Données projet'!$B$12,Paramètres!$A$1:$I$89,5,0)</f>
        <v>5.1431925385259092E-13</v>
      </c>
      <c r="CA161" s="13">
        <f t="shared" si="170"/>
        <v>6.3855359115685756E-12</v>
      </c>
      <c r="CB161" s="20">
        <f t="shared" si="171"/>
        <v>1.2017247746441865E-11</v>
      </c>
      <c r="CC161" s="59">
        <f t="shared" si="119"/>
        <v>293.33333333334531</v>
      </c>
      <c r="CD161" s="59">
        <f ca="1">AVERAGE(OFFSET($CC$3,0,0,'Données projet'!$E$12+1,1))-AVERAGE(OFFSET($H$3,0,0,'Données projet'!$E$12+1,1))</f>
        <v>270.87836509222456</v>
      </c>
      <c r="CE161" s="59">
        <f t="shared" si="148"/>
        <v>205.24998237949734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100.16983453472787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100.16983453472787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212.00000000000009</v>
      </c>
      <c r="CU161" s="17">
        <f>CT161*VLOOKUP('Données projet'!$B$13,Paramètres!$A$1:$I$89,3,0)*VLOOKUP('Données projet'!$B$13,Paramètres!$A$1:$I$89,5,0)</f>
        <v>185.20320000000009</v>
      </c>
      <c r="CV161" s="13">
        <f t="shared" si="173"/>
        <v>46.477875402099386</v>
      </c>
      <c r="CW161" s="20">
        <f t="shared" si="174"/>
        <v>403.5112063253232</v>
      </c>
      <c r="CX161" s="59">
        <f t="shared" si="122"/>
        <v>696.84453965865646</v>
      </c>
      <c r="CY161" s="59">
        <f ca="1">AVERAGE(OFFSET($CX$3,0,0,'Données projet'!$E$13+1,1))-AVERAGE(OFFSET($H$3,0,0,'Données projet'!$E$13+1,1))</f>
        <v>207.4513063267579</v>
      </c>
      <c r="CZ161" s="59">
        <f t="shared" si="150"/>
        <v>191.63513530247218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4.7352443734377552</v>
      </c>
      <c r="DG161" s="21">
        <f>EXP(-LN(2)/25)*DG160+(1-EXP(-LN(2)/25))/(LN(2)/25)*Calculateur!DB161*Calculateur!DD161*VLOOKUP('Données projet'!$B$13,Paramètres!$A$1:$I$89,3,0)*0.475*44/12</f>
        <v>2.8011659581446966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7.5364103315824522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66.814714696519275</v>
      </c>
      <c r="T162" s="59">
        <f t="shared" si="142"/>
        <v>199.56746335788068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3.0161408313766116</v>
      </c>
      <c r="AA162" s="21">
        <f>EXP(-LN(2)/25)*AA161+(1-EXP(-LN(2)/25))/(LN(2)/25)*Calculateur!V162*Calculateur!X162*VLOOKUP('Données projet'!$B$9,Paramètres!$A$1:$I$89,3,0)*0.475*44/12</f>
        <v>0.21405423598414572</v>
      </c>
      <c r="AB162" s="21">
        <f>EXP(-LN(2)/2)*AB161+(1-EXP(-LN(2)/2))/(LN(2)/2)*V162*Y162*VLOOKUP('Données projet'!$B$9,Paramètres!$A$1:$I$89,3,0)*0.475*44/12</f>
        <v>1.7275681728994695E-20</v>
      </c>
      <c r="AC162" s="22">
        <f t="shared" si="163"/>
        <v>3.2301950673607571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367.99999999999972</v>
      </c>
      <c r="AJ162" s="13">
        <f>AI162*VLOOKUP('Données projet'!$B$10,Paramètres!$A$1:$I$89,3,0)*VLOOKUP('Données projet'!$B$10,Paramètres!$A$1:$I$89,5,0)</f>
        <v>292.78079999999977</v>
      </c>
      <c r="AK162" s="13">
        <f t="shared" si="164"/>
        <v>69.660903052386217</v>
      </c>
      <c r="AL162" s="20">
        <f t="shared" si="165"/>
        <v>631.25263281623893</v>
      </c>
      <c r="AM162" s="59">
        <f t="shared" si="113"/>
        <v>924.58596614957219</v>
      </c>
      <c r="AN162" s="59">
        <f ca="1">AVERAGE(OFFSET($AM$3,0,0,'Données projet'!$E$10+1,1))-AVERAGE(OFFSET($H$3,0,0,'Données projet'!$E$10+1,1))</f>
        <v>325.72928944930294</v>
      </c>
      <c r="AO162" s="59">
        <f t="shared" si="144"/>
        <v>318.38876834819752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12.645911103662385</v>
      </c>
      <c r="AV162" s="21">
        <f>EXP(-LN(2)/25)*AV161+(1-EXP(-LN(2)/25))/(LN(2)/25)*Calculateur!AQ162*Calculateur!AS162*VLOOKUP('Données projet'!$B$10,Paramètres!$A$1:$I$89,3,0)*0.475*44/12</f>
        <v>0.80126130600483514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13.447172409667221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268.00000000000023</v>
      </c>
      <c r="BE162" s="13">
        <f>BD162*VLOOKUP('Données projet'!$B$11,Paramètres!$A$1:$I$89,3,0)*VLOOKUP('Données projet'!$B$11,Paramètres!$A$1:$I$89,5,0)</f>
        <v>175.59360000000015</v>
      </c>
      <c r="BF162" s="13">
        <f t="shared" si="167"/>
        <v>44.340433728638573</v>
      </c>
      <c r="BG162" s="20">
        <f t="shared" si="168"/>
        <v>383.05177541071242</v>
      </c>
      <c r="BH162" s="59">
        <f t="shared" si="116"/>
        <v>676.38510874404574</v>
      </c>
      <c r="BI162" s="59">
        <f ca="1">AVERAGE(OFFSET($BH$3,0,0,'Données projet'!$E$11+1,1))-AVERAGE(OFFSET($H$3,0,0,'Données projet'!$E$11+1,1))</f>
        <v>209.40885738157152</v>
      </c>
      <c r="BJ162" s="59">
        <f t="shared" si="146"/>
        <v>230.15385333954697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1.6085687254407961</v>
      </c>
      <c r="BQ162" s="21">
        <f>EXP(-LN(2)/25)*BQ161+(1-EXP(-LN(2)/25))/(LN(2)/25)*Calculateur!BL162*Calculateur!BN162*VLOOKUP('Données projet'!$B$11,Paramètres!$A$1:$I$89,3,0)*0.475*44/12</f>
        <v>2.3459650370940444</v>
      </c>
      <c r="BR162" s="21">
        <f>EXP(-LN(2)/2)*BR161+(1-EXP(-LN(2)/2))/(LN(2)/2)*BL162*BO162*VLOOKUP('Données projet'!$B$11,Paramètres!$A$1:$I$89,3,0)*0.475*44/12</f>
        <v>5.6149294605697563E-11</v>
      </c>
      <c r="BS162" s="22">
        <f t="shared" si="169"/>
        <v>3.9545337625909895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5.6843418860808015E-13</v>
      </c>
      <c r="BZ162" s="13">
        <f>BY162*VLOOKUP('Données projet'!$B$12,Paramètres!$A$1:$I$89,3,0)*VLOOKUP('Données projet'!$B$12,Paramètres!$A$1:$I$89,5,0)</f>
        <v>5.1431925385259092E-13</v>
      </c>
      <c r="CA162" s="13">
        <f t="shared" si="170"/>
        <v>6.3855359115685756E-12</v>
      </c>
      <c r="CB162" s="20">
        <f t="shared" si="171"/>
        <v>1.2017247746441865E-11</v>
      </c>
      <c r="CC162" s="59">
        <f t="shared" si="119"/>
        <v>293.33333333334531</v>
      </c>
      <c r="CD162" s="59">
        <f ca="1">AVERAGE(OFFSET($CC$3,0,0,'Données projet'!$E$12+1,1))-AVERAGE(OFFSET($H$3,0,0,'Données projet'!$E$12+1,1))</f>
        <v>270.87836509222456</v>
      </c>
      <c r="CE162" s="59">
        <f t="shared" si="148"/>
        <v>205.24998237949734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98.205565177068038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98.205565177068038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212.00000000000009</v>
      </c>
      <c r="CU162" s="17">
        <f>CT162*VLOOKUP('Données projet'!$B$13,Paramètres!$A$1:$I$89,3,0)*VLOOKUP('Données projet'!$B$13,Paramètres!$A$1:$I$89,5,0)</f>
        <v>185.20320000000009</v>
      </c>
      <c r="CV162" s="13">
        <f t="shared" si="173"/>
        <v>46.477875402099386</v>
      </c>
      <c r="CW162" s="20">
        <f t="shared" si="174"/>
        <v>403.5112063253232</v>
      </c>
      <c r="CX162" s="59">
        <f t="shared" si="122"/>
        <v>696.84453965865646</v>
      </c>
      <c r="CY162" s="59">
        <f ca="1">AVERAGE(OFFSET($CX$3,0,0,'Données projet'!$E$13+1,1))-AVERAGE(OFFSET($H$3,0,0,'Données projet'!$E$13+1,1))</f>
        <v>207.4513063267579</v>
      </c>
      <c r="CZ162" s="59">
        <f t="shared" si="150"/>
        <v>191.63513530247218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4.642389119488521</v>
      </c>
      <c r="DG162" s="21">
        <f>EXP(-LN(2)/25)*DG161+(1-EXP(-LN(2)/25))/(LN(2)/25)*Calculateur!DB162*Calculateur!DD162*VLOOKUP('Données projet'!$B$13,Paramètres!$A$1:$I$89,3,0)*0.475*44/12</f>
        <v>2.7245679277123145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7.3669570472008354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66.814714696519275</v>
      </c>
      <c r="T163" s="59">
        <f t="shared" si="142"/>
        <v>199.56746335788068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2.9569961493375718</v>
      </c>
      <c r="AA163" s="21">
        <f>EXP(-LN(2)/25)*AA162+(1-EXP(-LN(2)/25))/(LN(2)/25)*Calculateur!V163*Calculateur!X163*VLOOKUP('Données projet'!$B$9,Paramètres!$A$1:$I$89,3,0)*0.475*44/12</f>
        <v>0.20820091164453622</v>
      </c>
      <c r="AB163" s="21">
        <f>EXP(-LN(2)/2)*AB162+(1-EXP(-LN(2)/2))/(LN(2)/2)*V163*Y163*VLOOKUP('Données projet'!$B$9,Paramètres!$A$1:$I$89,3,0)*0.475*44/12</f>
        <v>1.2215751700192689E-20</v>
      </c>
      <c r="AC163" s="22">
        <f t="shared" si="163"/>
        <v>3.1651970609821078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367.99999999999972</v>
      </c>
      <c r="AJ163" s="13">
        <f>AI163*VLOOKUP('Données projet'!$B$10,Paramètres!$A$1:$I$89,3,0)*VLOOKUP('Données projet'!$B$10,Paramètres!$A$1:$I$89,5,0)</f>
        <v>292.78079999999977</v>
      </c>
      <c r="AK163" s="13">
        <f t="shared" si="164"/>
        <v>69.660903052386217</v>
      </c>
      <c r="AL163" s="20">
        <f t="shared" si="165"/>
        <v>631.25263281623893</v>
      </c>
      <c r="AM163" s="59">
        <f t="shared" si="113"/>
        <v>924.58596614957219</v>
      </c>
      <c r="AN163" s="59">
        <f ca="1">AVERAGE(OFFSET($AM$3,0,0,'Données projet'!$E$10+1,1))-AVERAGE(OFFSET($H$3,0,0,'Données projet'!$E$10+1,1))</f>
        <v>325.72928944930294</v>
      </c>
      <c r="AO163" s="59">
        <f t="shared" si="144"/>
        <v>318.38876834819752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12.397932500163719</v>
      </c>
      <c r="AV163" s="21">
        <f>EXP(-LN(2)/25)*AV162+(1-EXP(-LN(2)/25))/(LN(2)/25)*Calculateur!AQ163*Calculateur!AS163*VLOOKUP('Données projet'!$B$10,Paramètres!$A$1:$I$89,3,0)*0.475*44/12</f>
        <v>0.7793507734556322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13.177283273619352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268.00000000000023</v>
      </c>
      <c r="BE163" s="13">
        <f>BD163*VLOOKUP('Données projet'!$B$11,Paramètres!$A$1:$I$89,3,0)*VLOOKUP('Données projet'!$B$11,Paramètres!$A$1:$I$89,5,0)</f>
        <v>175.59360000000015</v>
      </c>
      <c r="BF163" s="13">
        <f t="shared" si="167"/>
        <v>44.340433728638573</v>
      </c>
      <c r="BG163" s="20">
        <f t="shared" si="168"/>
        <v>383.05177541071242</v>
      </c>
      <c r="BH163" s="59">
        <f t="shared" si="116"/>
        <v>676.38510874404574</v>
      </c>
      <c r="BI163" s="59">
        <f ca="1">AVERAGE(OFFSET($BH$3,0,0,'Données projet'!$E$11+1,1))-AVERAGE(OFFSET($H$3,0,0,'Données projet'!$E$11+1,1))</f>
        <v>209.40885738157152</v>
      </c>
      <c r="BJ163" s="59">
        <f t="shared" si="146"/>
        <v>230.15385333954697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1.577025673864946</v>
      </c>
      <c r="BQ163" s="21">
        <f>EXP(-LN(2)/25)*BQ162+(1-EXP(-LN(2)/25))/(LN(2)/25)*Calculateur!BL163*Calculateur!BN163*VLOOKUP('Données projet'!$B$11,Paramètres!$A$1:$I$89,3,0)*0.475*44/12</f>
        <v>2.2818144997857681</v>
      </c>
      <c r="BR163" s="21">
        <f>EXP(-LN(2)/2)*BR162+(1-EXP(-LN(2)/2))/(LN(2)/2)*BL163*BO163*VLOOKUP('Données projet'!$B$11,Paramètres!$A$1:$I$89,3,0)*0.475*44/12</f>
        <v>3.970354697452998E-11</v>
      </c>
      <c r="BS163" s="22">
        <f t="shared" si="169"/>
        <v>3.8588401736904174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5.6843418860808015E-13</v>
      </c>
      <c r="BZ163" s="13">
        <f>BY163*VLOOKUP('Données projet'!$B$12,Paramètres!$A$1:$I$89,3,0)*VLOOKUP('Données projet'!$B$12,Paramètres!$A$1:$I$89,5,0)</f>
        <v>5.1431925385259092E-13</v>
      </c>
      <c r="CA163" s="13">
        <f t="shared" si="170"/>
        <v>6.3855359115685756E-12</v>
      </c>
      <c r="CB163" s="20">
        <f t="shared" si="171"/>
        <v>1.2017247746441865E-11</v>
      </c>
      <c r="CC163" s="59">
        <f t="shared" si="119"/>
        <v>293.33333333334531</v>
      </c>
      <c r="CD163" s="59">
        <f ca="1">AVERAGE(OFFSET($CC$3,0,0,'Données projet'!$E$12+1,1))-AVERAGE(OFFSET($H$3,0,0,'Données projet'!$E$12+1,1))</f>
        <v>270.87836509222456</v>
      </c>
      <c r="CE163" s="59">
        <f t="shared" si="148"/>
        <v>205.24998237949734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96.279813943425907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96.279813943425907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212.00000000000009</v>
      </c>
      <c r="CU163" s="17">
        <f>CT163*VLOOKUP('Données projet'!$B$13,Paramètres!$A$1:$I$89,3,0)*VLOOKUP('Données projet'!$B$13,Paramètres!$A$1:$I$89,5,0)</f>
        <v>185.20320000000009</v>
      </c>
      <c r="CV163" s="13">
        <f t="shared" si="173"/>
        <v>46.477875402099386</v>
      </c>
      <c r="CW163" s="20">
        <f t="shared" si="174"/>
        <v>403.5112063253232</v>
      </c>
      <c r="CX163" s="59">
        <f t="shared" si="122"/>
        <v>696.84453965865646</v>
      </c>
      <c r="CY163" s="59">
        <f ca="1">AVERAGE(OFFSET($CX$3,0,0,'Données projet'!$E$13+1,1))-AVERAGE(OFFSET($H$3,0,0,'Données projet'!$E$13+1,1))</f>
        <v>207.4513063267579</v>
      </c>
      <c r="CZ163" s="59">
        <f t="shared" si="150"/>
        <v>191.63513530247218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4.5513547004331185</v>
      </c>
      <c r="DG163" s="21">
        <f>EXP(-LN(2)/25)*DG162+(1-EXP(-LN(2)/25))/(LN(2)/25)*Calculateur!DB163*Calculateur!DD163*VLOOKUP('Données projet'!$B$13,Paramètres!$A$1:$I$89,3,0)*0.475*44/12</f>
        <v>2.6500644744502209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7.2014191748833394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66.814714696519275</v>
      </c>
      <c r="T164" s="59">
        <f t="shared" si="142"/>
        <v>199.56746335788068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2.8990112584386236</v>
      </c>
      <c r="AA164" s="21">
        <f>EXP(-LN(2)/25)*AA163+(1-EXP(-LN(2)/25))/(LN(2)/25)*Calculateur!V164*Calculateur!X164*VLOOKUP('Données projet'!$B$9,Paramètres!$A$1:$I$89,3,0)*0.475*44/12</f>
        <v>0.20250764676680627</v>
      </c>
      <c r="AB164" s="21">
        <f>EXP(-LN(2)/2)*AB163+(1-EXP(-LN(2)/2))/(LN(2)/2)*V164*Y164*VLOOKUP('Données projet'!$B$9,Paramètres!$A$1:$I$89,3,0)*0.475*44/12</f>
        <v>8.6378408644973473E-21</v>
      </c>
      <c r="AC164" s="22">
        <f t="shared" si="163"/>
        <v>3.1015189052054297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367.99999999999972</v>
      </c>
      <c r="AJ164" s="13">
        <f>AI164*VLOOKUP('Données projet'!$B$10,Paramètres!$A$1:$I$89,3,0)*VLOOKUP('Données projet'!$B$10,Paramètres!$A$1:$I$89,5,0)</f>
        <v>292.78079999999977</v>
      </c>
      <c r="AK164" s="13">
        <f t="shared" si="164"/>
        <v>69.660903052386217</v>
      </c>
      <c r="AL164" s="20">
        <f t="shared" si="165"/>
        <v>631.25263281623893</v>
      </c>
      <c r="AM164" s="59">
        <f t="shared" si="113"/>
        <v>924.58596614957219</v>
      </c>
      <c r="AN164" s="59">
        <f ca="1">AVERAGE(OFFSET($AM$3,0,0,'Données projet'!$E$10+1,1))-AVERAGE(OFFSET($H$3,0,0,'Données projet'!$E$10+1,1))</f>
        <v>325.72928944930294</v>
      </c>
      <c r="AO164" s="59">
        <f t="shared" si="144"/>
        <v>318.38876834819752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12.15481660582765</v>
      </c>
      <c r="AV164" s="21">
        <f>EXP(-LN(2)/25)*AV163+(1-EXP(-LN(2)/25))/(LN(2)/25)*Calculateur!AQ164*Calculateur!AS164*VLOOKUP('Données projet'!$B$10,Paramètres!$A$1:$I$89,3,0)*0.475*44/12</f>
        <v>0.75803938557121198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12.912855991398862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268.00000000000023</v>
      </c>
      <c r="BE164" s="13">
        <f>BD164*VLOOKUP('Données projet'!$B$11,Paramètres!$A$1:$I$89,3,0)*VLOOKUP('Données projet'!$B$11,Paramètres!$A$1:$I$89,5,0)</f>
        <v>175.59360000000015</v>
      </c>
      <c r="BF164" s="13">
        <f t="shared" si="167"/>
        <v>44.340433728638573</v>
      </c>
      <c r="BG164" s="20">
        <f t="shared" si="168"/>
        <v>383.05177541071242</v>
      </c>
      <c r="BH164" s="59">
        <f t="shared" si="116"/>
        <v>676.38510874404574</v>
      </c>
      <c r="BI164" s="59">
        <f ca="1">AVERAGE(OFFSET($BH$3,0,0,'Données projet'!$E$11+1,1))-AVERAGE(OFFSET($H$3,0,0,'Données projet'!$E$11+1,1))</f>
        <v>209.40885738157152</v>
      </c>
      <c r="BJ164" s="59">
        <f t="shared" si="146"/>
        <v>230.15385333954697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1.5461011622911367</v>
      </c>
      <c r="BQ164" s="21">
        <f>EXP(-LN(2)/25)*BQ163+(1-EXP(-LN(2)/25))/(LN(2)/25)*Calculateur!BL164*Calculateur!BN164*VLOOKUP('Données projet'!$B$11,Paramètres!$A$1:$I$89,3,0)*0.475*44/12</f>
        <v>2.2194181622937168</v>
      </c>
      <c r="BR164" s="21">
        <f>EXP(-LN(2)/2)*BR163+(1-EXP(-LN(2)/2))/(LN(2)/2)*BL164*BO164*VLOOKUP('Données projet'!$B$11,Paramètres!$A$1:$I$89,3,0)*0.475*44/12</f>
        <v>2.8074647302848782E-11</v>
      </c>
      <c r="BS164" s="22">
        <f t="shared" si="169"/>
        <v>3.7655193246129279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5.6843418860808015E-13</v>
      </c>
      <c r="BZ164" s="13">
        <f>BY164*VLOOKUP('Données projet'!$B$12,Paramètres!$A$1:$I$89,3,0)*VLOOKUP('Données projet'!$B$12,Paramètres!$A$1:$I$89,5,0)</f>
        <v>5.1431925385259092E-13</v>
      </c>
      <c r="CA164" s="13">
        <f t="shared" si="170"/>
        <v>6.3855359115685756E-12</v>
      </c>
      <c r="CB164" s="20">
        <f t="shared" si="171"/>
        <v>1.2017247746441865E-11</v>
      </c>
      <c r="CC164" s="59">
        <f t="shared" si="119"/>
        <v>293.33333333334531</v>
      </c>
      <c r="CD164" s="59">
        <f ca="1">AVERAGE(OFFSET($CC$3,0,0,'Données projet'!$E$12+1,1))-AVERAGE(OFFSET($H$3,0,0,'Données projet'!$E$12+1,1))</f>
        <v>270.87836509222456</v>
      </c>
      <c r="CE164" s="59">
        <f t="shared" si="148"/>
        <v>205.24998237949734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94.39182551688323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94.39182551688323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212.00000000000009</v>
      </c>
      <c r="CU164" s="17">
        <f>CT164*VLOOKUP('Données projet'!$B$13,Paramètres!$A$1:$I$89,3,0)*VLOOKUP('Données projet'!$B$13,Paramètres!$A$1:$I$89,5,0)</f>
        <v>185.20320000000009</v>
      </c>
      <c r="CV164" s="13">
        <f t="shared" si="173"/>
        <v>46.477875402099386</v>
      </c>
      <c r="CW164" s="20">
        <f t="shared" si="174"/>
        <v>403.5112063253232</v>
      </c>
      <c r="CX164" s="59">
        <f t="shared" si="122"/>
        <v>696.84453965865646</v>
      </c>
      <c r="CY164" s="59">
        <f ca="1">AVERAGE(OFFSET($CX$3,0,0,'Données projet'!$E$13+1,1))-AVERAGE(OFFSET($H$3,0,0,'Données projet'!$E$13+1,1))</f>
        <v>207.4513063267579</v>
      </c>
      <c r="CZ164" s="59">
        <f t="shared" si="150"/>
        <v>191.63513530247218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4.4621054108098797</v>
      </c>
      <c r="DG164" s="21">
        <f>EXP(-LN(2)/25)*DG163+(1-EXP(-LN(2)/25))/(LN(2)/25)*Calculateur!DB164*Calculateur!DD164*VLOOKUP('Données projet'!$B$13,Paramètres!$A$1:$I$89,3,0)*0.475*44/12</f>
        <v>2.5775983220355458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7.0397037328454255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66.814714696519275</v>
      </c>
      <c r="T165" s="59">
        <f t="shared" si="142"/>
        <v>199.56746335788068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2.8421634158829123</v>
      </c>
      <c r="AA165" s="21">
        <f>EXP(-LN(2)/25)*AA164+(1-EXP(-LN(2)/25))/(LN(2)/25)*Calculateur!V165*Calculateur!X165*VLOOKUP('Données projet'!$B$9,Paramètres!$A$1:$I$89,3,0)*0.475*44/12</f>
        <v>0.19697006451655363</v>
      </c>
      <c r="AB165" s="21">
        <f>EXP(-LN(2)/2)*AB164+(1-EXP(-LN(2)/2))/(LN(2)/2)*V165*Y165*VLOOKUP('Données projet'!$B$9,Paramètres!$A$1:$I$89,3,0)*0.475*44/12</f>
        <v>6.1078758500963443E-21</v>
      </c>
      <c r="AC165" s="22">
        <f t="shared" si="163"/>
        <v>3.0391334803994661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367.99999999999972</v>
      </c>
      <c r="AJ165" s="13">
        <f>AI165*VLOOKUP('Données projet'!$B$10,Paramètres!$A$1:$I$89,3,0)*VLOOKUP('Données projet'!$B$10,Paramètres!$A$1:$I$89,5,0)</f>
        <v>292.78079999999977</v>
      </c>
      <c r="AK165" s="13">
        <f t="shared" si="164"/>
        <v>69.660903052386217</v>
      </c>
      <c r="AL165" s="20">
        <f t="shared" si="165"/>
        <v>631.25263281623893</v>
      </c>
      <c r="AM165" s="59">
        <f t="shared" si="113"/>
        <v>924.58596614957219</v>
      </c>
      <c r="AN165" s="59">
        <f ca="1">AVERAGE(OFFSET($AM$3,0,0,'Données projet'!$E$10+1,1))-AVERAGE(OFFSET($H$3,0,0,'Données projet'!$E$10+1,1))</f>
        <v>325.72928944930294</v>
      </c>
      <c r="AO165" s="59">
        <f t="shared" si="144"/>
        <v>318.38876834819752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11.916468065893456</v>
      </c>
      <c r="AV165" s="21">
        <f>EXP(-LN(2)/25)*AV164+(1-EXP(-LN(2)/25))/(LN(2)/25)*Calculateur!AQ165*Calculateur!AS165*VLOOKUP('Données projet'!$B$10,Paramètres!$A$1:$I$89,3,0)*0.475*44/12</f>
        <v>0.73731075870920837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12.653778824602664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268.00000000000023</v>
      </c>
      <c r="BE165" s="13">
        <f>BD165*VLOOKUP('Données projet'!$B$11,Paramètres!$A$1:$I$89,3,0)*VLOOKUP('Données projet'!$B$11,Paramètres!$A$1:$I$89,5,0)</f>
        <v>175.59360000000015</v>
      </c>
      <c r="BF165" s="13">
        <f t="shared" si="167"/>
        <v>44.340433728638573</v>
      </c>
      <c r="BG165" s="20">
        <f t="shared" si="168"/>
        <v>383.05177541071242</v>
      </c>
      <c r="BH165" s="59">
        <f t="shared" si="116"/>
        <v>676.38510874404574</v>
      </c>
      <c r="BI165" s="59">
        <f ca="1">AVERAGE(OFFSET($BH$3,0,0,'Données projet'!$E$11+1,1))-AVERAGE(OFFSET($H$3,0,0,'Données projet'!$E$11+1,1))</f>
        <v>209.40885738157152</v>
      </c>
      <c r="BJ165" s="59">
        <f t="shared" si="146"/>
        <v>230.15385333954697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1.5157830615272001</v>
      </c>
      <c r="BQ165" s="21">
        <f>EXP(-LN(2)/25)*BQ164+(1-EXP(-LN(2)/25))/(LN(2)/25)*Calculateur!BL165*Calculateur!BN165*VLOOKUP('Données projet'!$B$11,Paramètres!$A$1:$I$89,3,0)*0.475*44/12</f>
        <v>2.1587280559316664</v>
      </c>
      <c r="BR165" s="21">
        <f>EXP(-LN(2)/2)*BR164+(1-EXP(-LN(2)/2))/(LN(2)/2)*BL165*BO165*VLOOKUP('Données projet'!$B$11,Paramètres!$A$1:$I$89,3,0)*0.475*44/12</f>
        <v>1.985177348726499E-11</v>
      </c>
      <c r="BS165" s="22">
        <f t="shared" si="169"/>
        <v>3.6745111174787182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5.6843418860808015E-13</v>
      </c>
      <c r="BZ165" s="13">
        <f>BY165*VLOOKUP('Données projet'!$B$12,Paramètres!$A$1:$I$89,3,0)*VLOOKUP('Données projet'!$B$12,Paramètres!$A$1:$I$89,5,0)</f>
        <v>5.1431925385259092E-13</v>
      </c>
      <c r="CA165" s="13">
        <f t="shared" si="170"/>
        <v>6.3855359115685756E-12</v>
      </c>
      <c r="CB165" s="20">
        <f t="shared" si="171"/>
        <v>1.2017247746441865E-11</v>
      </c>
      <c r="CC165" s="59">
        <f t="shared" si="119"/>
        <v>293.33333333334531</v>
      </c>
      <c r="CD165" s="59">
        <f ca="1">AVERAGE(OFFSET($CC$3,0,0,'Données projet'!$E$12+1,1))-AVERAGE(OFFSET($H$3,0,0,'Données projet'!$E$12+1,1))</f>
        <v>270.87836509222456</v>
      </c>
      <c r="CE165" s="59">
        <f t="shared" si="148"/>
        <v>205.24998237949734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92.540859391825819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92.540859391825819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212.00000000000009</v>
      </c>
      <c r="CU165" s="17">
        <f>CT165*VLOOKUP('Données projet'!$B$13,Paramètres!$A$1:$I$89,3,0)*VLOOKUP('Données projet'!$B$13,Paramètres!$A$1:$I$89,5,0)</f>
        <v>185.20320000000009</v>
      </c>
      <c r="CV165" s="13">
        <f t="shared" si="173"/>
        <v>46.477875402099386</v>
      </c>
      <c r="CW165" s="20">
        <f t="shared" si="174"/>
        <v>403.5112063253232</v>
      </c>
      <c r="CX165" s="59">
        <f t="shared" si="122"/>
        <v>696.84453965865646</v>
      </c>
      <c r="CY165" s="59">
        <f ca="1">AVERAGE(OFFSET($CX$3,0,0,'Données projet'!$E$13+1,1))-AVERAGE(OFFSET($H$3,0,0,'Données projet'!$E$13+1,1))</f>
        <v>207.4513063267579</v>
      </c>
      <c r="CZ165" s="59">
        <f t="shared" si="150"/>
        <v>191.63513530247218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4.3746062453194616</v>
      </c>
      <c r="DG165" s="21">
        <f>EXP(-LN(2)/25)*DG164+(1-EXP(-LN(2)/25))/(LN(2)/25)*Calculateur!DB165*Calculateur!DD165*VLOOKUP('Données projet'!$B$13,Paramètres!$A$1:$I$89,3,0)*0.475*44/12</f>
        <v>2.5071137603694793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6.8817200056889405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66.814714696519275</v>
      </c>
      <c r="T166" s="59">
        <f t="shared" si="142"/>
        <v>199.56746335788068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2.7864303248459583</v>
      </c>
      <c r="AA166" s="21">
        <f>EXP(-LN(2)/25)*AA165+(1-EXP(-LN(2)/25))/(LN(2)/25)*Calculateur!V166*Calculateur!X166*VLOOKUP('Données projet'!$B$9,Paramètres!$A$1:$I$89,3,0)*0.475*44/12</f>
        <v>0.19158390774414297</v>
      </c>
      <c r="AB166" s="21">
        <f>EXP(-LN(2)/2)*AB165+(1-EXP(-LN(2)/2))/(LN(2)/2)*V166*Y166*VLOOKUP('Données projet'!$B$9,Paramètres!$A$1:$I$89,3,0)*0.475*44/12</f>
        <v>4.3189204322486736E-21</v>
      </c>
      <c r="AC166" s="22">
        <f t="shared" si="163"/>
        <v>2.9780142325901013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367.99999999999972</v>
      </c>
      <c r="AJ166" s="13">
        <f>AI166*VLOOKUP('Données projet'!$B$10,Paramètres!$A$1:$I$89,3,0)*VLOOKUP('Données projet'!$B$10,Paramètres!$A$1:$I$89,5,0)</f>
        <v>292.78079999999977</v>
      </c>
      <c r="AK166" s="13">
        <f t="shared" si="164"/>
        <v>69.660903052386217</v>
      </c>
      <c r="AL166" s="20">
        <f t="shared" si="165"/>
        <v>631.25263281623893</v>
      </c>
      <c r="AM166" s="59">
        <f t="shared" si="113"/>
        <v>924.58596614957219</v>
      </c>
      <c r="AN166" s="59">
        <f ca="1">AVERAGE(OFFSET($AM$3,0,0,'Données projet'!$E$10+1,1))-AVERAGE(OFFSET($H$3,0,0,'Données projet'!$E$10+1,1))</f>
        <v>325.72928944930294</v>
      </c>
      <c r="AO166" s="59">
        <f t="shared" si="144"/>
        <v>318.38876834819752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11.682793395449117</v>
      </c>
      <c r="AV166" s="21">
        <f>EXP(-LN(2)/25)*AV165+(1-EXP(-LN(2)/25))/(LN(2)/25)*Calculateur!AQ166*Calculateur!AS166*VLOOKUP('Données projet'!$B$10,Paramètres!$A$1:$I$89,3,0)*0.475*44/12</f>
        <v>0.71714895723881744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12.399942352687935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268.00000000000023</v>
      </c>
      <c r="BE166" s="13">
        <f>BD166*VLOOKUP('Données projet'!$B$11,Paramètres!$A$1:$I$89,3,0)*VLOOKUP('Données projet'!$B$11,Paramètres!$A$1:$I$89,5,0)</f>
        <v>175.59360000000015</v>
      </c>
      <c r="BF166" s="13">
        <f t="shared" si="167"/>
        <v>44.340433728638573</v>
      </c>
      <c r="BG166" s="20">
        <f t="shared" si="168"/>
        <v>383.05177541071242</v>
      </c>
      <c r="BH166" s="59">
        <f t="shared" si="116"/>
        <v>676.38510874404574</v>
      </c>
      <c r="BI166" s="59">
        <f ca="1">AVERAGE(OFFSET($BH$3,0,0,'Données projet'!$E$11+1,1))-AVERAGE(OFFSET($H$3,0,0,'Données projet'!$E$11+1,1))</f>
        <v>209.40885738157152</v>
      </c>
      <c r="BJ166" s="59">
        <f t="shared" si="146"/>
        <v>230.15385333954697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1.4860594802270288</v>
      </c>
      <c r="BQ166" s="21">
        <f>EXP(-LN(2)/25)*BQ165+(1-EXP(-LN(2)/25))/(LN(2)/25)*Calculateur!BL166*Calculateur!BN166*VLOOKUP('Données projet'!$B$11,Paramètres!$A$1:$I$89,3,0)*0.475*44/12</f>
        <v>2.0996975237196405</v>
      </c>
      <c r="BR166" s="21">
        <f>EXP(-LN(2)/2)*BR165+(1-EXP(-LN(2)/2))/(LN(2)/2)*BL166*BO166*VLOOKUP('Données projet'!$B$11,Paramètres!$A$1:$I$89,3,0)*0.475*44/12</f>
        <v>1.4037323651424391E-11</v>
      </c>
      <c r="BS166" s="22">
        <f t="shared" si="169"/>
        <v>3.5857570039607065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5.6843418860808015E-13</v>
      </c>
      <c r="BZ166" s="13">
        <f>BY166*VLOOKUP('Données projet'!$B$12,Paramètres!$A$1:$I$89,3,0)*VLOOKUP('Données projet'!$B$12,Paramètres!$A$1:$I$89,5,0)</f>
        <v>5.1431925385259092E-13</v>
      </c>
      <c r="CA166" s="13">
        <f t="shared" si="170"/>
        <v>6.3855359115685756E-12</v>
      </c>
      <c r="CB166" s="20">
        <f t="shared" si="171"/>
        <v>1.2017247746441865E-11</v>
      </c>
      <c r="CC166" s="59">
        <f t="shared" si="119"/>
        <v>293.33333333334531</v>
      </c>
      <c r="CD166" s="59">
        <f ca="1">AVERAGE(OFFSET($CC$3,0,0,'Données projet'!$E$12+1,1))-AVERAGE(OFFSET($H$3,0,0,'Données projet'!$E$12+1,1))</f>
        <v>270.87836509222456</v>
      </c>
      <c r="CE166" s="59">
        <f t="shared" si="148"/>
        <v>205.24998237949734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90.726189583502929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90.726189583502929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212.00000000000009</v>
      </c>
      <c r="CU166" s="17">
        <f>CT166*VLOOKUP('Données projet'!$B$13,Paramètres!$A$1:$I$89,3,0)*VLOOKUP('Données projet'!$B$13,Paramètres!$A$1:$I$89,5,0)</f>
        <v>185.20320000000009</v>
      </c>
      <c r="CV166" s="13">
        <f t="shared" si="173"/>
        <v>46.477875402099386</v>
      </c>
      <c r="CW166" s="20">
        <f t="shared" si="174"/>
        <v>403.5112063253232</v>
      </c>
      <c r="CX166" s="59">
        <f t="shared" si="122"/>
        <v>696.84453965865646</v>
      </c>
      <c r="CY166" s="59">
        <f ca="1">AVERAGE(OFFSET($CX$3,0,0,'Données projet'!$E$13+1,1))-AVERAGE(OFFSET($H$3,0,0,'Données projet'!$E$13+1,1))</f>
        <v>207.4513063267579</v>
      </c>
      <c r="CZ166" s="59">
        <f t="shared" si="150"/>
        <v>191.63513530247218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4.2888228850950894</v>
      </c>
      <c r="DG166" s="21">
        <f>EXP(-LN(2)/25)*DG165+(1-EXP(-LN(2)/25))/(LN(2)/25)*Calculateur!DB166*Calculateur!DD166*VLOOKUP('Données projet'!$B$13,Paramètres!$A$1:$I$89,3,0)*0.475*44/12</f>
        <v>2.4385566027487933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6.7273794878438826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66.814714696519275</v>
      </c>
      <c r="T167" s="59">
        <f t="shared" si="142"/>
        <v>199.56746335788068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2.7317901257304102</v>
      </c>
      <c r="AA167" s="21">
        <f>EXP(-LN(2)/25)*AA166+(1-EXP(-LN(2)/25))/(LN(2)/25)*Calculateur!V167*Calculateur!X167*VLOOKUP('Données projet'!$B$9,Paramètres!$A$1:$I$89,3,0)*0.475*44/12</f>
        <v>0.18634503571191954</v>
      </c>
      <c r="AB167" s="21">
        <f>EXP(-LN(2)/2)*AB166+(1-EXP(-LN(2)/2))/(LN(2)/2)*V167*Y167*VLOOKUP('Données projet'!$B$9,Paramètres!$A$1:$I$89,3,0)*0.475*44/12</f>
        <v>3.0539379250481722E-21</v>
      </c>
      <c r="AC167" s="22">
        <f t="shared" si="163"/>
        <v>2.9181351614423297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367.99999999999972</v>
      </c>
      <c r="AJ167" s="13">
        <f>AI167*VLOOKUP('Données projet'!$B$10,Paramètres!$A$1:$I$89,3,0)*VLOOKUP('Données projet'!$B$10,Paramètres!$A$1:$I$89,5,0)</f>
        <v>292.78079999999977</v>
      </c>
      <c r="AK167" s="13">
        <f t="shared" si="164"/>
        <v>69.660903052386217</v>
      </c>
      <c r="AL167" s="20">
        <f t="shared" si="165"/>
        <v>631.25263281623893</v>
      </c>
      <c r="AM167" s="59">
        <f t="shared" si="113"/>
        <v>924.58596614957219</v>
      </c>
      <c r="AN167" s="59">
        <f ca="1">AVERAGE(OFFSET($AM$3,0,0,'Données projet'!$E$10+1,1))-AVERAGE(OFFSET($H$3,0,0,'Données projet'!$E$10+1,1))</f>
        <v>325.72928944930294</v>
      </c>
      <c r="AO167" s="59">
        <f t="shared" si="144"/>
        <v>318.38876834819752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11.453700942764717</v>
      </c>
      <c r="AV167" s="21">
        <f>EXP(-LN(2)/25)*AV166+(1-EXP(-LN(2)/25))/(LN(2)/25)*Calculateur!AQ167*Calculateur!AS167*VLOOKUP('Données projet'!$B$10,Paramètres!$A$1:$I$89,3,0)*0.475*44/12</f>
        <v>0.69753848128989737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12.151239424054614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268.00000000000023</v>
      </c>
      <c r="BE167" s="13">
        <f>BD167*VLOOKUP('Données projet'!$B$11,Paramètres!$A$1:$I$89,3,0)*VLOOKUP('Données projet'!$B$11,Paramètres!$A$1:$I$89,5,0)</f>
        <v>175.59360000000015</v>
      </c>
      <c r="BF167" s="13">
        <f t="shared" si="167"/>
        <v>44.340433728638573</v>
      </c>
      <c r="BG167" s="20">
        <f t="shared" si="168"/>
        <v>383.05177541071242</v>
      </c>
      <c r="BH167" s="59">
        <f t="shared" si="116"/>
        <v>676.38510874404574</v>
      </c>
      <c r="BI167" s="59">
        <f ca="1">AVERAGE(OFFSET($BH$3,0,0,'Données projet'!$E$11+1,1))-AVERAGE(OFFSET($H$3,0,0,'Données projet'!$E$11+1,1))</f>
        <v>209.40885738157152</v>
      </c>
      <c r="BJ167" s="59">
        <f t="shared" si="146"/>
        <v>230.15385333954697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1.4569187602265594</v>
      </c>
      <c r="BQ167" s="21">
        <f>EXP(-LN(2)/25)*BQ166+(1-EXP(-LN(2)/25))/(LN(2)/25)*Calculateur!BL167*Calculateur!BN167*VLOOKUP('Données projet'!$B$11,Paramètres!$A$1:$I$89,3,0)*0.475*44/12</f>
        <v>2.0422811845152329</v>
      </c>
      <c r="BR167" s="21">
        <f>EXP(-LN(2)/2)*BR166+(1-EXP(-LN(2)/2))/(LN(2)/2)*BL167*BO167*VLOOKUP('Données projet'!$B$11,Paramètres!$A$1:$I$89,3,0)*0.475*44/12</f>
        <v>9.9258867436324949E-12</v>
      </c>
      <c r="BS167" s="22">
        <f t="shared" si="169"/>
        <v>3.4991999447517181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5.6843418860808015E-13</v>
      </c>
      <c r="BZ167" s="13">
        <f>BY167*VLOOKUP('Données projet'!$B$12,Paramètres!$A$1:$I$89,3,0)*VLOOKUP('Données projet'!$B$12,Paramètres!$A$1:$I$89,5,0)</f>
        <v>5.1431925385259092E-13</v>
      </c>
      <c r="CA167" s="13">
        <f t="shared" si="170"/>
        <v>6.3855359115685756E-12</v>
      </c>
      <c r="CB167" s="20">
        <f t="shared" si="171"/>
        <v>1.2017247746441865E-11</v>
      </c>
      <c r="CC167" s="59">
        <f t="shared" si="119"/>
        <v>293.33333333334531</v>
      </c>
      <c r="CD167" s="59">
        <f ca="1">AVERAGE(OFFSET($CC$3,0,0,'Données projet'!$E$12+1,1))-AVERAGE(OFFSET($H$3,0,0,'Données projet'!$E$12+1,1))</f>
        <v>270.87836509222456</v>
      </c>
      <c r="CE167" s="59">
        <f t="shared" si="148"/>
        <v>205.24998237949734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88.947104343281964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88.947104343281964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212.00000000000009</v>
      </c>
      <c r="CU167" s="17">
        <f>CT167*VLOOKUP('Données projet'!$B$13,Paramètres!$A$1:$I$89,3,0)*VLOOKUP('Données projet'!$B$13,Paramètres!$A$1:$I$89,5,0)</f>
        <v>185.20320000000009</v>
      </c>
      <c r="CV167" s="13">
        <f t="shared" si="173"/>
        <v>46.477875402099386</v>
      </c>
      <c r="CW167" s="20">
        <f t="shared" si="174"/>
        <v>403.5112063253232</v>
      </c>
      <c r="CX167" s="59">
        <f t="shared" si="122"/>
        <v>696.84453965865646</v>
      </c>
      <c r="CY167" s="59">
        <f ca="1">AVERAGE(OFFSET($CX$3,0,0,'Données projet'!$E$13+1,1))-AVERAGE(OFFSET($H$3,0,0,'Données projet'!$E$13+1,1))</f>
        <v>207.4513063267579</v>
      </c>
      <c r="CZ167" s="59">
        <f t="shared" si="150"/>
        <v>191.63513530247218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4.2047216842420339</v>
      </c>
      <c r="DG167" s="21">
        <f>EXP(-LN(2)/25)*DG166+(1-EXP(-LN(2)/25))/(LN(2)/25)*Calculateur!DB167*Calculateur!DD167*VLOOKUP('Données projet'!$B$13,Paramètres!$A$1:$I$89,3,0)*0.475*44/12</f>
        <v>2.3718741442085092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6.576595828450543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66.814714696519275</v>
      </c>
      <c r="T168" s="59">
        <f t="shared" si="142"/>
        <v>199.56746335788068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2.6782213875922873</v>
      </c>
      <c r="AA168" s="21">
        <f>EXP(-LN(2)/25)*AA167+(1-EXP(-LN(2)/25))/(LN(2)/25)*Calculateur!V168*Calculateur!X168*VLOOKUP('Données projet'!$B$9,Paramètres!$A$1:$I$89,3,0)*0.475*44/12</f>
        <v>0.18124942091091759</v>
      </c>
      <c r="AB168" s="21">
        <f>EXP(-LN(2)/2)*AB167+(1-EXP(-LN(2)/2))/(LN(2)/2)*V168*Y168*VLOOKUP('Données projet'!$B$9,Paramètres!$A$1:$I$89,3,0)*0.475*44/12</f>
        <v>2.1594602161243368E-21</v>
      </c>
      <c r="AC168" s="22">
        <f t="shared" si="163"/>
        <v>2.8594708085032048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367.99999999999972</v>
      </c>
      <c r="AJ168" s="13">
        <f>AI168*VLOOKUP('Données projet'!$B$10,Paramètres!$A$1:$I$89,3,0)*VLOOKUP('Données projet'!$B$10,Paramètres!$A$1:$I$89,5,0)</f>
        <v>292.78079999999977</v>
      </c>
      <c r="AK168" s="13">
        <f t="shared" si="164"/>
        <v>69.660903052386217</v>
      </c>
      <c r="AL168" s="20">
        <f t="shared" si="165"/>
        <v>631.25263281623893</v>
      </c>
      <c r="AM168" s="59">
        <f t="shared" si="113"/>
        <v>924.58596614957219</v>
      </c>
      <c r="AN168" s="59">
        <f ca="1">AVERAGE(OFFSET($AM$3,0,0,'Données projet'!$E$10+1,1))-AVERAGE(OFFSET($H$3,0,0,'Données projet'!$E$10+1,1))</f>
        <v>325.72928944930294</v>
      </c>
      <c r="AO168" s="59">
        <f t="shared" si="144"/>
        <v>318.38876834819752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11.229100853344859</v>
      </c>
      <c r="AV168" s="21">
        <f>EXP(-LN(2)/25)*AV167+(1-EXP(-LN(2)/25))/(LN(2)/25)*Calculateur!AQ168*Calculateur!AS168*VLOOKUP('Données projet'!$B$10,Paramètres!$A$1:$I$89,3,0)*0.475*44/12</f>
        <v>0.67846425483707062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11.907565108181929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268.00000000000023</v>
      </c>
      <c r="BE168" s="13">
        <f>BD168*VLOOKUP('Données projet'!$B$11,Paramètres!$A$1:$I$89,3,0)*VLOOKUP('Données projet'!$B$11,Paramètres!$A$1:$I$89,5,0)</f>
        <v>175.59360000000015</v>
      </c>
      <c r="BF168" s="13">
        <f t="shared" si="167"/>
        <v>44.340433728638573</v>
      </c>
      <c r="BG168" s="20">
        <f t="shared" si="168"/>
        <v>383.05177541071242</v>
      </c>
      <c r="BH168" s="59">
        <f t="shared" si="116"/>
        <v>676.38510874404574</v>
      </c>
      <c r="BI168" s="59">
        <f ca="1">AVERAGE(OFFSET($BH$3,0,0,'Données projet'!$E$11+1,1))-AVERAGE(OFFSET($H$3,0,0,'Données projet'!$E$11+1,1))</f>
        <v>209.40885738157152</v>
      </c>
      <c r="BJ168" s="59">
        <f t="shared" si="146"/>
        <v>230.15385333954697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1.4283494719712151</v>
      </c>
      <c r="BQ168" s="21">
        <f>EXP(-LN(2)/25)*BQ167+(1-EXP(-LN(2)/25))/(LN(2)/25)*Calculateur!BL168*Calculateur!BN168*VLOOKUP('Données projet'!$B$11,Paramètres!$A$1:$I$89,3,0)*0.475*44/12</f>
        <v>1.986434898125764</v>
      </c>
      <c r="BR168" s="21">
        <f>EXP(-LN(2)/2)*BR167+(1-EXP(-LN(2)/2))/(LN(2)/2)*BL168*BO168*VLOOKUP('Données projet'!$B$11,Paramètres!$A$1:$I$89,3,0)*0.475*44/12</f>
        <v>7.0186618257121954E-12</v>
      </c>
      <c r="BS168" s="22">
        <f t="shared" si="169"/>
        <v>3.4147843701039977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5.6843418860808015E-13</v>
      </c>
      <c r="BZ168" s="13">
        <f>BY168*VLOOKUP('Données projet'!$B$12,Paramètres!$A$1:$I$89,3,0)*VLOOKUP('Données projet'!$B$12,Paramètres!$A$1:$I$89,5,0)</f>
        <v>5.1431925385259092E-13</v>
      </c>
      <c r="CA168" s="13">
        <f t="shared" si="170"/>
        <v>6.3855359115685756E-12</v>
      </c>
      <c r="CB168" s="20">
        <f t="shared" si="171"/>
        <v>1.2017247746441865E-11</v>
      </c>
      <c r="CC168" s="59">
        <f t="shared" si="119"/>
        <v>293.33333333334531</v>
      </c>
      <c r="CD168" s="59">
        <f ca="1">AVERAGE(OFFSET($CC$3,0,0,'Données projet'!$E$12+1,1))-AVERAGE(OFFSET($H$3,0,0,'Données projet'!$E$12+1,1))</f>
        <v>270.87836509222456</v>
      </c>
      <c r="CE168" s="59">
        <f t="shared" si="148"/>
        <v>205.24998237949734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87.202905879486877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87.202905879486877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212.00000000000009</v>
      </c>
      <c r="CU168" s="17">
        <f>CT168*VLOOKUP('Données projet'!$B$13,Paramètres!$A$1:$I$89,3,0)*VLOOKUP('Données projet'!$B$13,Paramètres!$A$1:$I$89,5,0)</f>
        <v>185.20320000000009</v>
      </c>
      <c r="CV168" s="13">
        <f t="shared" si="173"/>
        <v>46.477875402099386</v>
      </c>
      <c r="CW168" s="20">
        <f t="shared" si="174"/>
        <v>403.5112063253232</v>
      </c>
      <c r="CX168" s="59">
        <f t="shared" si="122"/>
        <v>696.84453965865646</v>
      </c>
      <c r="CY168" s="59">
        <f ca="1">AVERAGE(OFFSET($CX$3,0,0,'Données projet'!$E$13+1,1))-AVERAGE(OFFSET($H$3,0,0,'Données projet'!$E$13+1,1))</f>
        <v>207.4513063267579</v>
      </c>
      <c r="CZ168" s="59">
        <f t="shared" si="150"/>
        <v>191.63513530247218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4.1222696566410395</v>
      </c>
      <c r="DG168" s="21">
        <f>EXP(-LN(2)/25)*DG167+(1-EXP(-LN(2)/25))/(LN(2)/25)*Calculateur!DB168*Calculateur!DD168*VLOOKUP('Données projet'!$B$13,Paramètres!$A$1:$I$89,3,0)*0.475*44/12</f>
        <v>2.3070151210036873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6.4292847776447264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66.814714696519275</v>
      </c>
      <c r="T169" s="59">
        <f t="shared" si="142"/>
        <v>199.56746335788068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2.625703099735349</v>
      </c>
      <c r="AA169" s="21">
        <f>EXP(-LN(2)/25)*AA168+(1-EXP(-LN(2)/25))/(LN(2)/25)*Calculateur!V169*Calculateur!X169*VLOOKUP('Données projet'!$B$9,Paramètres!$A$1:$I$89,3,0)*0.475*44/12</f>
        <v>0.17629314596461576</v>
      </c>
      <c r="AB169" s="21">
        <f>EXP(-LN(2)/2)*AB168+(1-EXP(-LN(2)/2))/(LN(2)/2)*V169*Y169*VLOOKUP('Données projet'!$B$9,Paramètres!$A$1:$I$89,3,0)*0.475*44/12</f>
        <v>1.5269689625240861E-21</v>
      </c>
      <c r="AC169" s="22">
        <f t="shared" si="163"/>
        <v>2.8019962456999647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367.99999999999972</v>
      </c>
      <c r="AJ169" s="13">
        <f>AI169*VLOOKUP('Données projet'!$B$10,Paramètres!$A$1:$I$89,3,0)*VLOOKUP('Données projet'!$B$10,Paramètres!$A$1:$I$89,5,0)</f>
        <v>292.78079999999977</v>
      </c>
      <c r="AK169" s="13">
        <f t="shared" si="164"/>
        <v>69.660903052386217</v>
      </c>
      <c r="AL169" s="20">
        <f t="shared" si="165"/>
        <v>631.25263281623893</v>
      </c>
      <c r="AM169" s="59">
        <f t="shared" si="113"/>
        <v>924.58596614957219</v>
      </c>
      <c r="AN169" s="59">
        <f ca="1">AVERAGE(OFFSET($AM$3,0,0,'Données projet'!$E$10+1,1))-AVERAGE(OFFSET($H$3,0,0,'Données projet'!$E$10+1,1))</f>
        <v>325.72928944930294</v>
      </c>
      <c r="AO169" s="59">
        <f t="shared" si="144"/>
        <v>318.38876834819752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11.008905034685997</v>
      </c>
      <c r="AV169" s="21">
        <f>EXP(-LN(2)/25)*AV168+(1-EXP(-LN(2)/25))/(LN(2)/25)*Calculateur!AQ169*Calculateur!AS169*VLOOKUP('Données projet'!$B$10,Paramètres!$A$1:$I$89,3,0)*0.475*44/12</f>
        <v>0.65991161410966637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11.668816648795662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268.00000000000023</v>
      </c>
      <c r="BE169" s="13">
        <f>BD169*VLOOKUP('Données projet'!$B$11,Paramètres!$A$1:$I$89,3,0)*VLOOKUP('Données projet'!$B$11,Paramètres!$A$1:$I$89,5,0)</f>
        <v>175.59360000000015</v>
      </c>
      <c r="BF169" s="13">
        <f t="shared" si="167"/>
        <v>44.340433728638573</v>
      </c>
      <c r="BG169" s="20">
        <f t="shared" si="168"/>
        <v>383.05177541071242</v>
      </c>
      <c r="BH169" s="59">
        <f t="shared" si="116"/>
        <v>676.38510874404574</v>
      </c>
      <c r="BI169" s="59">
        <f ca="1">AVERAGE(OFFSET($BH$3,0,0,'Données projet'!$E$11+1,1))-AVERAGE(OFFSET($H$3,0,0,'Données projet'!$E$11+1,1))</f>
        <v>209.40885738157152</v>
      </c>
      <c r="BJ169" s="59">
        <f t="shared" si="146"/>
        <v>230.15385333954697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1.4003404100330128</v>
      </c>
      <c r="BQ169" s="21">
        <f>EXP(-LN(2)/25)*BQ168+(1-EXP(-LN(2)/25))/(LN(2)/25)*Calculateur!BL169*Calculateur!BN169*VLOOKUP('Données projet'!$B$11,Paramètres!$A$1:$I$89,3,0)*0.475*44/12</f>
        <v>1.9321157313744437</v>
      </c>
      <c r="BR169" s="21">
        <f>EXP(-LN(2)/2)*BR168+(1-EXP(-LN(2)/2))/(LN(2)/2)*BL169*BO169*VLOOKUP('Données projet'!$B$11,Paramètres!$A$1:$I$89,3,0)*0.475*44/12</f>
        <v>4.9629433718162474E-12</v>
      </c>
      <c r="BS169" s="22">
        <f t="shared" si="169"/>
        <v>3.3324561414124196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5.6843418860808015E-13</v>
      </c>
      <c r="BZ169" s="13">
        <f>BY169*VLOOKUP('Données projet'!$B$12,Paramètres!$A$1:$I$89,3,0)*VLOOKUP('Données projet'!$B$12,Paramètres!$A$1:$I$89,5,0)</f>
        <v>5.1431925385259092E-13</v>
      </c>
      <c r="CA169" s="13">
        <f t="shared" si="170"/>
        <v>6.3855359115685756E-12</v>
      </c>
      <c r="CB169" s="20">
        <f t="shared" si="171"/>
        <v>1.2017247746441865E-11</v>
      </c>
      <c r="CC169" s="59">
        <f t="shared" si="119"/>
        <v>293.33333333334531</v>
      </c>
      <c r="CD169" s="59">
        <f ca="1">AVERAGE(OFFSET($CC$3,0,0,'Données projet'!$E$12+1,1))-AVERAGE(OFFSET($H$3,0,0,'Données projet'!$E$12+1,1))</f>
        <v>270.87836509222456</v>
      </c>
      <c r="CE169" s="59">
        <f t="shared" si="148"/>
        <v>205.24998237949734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85.492910083710797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85.492910083710797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212.00000000000009</v>
      </c>
      <c r="CU169" s="17">
        <f>CT169*VLOOKUP('Données projet'!$B$13,Paramètres!$A$1:$I$89,3,0)*VLOOKUP('Données projet'!$B$13,Paramètres!$A$1:$I$89,5,0)</f>
        <v>185.20320000000009</v>
      </c>
      <c r="CV169" s="13">
        <f t="shared" si="173"/>
        <v>46.477875402099386</v>
      </c>
      <c r="CW169" s="20">
        <f t="shared" si="174"/>
        <v>403.5112063253232</v>
      </c>
      <c r="CX169" s="59">
        <f t="shared" si="122"/>
        <v>696.84453965865646</v>
      </c>
      <c r="CY169" s="59">
        <f ca="1">AVERAGE(OFFSET($CX$3,0,0,'Données projet'!$E$13+1,1))-AVERAGE(OFFSET($H$3,0,0,'Données projet'!$E$13+1,1))</f>
        <v>207.4513063267579</v>
      </c>
      <c r="CZ169" s="59">
        <f t="shared" si="150"/>
        <v>191.63513530247218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4.0414344630105292</v>
      </c>
      <c r="DG169" s="21">
        <f>EXP(-LN(2)/25)*DG168+(1-EXP(-LN(2)/25))/(LN(2)/25)*Calculateur!DB169*Calculateur!DD169*VLOOKUP('Données projet'!$B$13,Paramètres!$A$1:$I$89,3,0)*0.475*44/12</f>
        <v>2.2439296711991892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6.2853641342097184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66.814714696519275</v>
      </c>
      <c r="T170" s="59">
        <f t="shared" si="142"/>
        <v>199.56746335788068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2.5742146634702925</v>
      </c>
      <c r="AA170" s="21">
        <f>EXP(-LN(2)/25)*AA169+(1-EXP(-LN(2)/25))/(LN(2)/25)*Calculateur!V170*Calculateur!X170*VLOOKUP('Données projet'!$B$9,Paramètres!$A$1:$I$89,3,0)*0.475*44/12</f>
        <v>0.17147240061735972</v>
      </c>
      <c r="AB170" s="21">
        <f>EXP(-LN(2)/2)*AB169+(1-EXP(-LN(2)/2))/(LN(2)/2)*V170*Y170*VLOOKUP('Données projet'!$B$9,Paramètres!$A$1:$I$89,3,0)*0.475*44/12</f>
        <v>1.0797301080621684E-21</v>
      </c>
      <c r="AC170" s="22">
        <f t="shared" si="163"/>
        <v>2.7456870640876523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367.99999999999972</v>
      </c>
      <c r="AJ170" s="13">
        <f>AI170*VLOOKUP('Données projet'!$B$10,Paramètres!$A$1:$I$89,3,0)*VLOOKUP('Données projet'!$B$10,Paramètres!$A$1:$I$89,5,0)</f>
        <v>292.78079999999977</v>
      </c>
      <c r="AK170" s="13">
        <f t="shared" si="164"/>
        <v>69.660903052386217</v>
      </c>
      <c r="AL170" s="20">
        <f t="shared" si="165"/>
        <v>631.25263281623893</v>
      </c>
      <c r="AM170" s="59">
        <f t="shared" si="113"/>
        <v>924.58596614957219</v>
      </c>
      <c r="AN170" s="59">
        <f ca="1">AVERAGE(OFFSET($AM$3,0,0,'Données projet'!$E$10+1,1))-AVERAGE(OFFSET($H$3,0,0,'Données projet'!$E$10+1,1))</f>
        <v>325.72928944930294</v>
      </c>
      <c r="AO170" s="59">
        <f t="shared" si="144"/>
        <v>318.38876834819752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10.793027121724847</v>
      </c>
      <c r="AV170" s="21">
        <f>EXP(-LN(2)/25)*AV169+(1-EXP(-LN(2)/25))/(LN(2)/25)*Calculateur!AQ170*Calculateur!AS170*VLOOKUP('Données projet'!$B$10,Paramètres!$A$1:$I$89,3,0)*0.475*44/12</f>
        <v>0.64186629631859404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11.434893418043442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268.00000000000023</v>
      </c>
      <c r="BE170" s="13">
        <f>BD170*VLOOKUP('Données projet'!$B$11,Paramètres!$A$1:$I$89,3,0)*VLOOKUP('Données projet'!$B$11,Paramètres!$A$1:$I$89,5,0)</f>
        <v>175.59360000000015</v>
      </c>
      <c r="BF170" s="13">
        <f t="shared" si="167"/>
        <v>44.340433728638573</v>
      </c>
      <c r="BG170" s="20">
        <f t="shared" si="168"/>
        <v>383.05177541071242</v>
      </c>
      <c r="BH170" s="59">
        <f t="shared" si="116"/>
        <v>676.38510874404574</v>
      </c>
      <c r="BI170" s="59">
        <f ca="1">AVERAGE(OFFSET($BH$3,0,0,'Données projet'!$E$11+1,1))-AVERAGE(OFFSET($H$3,0,0,'Données projet'!$E$11+1,1))</f>
        <v>209.40885738157152</v>
      </c>
      <c r="BJ170" s="59">
        <f t="shared" si="146"/>
        <v>230.15385333954697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1.3728805887155779</v>
      </c>
      <c r="BQ170" s="21">
        <f>EXP(-LN(2)/25)*BQ169+(1-EXP(-LN(2)/25))/(LN(2)/25)*Calculateur!BL170*Calculateur!BN170*VLOOKUP('Données projet'!$B$11,Paramètres!$A$1:$I$89,3,0)*0.475*44/12</f>
        <v>1.8792819250944592</v>
      </c>
      <c r="BR170" s="21">
        <f>EXP(-LN(2)/2)*BR169+(1-EXP(-LN(2)/2))/(LN(2)/2)*BL170*BO170*VLOOKUP('Données projet'!$B$11,Paramètres!$A$1:$I$89,3,0)*0.475*44/12</f>
        <v>3.5093309128560977E-12</v>
      </c>
      <c r="BS170" s="22">
        <f t="shared" si="169"/>
        <v>3.2521625138135466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5.6843418860808015E-13</v>
      </c>
      <c r="BZ170" s="13">
        <f>BY170*VLOOKUP('Données projet'!$B$12,Paramètres!$A$1:$I$89,3,0)*VLOOKUP('Données projet'!$B$12,Paramètres!$A$1:$I$89,5,0)</f>
        <v>5.1431925385259092E-13</v>
      </c>
      <c r="CA170" s="13">
        <f t="shared" si="170"/>
        <v>6.3855359115685756E-12</v>
      </c>
      <c r="CB170" s="20">
        <f t="shared" si="171"/>
        <v>1.2017247746441865E-11</v>
      </c>
      <c r="CC170" s="59">
        <f t="shared" si="119"/>
        <v>293.33333333334531</v>
      </c>
      <c r="CD170" s="59">
        <f ca="1">AVERAGE(OFFSET($CC$3,0,0,'Données projet'!$E$12+1,1))-AVERAGE(OFFSET($H$3,0,0,'Données projet'!$E$12+1,1))</f>
        <v>270.87836509222456</v>
      </c>
      <c r="CE170" s="59">
        <f t="shared" si="148"/>
        <v>205.24998237949734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83.816446262495433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83.816446262495433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212.00000000000009</v>
      </c>
      <c r="CU170" s="17">
        <f>CT170*VLOOKUP('Données projet'!$B$13,Paramètres!$A$1:$I$89,3,0)*VLOOKUP('Données projet'!$B$13,Paramètres!$A$1:$I$89,5,0)</f>
        <v>185.20320000000009</v>
      </c>
      <c r="CV170" s="13">
        <f t="shared" si="173"/>
        <v>46.477875402099386</v>
      </c>
      <c r="CW170" s="20">
        <f t="shared" si="174"/>
        <v>403.5112063253232</v>
      </c>
      <c r="CX170" s="59">
        <f t="shared" si="122"/>
        <v>696.84453965865646</v>
      </c>
      <c r="CY170" s="59">
        <f ca="1">AVERAGE(OFFSET($CX$3,0,0,'Données projet'!$E$13+1,1))-AVERAGE(OFFSET($H$3,0,0,'Données projet'!$E$13+1,1))</f>
        <v>207.4513063267579</v>
      </c>
      <c r="CZ170" s="59">
        <f t="shared" si="150"/>
        <v>191.63513530247218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3.9621843982225133</v>
      </c>
      <c r="DG170" s="21">
        <f>EXP(-LN(2)/25)*DG169+(1-EXP(-LN(2)/25))/(LN(2)/25)*Calculateur!DB170*Calculateur!DD170*VLOOKUP('Données projet'!$B$13,Paramètres!$A$1:$I$89,3,0)*0.475*44/12</f>
        <v>2.1825692963371144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6.1447536945596273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66.814714696519275</v>
      </c>
      <c r="T171" s="59">
        <f t="shared" si="142"/>
        <v>199.56746335788068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2.5237358840355486</v>
      </c>
      <c r="AA171" s="21">
        <f>EXP(-LN(2)/25)*AA170+(1-EXP(-LN(2)/25))/(LN(2)/25)*Calculateur!V171*Calculateur!X171*VLOOKUP('Données projet'!$B$9,Paramètres!$A$1:$I$89,3,0)*0.475*44/12</f>
        <v>0.16678347880513636</v>
      </c>
      <c r="AB171" s="21">
        <f>EXP(-LN(2)/2)*AB170+(1-EXP(-LN(2)/2))/(LN(2)/2)*V171*Y171*VLOOKUP('Données projet'!$B$9,Paramètres!$A$1:$I$89,3,0)*0.475*44/12</f>
        <v>7.6348448126204304E-22</v>
      </c>
      <c r="AC171" s="22">
        <f t="shared" si="163"/>
        <v>2.6905193628406852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367.99999999999972</v>
      </c>
      <c r="AJ171" s="13">
        <f>AI171*VLOOKUP('Données projet'!$B$10,Paramètres!$A$1:$I$89,3,0)*VLOOKUP('Données projet'!$B$10,Paramètres!$A$1:$I$89,5,0)</f>
        <v>292.78079999999977</v>
      </c>
      <c r="AK171" s="13">
        <f t="shared" si="164"/>
        <v>69.660903052386217</v>
      </c>
      <c r="AL171" s="20">
        <f t="shared" si="165"/>
        <v>631.25263281623893</v>
      </c>
      <c r="AM171" s="59">
        <f t="shared" si="113"/>
        <v>924.58596614957219</v>
      </c>
      <c r="AN171" s="59">
        <f ca="1">AVERAGE(OFFSET($AM$3,0,0,'Données projet'!$E$10+1,1))-AVERAGE(OFFSET($H$3,0,0,'Données projet'!$E$10+1,1))</f>
        <v>325.72928944930294</v>
      </c>
      <c r="AO171" s="59">
        <f t="shared" si="144"/>
        <v>318.38876834819752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10.58138244296434</v>
      </c>
      <c r="AV171" s="21">
        <f>EXP(-LN(2)/25)*AV170+(1-EXP(-LN(2)/25))/(LN(2)/25)*Calculateur!AQ171*Calculateur!AS171*VLOOKUP('Données projet'!$B$10,Paramètres!$A$1:$I$89,3,0)*0.475*44/12</f>
        <v>0.62431442869148057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11.205696871655821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268.00000000000023</v>
      </c>
      <c r="BE171" s="13">
        <f>BD171*VLOOKUP('Données projet'!$B$11,Paramètres!$A$1:$I$89,3,0)*VLOOKUP('Données projet'!$B$11,Paramètres!$A$1:$I$89,5,0)</f>
        <v>175.59360000000015</v>
      </c>
      <c r="BF171" s="13">
        <f t="shared" si="167"/>
        <v>44.340433728638573</v>
      </c>
      <c r="BG171" s="20">
        <f t="shared" si="168"/>
        <v>383.05177541071242</v>
      </c>
      <c r="BH171" s="59">
        <f t="shared" si="116"/>
        <v>676.38510874404574</v>
      </c>
      <c r="BI171" s="59">
        <f ca="1">AVERAGE(OFFSET($BH$3,0,0,'Données projet'!$E$11+1,1))-AVERAGE(OFFSET($H$3,0,0,'Données projet'!$E$11+1,1))</f>
        <v>209.40885738157152</v>
      </c>
      <c r="BJ171" s="59">
        <f t="shared" si="146"/>
        <v>230.15385333954697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1.3459592377453407</v>
      </c>
      <c r="BQ171" s="21">
        <f>EXP(-LN(2)/25)*BQ170+(1-EXP(-LN(2)/25))/(LN(2)/25)*Calculateur!BL171*Calculateur!BN171*VLOOKUP('Données projet'!$B$11,Paramètres!$A$1:$I$89,3,0)*0.475*44/12</f>
        <v>1.8278928620256101</v>
      </c>
      <c r="BR171" s="21">
        <f>EXP(-LN(2)/2)*BR170+(1-EXP(-LN(2)/2))/(LN(2)/2)*BL171*BO171*VLOOKUP('Données projet'!$B$11,Paramètres!$A$1:$I$89,3,0)*0.475*44/12</f>
        <v>2.4814716859081237E-12</v>
      </c>
      <c r="BS171" s="22">
        <f t="shared" si="169"/>
        <v>3.1738520997734323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5.6843418860808015E-13</v>
      </c>
      <c r="BZ171" s="13">
        <f>BY171*VLOOKUP('Données projet'!$B$12,Paramètres!$A$1:$I$89,3,0)*VLOOKUP('Données projet'!$B$12,Paramètres!$A$1:$I$89,5,0)</f>
        <v>5.1431925385259092E-13</v>
      </c>
      <c r="CA171" s="13">
        <f t="shared" si="170"/>
        <v>6.3855359115685756E-12</v>
      </c>
      <c r="CB171" s="20">
        <f t="shared" si="171"/>
        <v>1.2017247746441865E-11</v>
      </c>
      <c r="CC171" s="59">
        <f t="shared" si="119"/>
        <v>293.33333333334531</v>
      </c>
      <c r="CD171" s="59">
        <f ca="1">AVERAGE(OFFSET($CC$3,0,0,'Données projet'!$E$12+1,1))-AVERAGE(OFFSET($H$3,0,0,'Données projet'!$E$12+1,1))</f>
        <v>270.87836509222456</v>
      </c>
      <c r="CE171" s="59">
        <f t="shared" si="148"/>
        <v>205.24998237949734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82.172856874272142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82.172856874272142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212.00000000000009</v>
      </c>
      <c r="CU171" s="17">
        <f>CT171*VLOOKUP('Données projet'!$B$13,Paramètres!$A$1:$I$89,3,0)*VLOOKUP('Données projet'!$B$13,Paramètres!$A$1:$I$89,5,0)</f>
        <v>185.20320000000009</v>
      </c>
      <c r="CV171" s="13">
        <f t="shared" si="173"/>
        <v>46.477875402099386</v>
      </c>
      <c r="CW171" s="20">
        <f t="shared" si="174"/>
        <v>403.5112063253232</v>
      </c>
      <c r="CX171" s="59">
        <f t="shared" si="122"/>
        <v>696.84453965865646</v>
      </c>
      <c r="CY171" s="59">
        <f ca="1">AVERAGE(OFFSET($CX$3,0,0,'Données projet'!$E$13+1,1))-AVERAGE(OFFSET($H$3,0,0,'Données projet'!$E$13+1,1))</f>
        <v>207.4513063267579</v>
      </c>
      <c r="CZ171" s="59">
        <f t="shared" si="150"/>
        <v>191.63513530247218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3.884488378867224</v>
      </c>
      <c r="DG171" s="21">
        <f>EXP(-LN(2)/25)*DG170+(1-EXP(-LN(2)/25))/(LN(2)/25)*Calculateur!DB171*Calculateur!DD171*VLOOKUP('Données projet'!$B$13,Paramètres!$A$1:$I$89,3,0)*0.475*44/12</f>
        <v>2.1228868241524452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6.0073752030196692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66.814714696519275</v>
      </c>
      <c r="T172" s="59">
        <f t="shared" si="142"/>
        <v>199.56746335788068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2.4742469626765047</v>
      </c>
      <c r="AA172" s="21">
        <f>EXP(-LN(2)/25)*AA171+(1-EXP(-LN(2)/25))/(LN(2)/25)*Calculateur!V172*Calculateur!X172*VLOOKUP('Données projet'!$B$9,Paramètres!$A$1:$I$89,3,0)*0.475*44/12</f>
        <v>0.16222277580644795</v>
      </c>
      <c r="AB172" s="21">
        <f>EXP(-LN(2)/2)*AB171+(1-EXP(-LN(2)/2))/(LN(2)/2)*V172*Y172*VLOOKUP('Données projet'!$B$9,Paramètres!$A$1:$I$89,3,0)*0.475*44/12</f>
        <v>5.398650540310842E-22</v>
      </c>
      <c r="AC172" s="22">
        <f t="shared" si="163"/>
        <v>2.6364697384829525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367.99999999999972</v>
      </c>
      <c r="AJ172" s="13">
        <f>AI172*VLOOKUP('Données projet'!$B$10,Paramètres!$A$1:$I$89,3,0)*VLOOKUP('Données projet'!$B$10,Paramètres!$A$1:$I$89,5,0)</f>
        <v>292.78079999999977</v>
      </c>
      <c r="AK172" s="13">
        <f t="shared" si="164"/>
        <v>69.660903052386217</v>
      </c>
      <c r="AL172" s="20">
        <f t="shared" si="165"/>
        <v>631.25263281623893</v>
      </c>
      <c r="AM172" s="59">
        <f t="shared" si="113"/>
        <v>924.58596614957219</v>
      </c>
      <c r="AN172" s="59">
        <f ca="1">AVERAGE(OFFSET($AM$3,0,0,'Données projet'!$E$10+1,1))-AVERAGE(OFFSET($H$3,0,0,'Données projet'!$E$10+1,1))</f>
        <v>325.72928944930294</v>
      </c>
      <c r="AO172" s="59">
        <f t="shared" si="144"/>
        <v>318.38876834819752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10.373887987263819</v>
      </c>
      <c r="AV172" s="21">
        <f>EXP(-LN(2)/25)*AV171+(1-EXP(-LN(2)/25))/(LN(2)/25)*Calculateur!AQ172*Calculateur!AS172*VLOOKUP('Données projet'!$B$10,Paramètres!$A$1:$I$89,3,0)*0.475*44/12</f>
        <v>0.60724251780764316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10.981130505071462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268.00000000000023</v>
      </c>
      <c r="BE172" s="13">
        <f>BD172*VLOOKUP('Données projet'!$B$11,Paramètres!$A$1:$I$89,3,0)*VLOOKUP('Données projet'!$B$11,Paramètres!$A$1:$I$89,5,0)</f>
        <v>175.59360000000015</v>
      </c>
      <c r="BF172" s="13">
        <f t="shared" si="167"/>
        <v>44.340433728638573</v>
      </c>
      <c r="BG172" s="20">
        <f t="shared" si="168"/>
        <v>383.05177541071242</v>
      </c>
      <c r="BH172" s="59">
        <f t="shared" si="116"/>
        <v>676.38510874404574</v>
      </c>
      <c r="BI172" s="59">
        <f ca="1">AVERAGE(OFFSET($BH$3,0,0,'Données projet'!$E$11+1,1))-AVERAGE(OFFSET($H$3,0,0,'Données projet'!$E$11+1,1))</f>
        <v>209.40885738157152</v>
      </c>
      <c r="BJ172" s="59">
        <f t="shared" si="146"/>
        <v>230.15385333954697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1.3195657980472271</v>
      </c>
      <c r="BQ172" s="21">
        <f>EXP(-LN(2)/25)*BQ171+(1-EXP(-LN(2)/25))/(LN(2)/25)*Calculateur!BL172*Calculateur!BN172*VLOOKUP('Données projet'!$B$11,Paramètres!$A$1:$I$89,3,0)*0.475*44/12</f>
        <v>1.7779090355888119</v>
      </c>
      <c r="BR172" s="21">
        <f>EXP(-LN(2)/2)*BR171+(1-EXP(-LN(2)/2))/(LN(2)/2)*BL172*BO172*VLOOKUP('Données projet'!$B$11,Paramètres!$A$1:$I$89,3,0)*0.475*44/12</f>
        <v>1.7546654564280488E-12</v>
      </c>
      <c r="BS172" s="22">
        <f t="shared" si="169"/>
        <v>3.0974748336377935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5.6843418860808015E-13</v>
      </c>
      <c r="BZ172" s="13">
        <f>BY172*VLOOKUP('Données projet'!$B$12,Paramètres!$A$1:$I$89,3,0)*VLOOKUP('Données projet'!$B$12,Paramètres!$A$1:$I$89,5,0)</f>
        <v>5.1431925385259092E-13</v>
      </c>
      <c r="CA172" s="13">
        <f t="shared" si="170"/>
        <v>6.3855359115685756E-12</v>
      </c>
      <c r="CB172" s="20">
        <f t="shared" si="171"/>
        <v>1.2017247746441865E-11</v>
      </c>
      <c r="CC172" s="59">
        <f t="shared" si="119"/>
        <v>293.33333333334531</v>
      </c>
      <c r="CD172" s="59">
        <f ca="1">AVERAGE(OFFSET($CC$3,0,0,'Données projet'!$E$12+1,1))-AVERAGE(OFFSET($H$3,0,0,'Données projet'!$E$12+1,1))</f>
        <v>270.87836509222456</v>
      </c>
      <c r="CE172" s="59">
        <f t="shared" si="148"/>
        <v>205.24998237949734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80.561497271461377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80.561497271461377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212.00000000000009</v>
      </c>
      <c r="CU172" s="17">
        <f>CT172*VLOOKUP('Données projet'!$B$13,Paramètres!$A$1:$I$89,3,0)*VLOOKUP('Données projet'!$B$13,Paramètres!$A$1:$I$89,5,0)</f>
        <v>185.20320000000009</v>
      </c>
      <c r="CV172" s="13">
        <f t="shared" si="173"/>
        <v>46.477875402099386</v>
      </c>
      <c r="CW172" s="20">
        <f t="shared" si="174"/>
        <v>403.5112063253232</v>
      </c>
      <c r="CX172" s="59">
        <f t="shared" si="122"/>
        <v>696.84453965865646</v>
      </c>
      <c r="CY172" s="59">
        <f ca="1">AVERAGE(OFFSET($CX$3,0,0,'Données projet'!$E$13+1,1))-AVERAGE(OFFSET($H$3,0,0,'Données projet'!$E$13+1,1))</f>
        <v>207.4513063267579</v>
      </c>
      <c r="CZ172" s="59">
        <f t="shared" si="150"/>
        <v>191.63513530247218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3.8083159310615997</v>
      </c>
      <c r="DG172" s="21">
        <f>EXP(-LN(2)/25)*DG171+(1-EXP(-LN(2)/25))/(LN(2)/25)*Calculateur!DB172*Calculateur!DD172*VLOOKUP('Données projet'!$B$13,Paramètres!$A$1:$I$89,3,0)*0.475*44/12</f>
        <v>2.0648363723082306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5.8731523033698299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66.814714696519275</v>
      </c>
      <c r="T173" s="59">
        <f t="shared" si="142"/>
        <v>199.56746335788068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2.4257284888800501</v>
      </c>
      <c r="AA173" s="21">
        <f>EXP(-LN(2)/25)*AA172+(1-EXP(-LN(2)/25))/(LN(2)/25)*Calculateur!V173*Calculateur!X173*VLOOKUP('Données projet'!$B$9,Paramètres!$A$1:$I$89,3,0)*0.475*44/12</f>
        <v>0.15778678547109562</v>
      </c>
      <c r="AB173" s="21">
        <f>EXP(-LN(2)/2)*AB172+(1-EXP(-LN(2)/2))/(LN(2)/2)*V173*Y173*VLOOKUP('Données projet'!$B$9,Paramètres!$A$1:$I$89,3,0)*0.475*44/12</f>
        <v>3.8174224063102152E-22</v>
      </c>
      <c r="AC173" s="22">
        <f t="shared" si="163"/>
        <v>2.5835152743511456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367.99999999999972</v>
      </c>
      <c r="AJ173" s="13">
        <f>AI173*VLOOKUP('Données projet'!$B$10,Paramètres!$A$1:$I$89,3,0)*VLOOKUP('Données projet'!$B$10,Paramètres!$A$1:$I$89,5,0)</f>
        <v>292.78079999999977</v>
      </c>
      <c r="AK173" s="13">
        <f t="shared" si="164"/>
        <v>69.660903052386217</v>
      </c>
      <c r="AL173" s="20">
        <f t="shared" si="165"/>
        <v>631.25263281623893</v>
      </c>
      <c r="AM173" s="59">
        <f t="shared" si="113"/>
        <v>924.58596614957219</v>
      </c>
      <c r="AN173" s="59">
        <f ca="1">AVERAGE(OFFSET($AM$3,0,0,'Données projet'!$E$10+1,1))-AVERAGE(OFFSET($H$3,0,0,'Données projet'!$E$10+1,1))</f>
        <v>325.72928944930294</v>
      </c>
      <c r="AO173" s="59">
        <f t="shared" si="144"/>
        <v>318.38876834819752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10.170462371280465</v>
      </c>
      <c r="AV173" s="21">
        <f>EXP(-LN(2)/25)*AV172+(1-EXP(-LN(2)/25))/(LN(2)/25)*Calculateur!AQ173*Calculateur!AS173*VLOOKUP('Données projet'!$B$10,Paramètres!$A$1:$I$89,3,0)*0.475*44/12</f>
        <v>0.59063743922469703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10.761099810505161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268.00000000000023</v>
      </c>
      <c r="BE173" s="13">
        <f>BD173*VLOOKUP('Données projet'!$B$11,Paramètres!$A$1:$I$89,3,0)*VLOOKUP('Données projet'!$B$11,Paramètres!$A$1:$I$89,5,0)</f>
        <v>175.59360000000015</v>
      </c>
      <c r="BF173" s="13">
        <f t="shared" si="167"/>
        <v>44.340433728638573</v>
      </c>
      <c r="BG173" s="20">
        <f t="shared" si="168"/>
        <v>383.05177541071242</v>
      </c>
      <c r="BH173" s="59">
        <f t="shared" si="116"/>
        <v>676.38510874404574</v>
      </c>
      <c r="BI173" s="59">
        <f ca="1">AVERAGE(OFFSET($BH$3,0,0,'Données projet'!$E$11+1,1))-AVERAGE(OFFSET($H$3,0,0,'Données projet'!$E$11+1,1))</f>
        <v>209.40885738157152</v>
      </c>
      <c r="BJ173" s="59">
        <f t="shared" si="146"/>
        <v>230.15385333954697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1.2936899176031849</v>
      </c>
      <c r="BQ173" s="21">
        <f>EXP(-LN(2)/25)*BQ172+(1-EXP(-LN(2)/25))/(LN(2)/25)*Calculateur!BL173*Calculateur!BN173*VLOOKUP('Données projet'!$B$11,Paramètres!$A$1:$I$89,3,0)*0.475*44/12</f>
        <v>1.729292019514463</v>
      </c>
      <c r="BR173" s="21">
        <f>EXP(-LN(2)/2)*BR172+(1-EXP(-LN(2)/2))/(LN(2)/2)*BL173*BO173*VLOOKUP('Données projet'!$B$11,Paramètres!$A$1:$I$89,3,0)*0.475*44/12</f>
        <v>1.2407358429540619E-12</v>
      </c>
      <c r="BS173" s="22">
        <f t="shared" si="169"/>
        <v>3.0229819371188889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5.6843418860808015E-13</v>
      </c>
      <c r="BZ173" s="13">
        <f>BY173*VLOOKUP('Données projet'!$B$12,Paramètres!$A$1:$I$89,3,0)*VLOOKUP('Données projet'!$B$12,Paramètres!$A$1:$I$89,5,0)</f>
        <v>5.1431925385259092E-13</v>
      </c>
      <c r="CA173" s="13">
        <f t="shared" si="170"/>
        <v>6.3855359115685756E-12</v>
      </c>
      <c r="CB173" s="20">
        <f t="shared" si="171"/>
        <v>1.2017247746441865E-11</v>
      </c>
      <c r="CC173" s="59">
        <f t="shared" si="119"/>
        <v>293.33333333334531</v>
      </c>
      <c r="CD173" s="59">
        <f ca="1">AVERAGE(OFFSET($CC$3,0,0,'Données projet'!$E$12+1,1))-AVERAGE(OFFSET($H$3,0,0,'Données projet'!$E$12+1,1))</f>
        <v>270.87836509222456</v>
      </c>
      <c r="CE173" s="59">
        <f t="shared" si="148"/>
        <v>205.24998237949734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78.981735447629418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78.981735447629418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212.00000000000009</v>
      </c>
      <c r="CU173" s="17">
        <f>CT173*VLOOKUP('Données projet'!$B$13,Paramètres!$A$1:$I$89,3,0)*VLOOKUP('Données projet'!$B$13,Paramètres!$A$1:$I$89,5,0)</f>
        <v>185.20320000000009</v>
      </c>
      <c r="CV173" s="13">
        <f t="shared" si="173"/>
        <v>46.477875402099386</v>
      </c>
      <c r="CW173" s="20">
        <f t="shared" si="174"/>
        <v>403.5112063253232</v>
      </c>
      <c r="CX173" s="59">
        <f t="shared" si="122"/>
        <v>696.84453965865646</v>
      </c>
      <c r="CY173" s="59">
        <f ca="1">AVERAGE(OFFSET($CX$3,0,0,'Données projet'!$E$13+1,1))-AVERAGE(OFFSET($H$3,0,0,'Données projet'!$E$13+1,1))</f>
        <v>207.4513063267579</v>
      </c>
      <c r="CZ173" s="59">
        <f t="shared" si="150"/>
        <v>191.63513530247218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3.7336371784968381</v>
      </c>
      <c r="DG173" s="21">
        <f>EXP(-LN(2)/25)*DG172+(1-EXP(-LN(2)/25))/(LN(2)/25)*Calculateur!DB173*Calculateur!DD173*VLOOKUP('Données projet'!$B$13,Paramètres!$A$1:$I$89,3,0)*0.475*44/12</f>
        <v>2.0083733131224366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5.7420104916192747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66.814714696519275</v>
      </c>
      <c r="T174" s="59">
        <f t="shared" si="142"/>
        <v>199.56746335788068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2.3781614327613974</v>
      </c>
      <c r="AA174" s="21">
        <f>EXP(-LN(2)/25)*AA173+(1-EXP(-LN(2)/25))/(LN(2)/25)*Calculateur!V174*Calculateur!X174*VLOOKUP('Données projet'!$B$9,Paramètres!$A$1:$I$89,3,0)*0.475*44/12</f>
        <v>0.15347209752474208</v>
      </c>
      <c r="AB174" s="21">
        <f>EXP(-LN(2)/2)*AB173+(1-EXP(-LN(2)/2))/(LN(2)/2)*V174*Y174*VLOOKUP('Données projet'!$B$9,Paramètres!$A$1:$I$89,3,0)*0.475*44/12</f>
        <v>2.699325270155421E-22</v>
      </c>
      <c r="AC174" s="22">
        <f t="shared" si="163"/>
        <v>2.5316335302861392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367.99999999999972</v>
      </c>
      <c r="AJ174" s="13">
        <f>AI174*VLOOKUP('Données projet'!$B$10,Paramètres!$A$1:$I$89,3,0)*VLOOKUP('Données projet'!$B$10,Paramètres!$A$1:$I$89,5,0)</f>
        <v>292.78079999999977</v>
      </c>
      <c r="AK174" s="13">
        <f t="shared" si="164"/>
        <v>69.660903052386217</v>
      </c>
      <c r="AL174" s="20">
        <f t="shared" si="165"/>
        <v>631.25263281623893</v>
      </c>
      <c r="AM174" s="59">
        <f t="shared" si="113"/>
        <v>924.58596614957219</v>
      </c>
      <c r="AN174" s="59">
        <f ca="1">AVERAGE(OFFSET($AM$3,0,0,'Données projet'!$E$10+1,1))-AVERAGE(OFFSET($H$3,0,0,'Données projet'!$E$10+1,1))</f>
        <v>325.72928944930294</v>
      </c>
      <c r="AO174" s="59">
        <f t="shared" si="144"/>
        <v>318.38876834819752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9.9710258075491698</v>
      </c>
      <c r="AV174" s="21">
        <f>EXP(-LN(2)/25)*AV173+(1-EXP(-LN(2)/25))/(LN(2)/25)*Calculateur!AQ174*Calculateur!AS174*VLOOKUP('Données projet'!$B$10,Paramètres!$A$1:$I$89,3,0)*0.475*44/12</f>
        <v>0.57448642738882472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10.545512234937995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268.00000000000023</v>
      </c>
      <c r="BE174" s="13">
        <f>BD174*VLOOKUP('Données projet'!$B$11,Paramètres!$A$1:$I$89,3,0)*VLOOKUP('Données projet'!$B$11,Paramètres!$A$1:$I$89,5,0)</f>
        <v>175.59360000000015</v>
      </c>
      <c r="BF174" s="13">
        <f t="shared" si="167"/>
        <v>44.340433728638573</v>
      </c>
      <c r="BG174" s="20">
        <f t="shared" si="168"/>
        <v>383.05177541071242</v>
      </c>
      <c r="BH174" s="59">
        <f t="shared" si="116"/>
        <v>676.38510874404574</v>
      </c>
      <c r="BI174" s="59">
        <f ca="1">AVERAGE(OFFSET($BH$3,0,0,'Données projet'!$E$11+1,1))-AVERAGE(OFFSET($H$3,0,0,'Données projet'!$E$11+1,1))</f>
        <v>209.40885738157152</v>
      </c>
      <c r="BJ174" s="59">
        <f t="shared" si="146"/>
        <v>230.15385333954697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1.2683214473919218</v>
      </c>
      <c r="BQ174" s="21">
        <f>EXP(-LN(2)/25)*BQ173+(1-EXP(-LN(2)/25))/(LN(2)/25)*Calculateur!BL174*Calculateur!BN174*VLOOKUP('Données projet'!$B$11,Paramètres!$A$1:$I$89,3,0)*0.475*44/12</f>
        <v>1.6820044383013251</v>
      </c>
      <c r="BR174" s="21">
        <f>EXP(-LN(2)/2)*BR173+(1-EXP(-LN(2)/2))/(LN(2)/2)*BL174*BO174*VLOOKUP('Données projet'!$B$11,Paramètres!$A$1:$I$89,3,0)*0.475*44/12</f>
        <v>8.7733272821402442E-13</v>
      </c>
      <c r="BS174" s="22">
        <f t="shared" si="169"/>
        <v>2.9503258856941246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5.6843418860808015E-13</v>
      </c>
      <c r="BZ174" s="13">
        <f>BY174*VLOOKUP('Données projet'!$B$12,Paramètres!$A$1:$I$89,3,0)*VLOOKUP('Données projet'!$B$12,Paramètres!$A$1:$I$89,5,0)</f>
        <v>5.1431925385259092E-13</v>
      </c>
      <c r="CA174" s="13">
        <f t="shared" si="170"/>
        <v>6.3855359115685756E-12</v>
      </c>
      <c r="CB174" s="20">
        <f t="shared" si="171"/>
        <v>1.2017247746441865E-11</v>
      </c>
      <c r="CC174" s="59">
        <f t="shared" si="119"/>
        <v>293.33333333334531</v>
      </c>
      <c r="CD174" s="59">
        <f ca="1">AVERAGE(OFFSET($CC$3,0,0,'Données projet'!$E$12+1,1))-AVERAGE(OFFSET($H$3,0,0,'Données projet'!$E$12+1,1))</f>
        <v>270.87836509222456</v>
      </c>
      <c r="CE174" s="59">
        <f t="shared" si="148"/>
        <v>205.24998237949734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77.432951789603237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77.432951789603237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212.00000000000009</v>
      </c>
      <c r="CU174" s="17">
        <f>CT174*VLOOKUP('Données projet'!$B$13,Paramètres!$A$1:$I$89,3,0)*VLOOKUP('Données projet'!$B$13,Paramètres!$A$1:$I$89,5,0)</f>
        <v>185.20320000000009</v>
      </c>
      <c r="CV174" s="13">
        <f t="shared" si="173"/>
        <v>46.477875402099386</v>
      </c>
      <c r="CW174" s="20">
        <f t="shared" si="174"/>
        <v>403.5112063253232</v>
      </c>
      <c r="CX174" s="59">
        <f t="shared" si="122"/>
        <v>696.84453965865646</v>
      </c>
      <c r="CY174" s="59">
        <f ca="1">AVERAGE(OFFSET($CX$3,0,0,'Données projet'!$E$13+1,1))-AVERAGE(OFFSET($H$3,0,0,'Données projet'!$E$13+1,1))</f>
        <v>207.4513063267579</v>
      </c>
      <c r="CZ174" s="59">
        <f t="shared" si="150"/>
        <v>191.63513530247218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3.6604228307203299</v>
      </c>
      <c r="DG174" s="21">
        <f>EXP(-LN(2)/25)*DG173+(1-EXP(-LN(2)/25))/(LN(2)/25)*Calculateur!DB174*Calculateur!DD174*VLOOKUP('Données projet'!$B$13,Paramètres!$A$1:$I$89,3,0)*0.475*44/12</f>
        <v>1.9534542392593413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5.6138770699796714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66.814714696519275</v>
      </c>
      <c r="T175" s="59">
        <f t="shared" si="142"/>
        <v>199.56746335788068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2.331527137600192</v>
      </c>
      <c r="AA175" s="21">
        <f>EXP(-LN(2)/25)*AA174+(1-EXP(-LN(2)/25))/(LN(2)/25)*Calculateur!V175*Calculateur!X175*VLOOKUP('Données projet'!$B$9,Paramètres!$A$1:$I$89,3,0)*0.475*44/12</f>
        <v>0.14927539494718117</v>
      </c>
      <c r="AB175" s="21">
        <f>EXP(-LN(2)/2)*AB174+(1-EXP(-LN(2)/2))/(LN(2)/2)*V175*Y175*VLOOKUP('Données projet'!$B$9,Paramètres!$A$1:$I$89,3,0)*0.475*44/12</f>
        <v>1.9087112031551076E-22</v>
      </c>
      <c r="AC175" s="22">
        <f t="shared" si="163"/>
        <v>2.480802532547373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367.99999999999972</v>
      </c>
      <c r="AJ175" s="13">
        <f>AI175*VLOOKUP('Données projet'!$B$10,Paramètres!$A$1:$I$89,3,0)*VLOOKUP('Données projet'!$B$10,Paramètres!$A$1:$I$89,5,0)</f>
        <v>292.78079999999977</v>
      </c>
      <c r="AK175" s="13">
        <f t="shared" si="164"/>
        <v>69.660903052386217</v>
      </c>
      <c r="AL175" s="20">
        <f t="shared" si="165"/>
        <v>631.25263281623893</v>
      </c>
      <c r="AM175" s="59">
        <f t="shared" si="113"/>
        <v>924.58596614957219</v>
      </c>
      <c r="AN175" s="59">
        <f ca="1">AVERAGE(OFFSET($AM$3,0,0,'Données projet'!$E$10+1,1))-AVERAGE(OFFSET($H$3,0,0,'Données projet'!$E$10+1,1))</f>
        <v>325.72928944930294</v>
      </c>
      <c r="AO175" s="59">
        <f t="shared" si="144"/>
        <v>318.38876834819752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9.7755000731883523</v>
      </c>
      <c r="AV175" s="21">
        <f>EXP(-LN(2)/25)*AV174+(1-EXP(-LN(2)/25))/(LN(2)/25)*Calculateur!AQ175*Calculateur!AS175*VLOOKUP('Données projet'!$B$10,Paramètres!$A$1:$I$89,3,0)*0.475*44/12</f>
        <v>0.5587770658209491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10.334277139009302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268.00000000000023</v>
      </c>
      <c r="BE175" s="13">
        <f>BD175*VLOOKUP('Données projet'!$B$11,Paramètres!$A$1:$I$89,3,0)*VLOOKUP('Données projet'!$B$11,Paramètres!$A$1:$I$89,5,0)</f>
        <v>175.59360000000015</v>
      </c>
      <c r="BF175" s="13">
        <f t="shared" si="167"/>
        <v>44.340433728638573</v>
      </c>
      <c r="BG175" s="20">
        <f t="shared" si="168"/>
        <v>383.05177541071242</v>
      </c>
      <c r="BH175" s="59">
        <f t="shared" si="116"/>
        <v>676.38510874404574</v>
      </c>
      <c r="BI175" s="59">
        <f ca="1">AVERAGE(OFFSET($BH$3,0,0,'Données projet'!$E$11+1,1))-AVERAGE(OFFSET($H$3,0,0,'Données projet'!$E$11+1,1))</f>
        <v>209.40885738157152</v>
      </c>
      <c r="BJ175" s="59">
        <f t="shared" si="146"/>
        <v>230.15385333954697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1.2434504374082624</v>
      </c>
      <c r="BQ175" s="21">
        <f>EXP(-LN(2)/25)*BQ174+(1-EXP(-LN(2)/25))/(LN(2)/25)*Calculateur!BL175*Calculateur!BN175*VLOOKUP('Données projet'!$B$11,Paramètres!$A$1:$I$89,3,0)*0.475*44/12</f>
        <v>1.6360099384832063</v>
      </c>
      <c r="BR175" s="21">
        <f>EXP(-LN(2)/2)*BR174+(1-EXP(-LN(2)/2))/(LN(2)/2)*BL175*BO175*VLOOKUP('Données projet'!$B$11,Paramètres!$A$1:$I$89,3,0)*0.475*44/12</f>
        <v>6.2036792147703093E-13</v>
      </c>
      <c r="BS175" s="22">
        <f t="shared" si="169"/>
        <v>2.8794603758920894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5.6843418860808015E-13</v>
      </c>
      <c r="BZ175" s="13">
        <f>BY175*VLOOKUP('Données projet'!$B$12,Paramètres!$A$1:$I$89,3,0)*VLOOKUP('Données projet'!$B$12,Paramètres!$A$1:$I$89,5,0)</f>
        <v>5.1431925385259092E-13</v>
      </c>
      <c r="CA175" s="13">
        <f t="shared" si="170"/>
        <v>6.3855359115685756E-12</v>
      </c>
      <c r="CB175" s="20">
        <f t="shared" si="171"/>
        <v>1.2017247746441865E-11</v>
      </c>
      <c r="CC175" s="59">
        <f t="shared" si="119"/>
        <v>293.33333333334531</v>
      </c>
      <c r="CD175" s="59">
        <f ca="1">AVERAGE(OFFSET($CC$3,0,0,'Données projet'!$E$12+1,1))-AVERAGE(OFFSET($H$3,0,0,'Données projet'!$E$12+1,1))</f>
        <v>270.87836509222456</v>
      </c>
      <c r="CE175" s="59">
        <f t="shared" si="148"/>
        <v>205.24998237949734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75.914538834446191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75.914538834446191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212.00000000000009</v>
      </c>
      <c r="CU175" s="17">
        <f>CT175*VLOOKUP('Données projet'!$B$13,Paramètres!$A$1:$I$89,3,0)*VLOOKUP('Données projet'!$B$13,Paramètres!$A$1:$I$89,5,0)</f>
        <v>185.20320000000009</v>
      </c>
      <c r="CV175" s="13">
        <f t="shared" si="173"/>
        <v>46.477875402099386</v>
      </c>
      <c r="CW175" s="20">
        <f t="shared" si="174"/>
        <v>403.5112063253232</v>
      </c>
      <c r="CX175" s="59">
        <f t="shared" si="122"/>
        <v>696.84453965865646</v>
      </c>
      <c r="CY175" s="59">
        <f ca="1">AVERAGE(OFFSET($CX$3,0,0,'Données projet'!$E$13+1,1))-AVERAGE(OFFSET($H$3,0,0,'Données projet'!$E$13+1,1))</f>
        <v>207.4513063267579</v>
      </c>
      <c r="CZ175" s="59">
        <f t="shared" si="150"/>
        <v>191.63513530247218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3.5886441716473763</v>
      </c>
      <c r="DG175" s="21">
        <f>EXP(-LN(2)/25)*DG174+(1-EXP(-LN(2)/25))/(LN(2)/25)*Calculateur!DB175*Calculateur!DD175*VLOOKUP('Données projet'!$B$13,Paramètres!$A$1:$I$89,3,0)*0.475*44/12</f>
        <v>1.9000369303591007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5.4886811020064767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66.814714696519275</v>
      </c>
      <c r="T176" s="59">
        <f t="shared" si="142"/>
        <v>199.56746335788068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2.2858073125229863</v>
      </c>
      <c r="AA176" s="21">
        <f>EXP(-LN(2)/25)*AA175+(1-EXP(-LN(2)/25))/(LN(2)/25)*Calculateur!V176*Calculateur!X176*VLOOKUP('Données projet'!$B$9,Paramètres!$A$1:$I$89,3,0)*0.475*44/12</f>
        <v>0.14519345142229867</v>
      </c>
      <c r="AB176" s="21">
        <f>EXP(-LN(2)/2)*AB175+(1-EXP(-LN(2)/2))/(LN(2)/2)*V176*Y176*VLOOKUP('Données projet'!$B$9,Paramètres!$A$1:$I$89,3,0)*0.475*44/12</f>
        <v>1.3496626350777105E-22</v>
      </c>
      <c r="AC176" s="22">
        <f t="shared" si="163"/>
        <v>2.4310007639452849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367.99999999999972</v>
      </c>
      <c r="AJ176" s="13">
        <f>AI176*VLOOKUP('Données projet'!$B$10,Paramètres!$A$1:$I$89,3,0)*VLOOKUP('Données projet'!$B$10,Paramètres!$A$1:$I$89,5,0)</f>
        <v>292.78079999999977</v>
      </c>
      <c r="AK176" s="13">
        <f t="shared" si="164"/>
        <v>69.660903052386217</v>
      </c>
      <c r="AL176" s="20">
        <f t="shared" si="165"/>
        <v>631.25263281623893</v>
      </c>
      <c r="AM176" s="59">
        <f t="shared" si="113"/>
        <v>924.58596614957219</v>
      </c>
      <c r="AN176" s="59">
        <f ca="1">AVERAGE(OFFSET($AM$3,0,0,'Données projet'!$E$10+1,1))-AVERAGE(OFFSET($H$3,0,0,'Données projet'!$E$10+1,1))</f>
        <v>325.72928944930294</v>
      </c>
      <c r="AO176" s="59">
        <f t="shared" si="144"/>
        <v>318.38876834819752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9.583808479219428</v>
      </c>
      <c r="AV176" s="21">
        <f>EXP(-LN(2)/25)*AV175+(1-EXP(-LN(2)/25))/(LN(2)/25)*Calculateur!AQ176*Calculateur!AS176*VLOOKUP('Données projet'!$B$10,Paramètres!$A$1:$I$89,3,0)*0.475*44/12</f>
        <v>0.54349727757126642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10.127305756790694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268.00000000000023</v>
      </c>
      <c r="BE176" s="13">
        <f>BD176*VLOOKUP('Données projet'!$B$11,Paramètres!$A$1:$I$89,3,0)*VLOOKUP('Données projet'!$B$11,Paramètres!$A$1:$I$89,5,0)</f>
        <v>175.59360000000015</v>
      </c>
      <c r="BF176" s="13">
        <f t="shared" si="167"/>
        <v>44.340433728638573</v>
      </c>
      <c r="BG176" s="20">
        <f t="shared" si="168"/>
        <v>383.05177541071242</v>
      </c>
      <c r="BH176" s="59">
        <f t="shared" si="116"/>
        <v>676.38510874404574</v>
      </c>
      <c r="BI176" s="59">
        <f ca="1">AVERAGE(OFFSET($BH$3,0,0,'Données projet'!$E$11+1,1))-AVERAGE(OFFSET($H$3,0,0,'Données projet'!$E$11+1,1))</f>
        <v>209.40885738157152</v>
      </c>
      <c r="BJ176" s="59">
        <f t="shared" si="146"/>
        <v>230.15385333954697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1.2190671327605644</v>
      </c>
      <c r="BQ176" s="21">
        <f>EXP(-LN(2)/25)*BQ175+(1-EXP(-LN(2)/25))/(LN(2)/25)*Calculateur!BL176*Calculateur!BN176*VLOOKUP('Données projet'!$B$11,Paramètres!$A$1:$I$89,3,0)*0.475*44/12</f>
        <v>1.5912731606813595</v>
      </c>
      <c r="BR176" s="21">
        <f>EXP(-LN(2)/2)*BR175+(1-EXP(-LN(2)/2))/(LN(2)/2)*BL176*BO176*VLOOKUP('Données projet'!$B$11,Paramètres!$A$1:$I$89,3,0)*0.475*44/12</f>
        <v>4.3866636410701221E-13</v>
      </c>
      <c r="BS176" s="22">
        <f t="shared" si="169"/>
        <v>2.8103402934423629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5.6843418860808015E-13</v>
      </c>
      <c r="BZ176" s="13">
        <f>BY176*VLOOKUP('Données projet'!$B$12,Paramètres!$A$1:$I$89,3,0)*VLOOKUP('Données projet'!$B$12,Paramètres!$A$1:$I$89,5,0)</f>
        <v>5.1431925385259092E-13</v>
      </c>
      <c r="CA176" s="13">
        <f t="shared" si="170"/>
        <v>6.3855359115685756E-12</v>
      </c>
      <c r="CB176" s="20">
        <f t="shared" si="171"/>
        <v>1.2017247746441865E-11</v>
      </c>
      <c r="CC176" s="59">
        <f t="shared" si="119"/>
        <v>293.33333333334531</v>
      </c>
      <c r="CD176" s="59">
        <f ca="1">AVERAGE(OFFSET($CC$3,0,0,'Données projet'!$E$12+1,1))-AVERAGE(OFFSET($H$3,0,0,'Données projet'!$E$12+1,1))</f>
        <v>270.87836509222456</v>
      </c>
      <c r="CE176" s="59">
        <f t="shared" si="148"/>
        <v>205.24998237949734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74.425901031199317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74.425901031199317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212.00000000000009</v>
      </c>
      <c r="CU176" s="17">
        <f>CT176*VLOOKUP('Données projet'!$B$13,Paramètres!$A$1:$I$89,3,0)*VLOOKUP('Données projet'!$B$13,Paramètres!$A$1:$I$89,5,0)</f>
        <v>185.20320000000009</v>
      </c>
      <c r="CV176" s="13">
        <f t="shared" si="173"/>
        <v>46.477875402099386</v>
      </c>
      <c r="CW176" s="20">
        <f t="shared" si="174"/>
        <v>403.5112063253232</v>
      </c>
      <c r="CX176" s="59">
        <f t="shared" si="122"/>
        <v>696.84453965865646</v>
      </c>
      <c r="CY176" s="59">
        <f ca="1">AVERAGE(OFFSET($CX$3,0,0,'Données projet'!$E$13+1,1))-AVERAGE(OFFSET($H$3,0,0,'Données projet'!$E$13+1,1))</f>
        <v>207.4513063267579</v>
      </c>
      <c r="CZ176" s="59">
        <f t="shared" si="150"/>
        <v>191.63513530247218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3.5182730482981843</v>
      </c>
      <c r="DG176" s="21">
        <f>EXP(-LN(2)/25)*DG175+(1-EXP(-LN(2)/25))/(LN(2)/25)*Calculateur!DB176*Calculateur!DD176*VLOOKUP('Données projet'!$B$13,Paramètres!$A$1:$I$89,3,0)*0.475*44/12</f>
        <v>1.8480803205798315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5.3663533688780163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66.814714696519275</v>
      </c>
      <c r="T177" s="59">
        <f t="shared" si="142"/>
        <v>199.56746335788068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2.240984025329205</v>
      </c>
      <c r="AA177" s="21">
        <f>EXP(-LN(2)/25)*AA176+(1-EXP(-LN(2)/25))/(LN(2)/25)*Calculateur!V177*Calculateur!X177*VLOOKUP('Données projet'!$B$9,Paramètres!$A$1:$I$89,3,0)*0.475*44/12</f>
        <v>0.14122312885776414</v>
      </c>
      <c r="AB177" s="21">
        <f>EXP(-LN(2)/2)*AB176+(1-EXP(-LN(2)/2))/(LN(2)/2)*V177*Y177*VLOOKUP('Données projet'!$B$9,Paramètres!$A$1:$I$89,3,0)*0.475*44/12</f>
        <v>9.543556015775538E-23</v>
      </c>
      <c r="AC177" s="22">
        <f t="shared" si="163"/>
        <v>2.3822071541869692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367.99999999999972</v>
      </c>
      <c r="AJ177" s="13">
        <f>AI177*VLOOKUP('Données projet'!$B$10,Paramètres!$A$1:$I$89,3,0)*VLOOKUP('Données projet'!$B$10,Paramètres!$A$1:$I$89,5,0)</f>
        <v>292.78079999999977</v>
      </c>
      <c r="AK177" s="13">
        <f t="shared" si="164"/>
        <v>69.660903052386217</v>
      </c>
      <c r="AL177" s="20">
        <f t="shared" si="165"/>
        <v>631.25263281623893</v>
      </c>
      <c r="AM177" s="59">
        <f t="shared" si="113"/>
        <v>924.58596614957219</v>
      </c>
      <c r="AN177" s="59">
        <f ca="1">AVERAGE(OFFSET($AM$3,0,0,'Données projet'!$E$10+1,1))-AVERAGE(OFFSET($H$3,0,0,'Données projet'!$E$10+1,1))</f>
        <v>325.72928944930294</v>
      </c>
      <c r="AO177" s="59">
        <f t="shared" si="144"/>
        <v>318.38876834819752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9.395875840487907</v>
      </c>
      <c r="AV177" s="21">
        <f>EXP(-LN(2)/25)*AV176+(1-EXP(-LN(2)/25))/(LN(2)/25)*Calculateur!AQ177*Calculateur!AS177*VLOOKUP('Données projet'!$B$10,Paramètres!$A$1:$I$89,3,0)*0.475*44/12</f>
        <v>0.52863531593480051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9.9245111564227066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268.00000000000023</v>
      </c>
      <c r="BE177" s="13">
        <f>BD177*VLOOKUP('Données projet'!$B$11,Paramètres!$A$1:$I$89,3,0)*VLOOKUP('Données projet'!$B$11,Paramètres!$A$1:$I$89,5,0)</f>
        <v>175.59360000000015</v>
      </c>
      <c r="BF177" s="13">
        <f t="shared" si="167"/>
        <v>44.340433728638573</v>
      </c>
      <c r="BG177" s="20">
        <f t="shared" si="168"/>
        <v>383.05177541071242</v>
      </c>
      <c r="BH177" s="59">
        <f t="shared" si="116"/>
        <v>676.38510874404574</v>
      </c>
      <c r="BI177" s="59">
        <f ca="1">AVERAGE(OFFSET($BH$3,0,0,'Données projet'!$E$11+1,1))-AVERAGE(OFFSET($H$3,0,0,'Données projet'!$E$11+1,1))</f>
        <v>209.40885738157152</v>
      </c>
      <c r="BJ177" s="59">
        <f t="shared" si="146"/>
        <v>230.15385333954697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1.1951619698446605</v>
      </c>
      <c r="BQ177" s="21">
        <f>EXP(-LN(2)/25)*BQ176+(1-EXP(-LN(2)/25))/(LN(2)/25)*Calculateur!BL177*Calculateur!BN177*VLOOKUP('Données projet'!$B$11,Paramètres!$A$1:$I$89,3,0)*0.475*44/12</f>
        <v>1.5477597124211091</v>
      </c>
      <c r="BR177" s="21">
        <f>EXP(-LN(2)/2)*BR176+(1-EXP(-LN(2)/2))/(LN(2)/2)*BL177*BO177*VLOOKUP('Données projet'!$B$11,Paramètres!$A$1:$I$89,3,0)*0.475*44/12</f>
        <v>3.1018396073851546E-13</v>
      </c>
      <c r="BS177" s="22">
        <f t="shared" si="169"/>
        <v>2.7429216822660796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5.6843418860808015E-13</v>
      </c>
      <c r="BZ177" s="13">
        <f>BY177*VLOOKUP('Données projet'!$B$12,Paramètres!$A$1:$I$89,3,0)*VLOOKUP('Données projet'!$B$12,Paramètres!$A$1:$I$89,5,0)</f>
        <v>5.1431925385259092E-13</v>
      </c>
      <c r="CA177" s="13">
        <f t="shared" si="170"/>
        <v>6.3855359115685756E-12</v>
      </c>
      <c r="CB177" s="20">
        <f t="shared" si="171"/>
        <v>1.2017247746441865E-11</v>
      </c>
      <c r="CC177" s="59">
        <f t="shared" si="119"/>
        <v>293.33333333334531</v>
      </c>
      <c r="CD177" s="59">
        <f ca="1">AVERAGE(OFFSET($CC$3,0,0,'Données projet'!$E$12+1,1))-AVERAGE(OFFSET($H$3,0,0,'Données projet'!$E$12+1,1))</f>
        <v>270.87836509222456</v>
      </c>
      <c r="CE177" s="59">
        <f t="shared" si="148"/>
        <v>205.24998237949734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72.966454507294713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72.966454507294713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212.00000000000009</v>
      </c>
      <c r="CU177" s="17">
        <f>CT177*VLOOKUP('Données projet'!$B$13,Paramètres!$A$1:$I$89,3,0)*VLOOKUP('Données projet'!$B$13,Paramètres!$A$1:$I$89,5,0)</f>
        <v>185.20320000000009</v>
      </c>
      <c r="CV177" s="13">
        <f t="shared" si="173"/>
        <v>46.477875402099386</v>
      </c>
      <c r="CW177" s="20">
        <f t="shared" si="174"/>
        <v>403.5112063253232</v>
      </c>
      <c r="CX177" s="59">
        <f t="shared" si="122"/>
        <v>696.84453965865646</v>
      </c>
      <c r="CY177" s="59">
        <f ca="1">AVERAGE(OFFSET($CX$3,0,0,'Données projet'!$E$13+1,1))-AVERAGE(OFFSET($H$3,0,0,'Données projet'!$E$13+1,1))</f>
        <v>207.4513063267579</v>
      </c>
      <c r="CZ177" s="59">
        <f t="shared" si="150"/>
        <v>191.63513530247218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3.4492818597557231</v>
      </c>
      <c r="DG177" s="21">
        <f>EXP(-LN(2)/25)*DG176+(1-EXP(-LN(2)/25))/(LN(2)/25)*Calculateur!DB177*Calculateur!DD177*VLOOKUP('Données projet'!$B$13,Paramètres!$A$1:$I$89,3,0)*0.475*44/12</f>
        <v>1.7975444670272558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5.2468263267829789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66.814714696519275</v>
      </c>
      <c r="T178" s="59">
        <f t="shared" si="142"/>
        <v>199.56746335788068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2.197039695457788</v>
      </c>
      <c r="AA178" s="21">
        <f>EXP(-LN(2)/25)*AA177+(1-EXP(-LN(2)/25))/(LN(2)/25)*Calculateur!V178*Calculateur!X178*VLOOKUP('Données projet'!$B$9,Paramètres!$A$1:$I$89,3,0)*0.475*44/12</f>
        <v>0.137361374972547</v>
      </c>
      <c r="AB178" s="21">
        <f>EXP(-LN(2)/2)*AB177+(1-EXP(-LN(2)/2))/(LN(2)/2)*V178*Y178*VLOOKUP('Données projet'!$B$9,Paramètres!$A$1:$I$89,3,0)*0.475*44/12</f>
        <v>6.7483131753885526E-23</v>
      </c>
      <c r="AC178" s="22">
        <f t="shared" si="163"/>
        <v>2.3344010704303351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367.99999999999972</v>
      </c>
      <c r="AJ178" s="13">
        <f>AI178*VLOOKUP('Données projet'!$B$10,Paramètres!$A$1:$I$89,3,0)*VLOOKUP('Données projet'!$B$10,Paramètres!$A$1:$I$89,5,0)</f>
        <v>292.78079999999977</v>
      </c>
      <c r="AK178" s="13">
        <f t="shared" si="164"/>
        <v>69.660903052386217</v>
      </c>
      <c r="AL178" s="20">
        <f t="shared" si="165"/>
        <v>631.25263281623893</v>
      </c>
      <c r="AM178" s="59">
        <f t="shared" si="113"/>
        <v>924.58596614957219</v>
      </c>
      <c r="AN178" s="59">
        <f ca="1">AVERAGE(OFFSET($AM$3,0,0,'Données projet'!$E$10+1,1))-AVERAGE(OFFSET($H$3,0,0,'Données projet'!$E$10+1,1))</f>
        <v>325.72928944930294</v>
      </c>
      <c r="AO178" s="59">
        <f t="shared" si="144"/>
        <v>318.38876834819752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9.2116284461743199</v>
      </c>
      <c r="AV178" s="21">
        <f>EXP(-LN(2)/25)*AV177+(1-EXP(-LN(2)/25))/(LN(2)/25)*Calculateur!AQ178*Calculateur!AS178*VLOOKUP('Données projet'!$B$10,Paramètres!$A$1:$I$89,3,0)*0.475*44/12</f>
        <v>0.51417975542084038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9.7258082015951608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268.00000000000023</v>
      </c>
      <c r="BE178" s="13">
        <f>BD178*VLOOKUP('Données projet'!$B$11,Paramètres!$A$1:$I$89,3,0)*VLOOKUP('Données projet'!$B$11,Paramètres!$A$1:$I$89,5,0)</f>
        <v>175.59360000000015</v>
      </c>
      <c r="BF178" s="13">
        <f t="shared" si="167"/>
        <v>44.340433728638573</v>
      </c>
      <c r="BG178" s="20">
        <f t="shared" si="168"/>
        <v>383.05177541071242</v>
      </c>
      <c r="BH178" s="59">
        <f t="shared" si="116"/>
        <v>676.38510874404574</v>
      </c>
      <c r="BI178" s="59">
        <f ca="1">AVERAGE(OFFSET($BH$3,0,0,'Données projet'!$E$11+1,1))-AVERAGE(OFFSET($H$3,0,0,'Données projet'!$E$11+1,1))</f>
        <v>209.40885738157152</v>
      </c>
      <c r="BJ178" s="59">
        <f t="shared" si="146"/>
        <v>230.15385333954697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1.1717255725928277</v>
      </c>
      <c r="BQ178" s="21">
        <f>EXP(-LN(2)/25)*BQ177+(1-EXP(-LN(2)/25))/(LN(2)/25)*Calculateur!BL178*Calculateur!BN178*VLOOKUP('Données projet'!$B$11,Paramètres!$A$1:$I$89,3,0)*0.475*44/12</f>
        <v>1.5054361416918081</v>
      </c>
      <c r="BR178" s="21">
        <f>EXP(-LN(2)/2)*BR177+(1-EXP(-LN(2)/2))/(LN(2)/2)*BL178*BO178*VLOOKUP('Données projet'!$B$11,Paramètres!$A$1:$I$89,3,0)*0.475*44/12</f>
        <v>2.1933318205350611E-13</v>
      </c>
      <c r="BS178" s="22">
        <f t="shared" si="169"/>
        <v>2.6771617142848552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5.6843418860808015E-13</v>
      </c>
      <c r="BZ178" s="13">
        <f>BY178*VLOOKUP('Données projet'!$B$12,Paramètres!$A$1:$I$89,3,0)*VLOOKUP('Données projet'!$B$12,Paramètres!$A$1:$I$89,5,0)</f>
        <v>5.1431925385259092E-13</v>
      </c>
      <c r="CA178" s="13">
        <f t="shared" si="170"/>
        <v>6.3855359115685756E-12</v>
      </c>
      <c r="CB178" s="20">
        <f t="shared" si="171"/>
        <v>1.2017247746441865E-11</v>
      </c>
      <c r="CC178" s="59">
        <f t="shared" si="119"/>
        <v>293.33333333334531</v>
      </c>
      <c r="CD178" s="59">
        <f ca="1">AVERAGE(OFFSET($CC$3,0,0,'Données projet'!$E$12+1,1))-AVERAGE(OFFSET($H$3,0,0,'Données projet'!$E$12+1,1))</f>
        <v>270.87836509222456</v>
      </c>
      <c r="CE178" s="59">
        <f t="shared" si="148"/>
        <v>205.24998237949734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71.535626839549394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71.535626839549394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212.00000000000009</v>
      </c>
      <c r="CU178" s="17">
        <f>CT178*VLOOKUP('Données projet'!$B$13,Paramètres!$A$1:$I$89,3,0)*VLOOKUP('Données projet'!$B$13,Paramètres!$A$1:$I$89,5,0)</f>
        <v>185.20320000000009</v>
      </c>
      <c r="CV178" s="13">
        <f t="shared" si="173"/>
        <v>46.477875402099386</v>
      </c>
      <c r="CW178" s="20">
        <f t="shared" si="174"/>
        <v>403.5112063253232</v>
      </c>
      <c r="CX178" s="59">
        <f t="shared" si="122"/>
        <v>696.84453965865646</v>
      </c>
      <c r="CY178" s="59">
        <f ca="1">AVERAGE(OFFSET($CX$3,0,0,'Données projet'!$E$13+1,1))-AVERAGE(OFFSET($H$3,0,0,'Données projet'!$E$13+1,1))</f>
        <v>207.4513063267579</v>
      </c>
      <c r="CZ178" s="59">
        <f t="shared" si="150"/>
        <v>191.63513530247218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3.3816435463401096</v>
      </c>
      <c r="DG178" s="21">
        <f>EXP(-LN(2)/25)*DG177+(1-EXP(-LN(2)/25))/(LN(2)/25)*Calculateur!DB178*Calculateur!DD178*VLOOKUP('Données projet'!$B$13,Paramètres!$A$1:$I$89,3,0)*0.475*44/12</f>
        <v>1.7483905190476403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5.1300340653877496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66.814714696519275</v>
      </c>
      <c r="T179" s="59">
        <f t="shared" si="142"/>
        <v>199.56746335788068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2.1539570870917548</v>
      </c>
      <c r="AA179" s="21">
        <f>EXP(-LN(2)/25)*AA178+(1-EXP(-LN(2)/25))/(LN(2)/25)*Calculateur!V179*Calculateur!X179*VLOOKUP('Données projet'!$B$9,Paramètres!$A$1:$I$89,3,0)*0.475*44/12</f>
        <v>0.13360522095040192</v>
      </c>
      <c r="AB179" s="21">
        <f>EXP(-LN(2)/2)*AB178+(1-EXP(-LN(2)/2))/(LN(2)/2)*V179*Y179*VLOOKUP('Données projet'!$B$9,Paramètres!$A$1:$I$89,3,0)*0.475*44/12</f>
        <v>4.771778007887769E-23</v>
      </c>
      <c r="AC179" s="22">
        <f t="shared" si="163"/>
        <v>2.2875623080421565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367.99999999999972</v>
      </c>
      <c r="AJ179" s="13">
        <f>AI179*VLOOKUP('Données projet'!$B$10,Paramètres!$A$1:$I$89,3,0)*VLOOKUP('Données projet'!$B$10,Paramètres!$A$1:$I$89,5,0)</f>
        <v>292.78079999999977</v>
      </c>
      <c r="AK179" s="13">
        <f t="shared" si="164"/>
        <v>69.660903052386217</v>
      </c>
      <c r="AL179" s="20">
        <f t="shared" si="165"/>
        <v>631.25263281623893</v>
      </c>
      <c r="AM179" s="59">
        <f t="shared" si="113"/>
        <v>924.58596614957219</v>
      </c>
      <c r="AN179" s="59">
        <f ca="1">AVERAGE(OFFSET($AM$3,0,0,'Données projet'!$E$10+1,1))-AVERAGE(OFFSET($H$3,0,0,'Données projet'!$E$10+1,1))</f>
        <v>325.72928944930294</v>
      </c>
      <c r="AO179" s="59">
        <f t="shared" si="144"/>
        <v>318.38876834819752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9.0309940308834094</v>
      </c>
      <c r="AV179" s="21">
        <f>EXP(-LN(2)/25)*AV178+(1-EXP(-LN(2)/25))/(LN(2)/25)*Calculateur!AQ179*Calculateur!AS179*VLOOKUP('Données projet'!$B$10,Paramètres!$A$1:$I$89,3,0)*0.475*44/12</f>
        <v>0.5001194829693193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9.5311135138527288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268.00000000000023</v>
      </c>
      <c r="BE179" s="13">
        <f>BD179*VLOOKUP('Données projet'!$B$11,Paramètres!$A$1:$I$89,3,0)*VLOOKUP('Données projet'!$B$11,Paramètres!$A$1:$I$89,5,0)</f>
        <v>175.59360000000015</v>
      </c>
      <c r="BF179" s="13">
        <f t="shared" si="167"/>
        <v>44.340433728638573</v>
      </c>
      <c r="BG179" s="20">
        <f t="shared" si="168"/>
        <v>383.05177541071242</v>
      </c>
      <c r="BH179" s="59">
        <f t="shared" si="116"/>
        <v>676.38510874404574</v>
      </c>
      <c r="BI179" s="59">
        <f ca="1">AVERAGE(OFFSET($BH$3,0,0,'Données projet'!$E$11+1,1))-AVERAGE(OFFSET($H$3,0,0,'Données projet'!$E$11+1,1))</f>
        <v>209.40885738157152</v>
      </c>
      <c r="BJ179" s="59">
        <f t="shared" si="146"/>
        <v>230.15385333954697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1.1487487487963126</v>
      </c>
      <c r="BQ179" s="21">
        <f>EXP(-LN(2)/25)*BQ178+(1-EXP(-LN(2)/25))/(LN(2)/25)*Calculateur!BL179*Calculateur!BN179*VLOOKUP('Données projet'!$B$11,Paramètres!$A$1:$I$89,3,0)*0.475*44/12</f>
        <v>1.4642699112297997</v>
      </c>
      <c r="BR179" s="21">
        <f>EXP(-LN(2)/2)*BR178+(1-EXP(-LN(2)/2))/(LN(2)/2)*BL179*BO179*VLOOKUP('Données projet'!$B$11,Paramètres!$A$1:$I$89,3,0)*0.475*44/12</f>
        <v>1.5509198036925773E-13</v>
      </c>
      <c r="BS179" s="22">
        <f t="shared" si="169"/>
        <v>2.6130186600262673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5.6843418860808015E-13</v>
      </c>
      <c r="BZ179" s="13">
        <f>BY179*VLOOKUP('Données projet'!$B$12,Paramètres!$A$1:$I$89,3,0)*VLOOKUP('Données projet'!$B$12,Paramètres!$A$1:$I$89,5,0)</f>
        <v>5.1431925385259092E-13</v>
      </c>
      <c r="CA179" s="13">
        <f t="shared" si="170"/>
        <v>6.3855359115685756E-12</v>
      </c>
      <c r="CB179" s="20">
        <f t="shared" si="171"/>
        <v>1.2017247746441865E-11</v>
      </c>
      <c r="CC179" s="59">
        <f t="shared" si="119"/>
        <v>293.33333333334531</v>
      </c>
      <c r="CD179" s="59">
        <f ca="1">AVERAGE(OFFSET($CC$3,0,0,'Données projet'!$E$12+1,1))-AVERAGE(OFFSET($H$3,0,0,'Données projet'!$E$12+1,1))</f>
        <v>270.87836509222456</v>
      </c>
      <c r="CE179" s="59">
        <f t="shared" si="148"/>
        <v>205.24998237949734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70.132856829649853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70.132856829649853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212.00000000000009</v>
      </c>
      <c r="CU179" s="17">
        <f>CT179*VLOOKUP('Données projet'!$B$13,Paramètres!$A$1:$I$89,3,0)*VLOOKUP('Données projet'!$B$13,Paramètres!$A$1:$I$89,5,0)</f>
        <v>185.20320000000009</v>
      </c>
      <c r="CV179" s="13">
        <f t="shared" si="173"/>
        <v>46.477875402099386</v>
      </c>
      <c r="CW179" s="20">
        <f t="shared" si="174"/>
        <v>403.5112063253232</v>
      </c>
      <c r="CX179" s="59">
        <f t="shared" si="122"/>
        <v>696.84453965865646</v>
      </c>
      <c r="CY179" s="59">
        <f ca="1">AVERAGE(OFFSET($CX$3,0,0,'Données projet'!$E$13+1,1))-AVERAGE(OFFSET($H$3,0,0,'Données projet'!$E$13+1,1))</f>
        <v>207.4513063267579</v>
      </c>
      <c r="CZ179" s="59">
        <f t="shared" si="150"/>
        <v>191.63513530247218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3.3153315789952784</v>
      </c>
      <c r="DG179" s="21">
        <f>EXP(-LN(2)/25)*DG178+(1-EXP(-LN(2)/25))/(LN(2)/25)*Calculateur!DB179*Calculateur!DD179*VLOOKUP('Données projet'!$B$13,Paramètres!$A$1:$I$89,3,0)*0.475*44/12</f>
        <v>1.7005806883604211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5.0159122673556995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66.814714696519275</v>
      </c>
      <c r="T180" s="59">
        <f t="shared" si="142"/>
        <v>199.56746335788068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2.1117193023979834</v>
      </c>
      <c r="AA180" s="21">
        <f>EXP(-LN(2)/25)*AA179+(1-EXP(-LN(2)/25))/(LN(2)/25)*Calculateur!V180*Calculateur!X180*VLOOKUP('Données projet'!$B$9,Paramètres!$A$1:$I$89,3,0)*0.475*44/12</f>
        <v>0.12995177915751996</v>
      </c>
      <c r="AB180" s="21">
        <f>EXP(-LN(2)/2)*AB179+(1-EXP(-LN(2)/2))/(LN(2)/2)*V180*Y180*VLOOKUP('Données projet'!$B$9,Paramètres!$A$1:$I$89,3,0)*0.475*44/12</f>
        <v>3.3741565876942763E-23</v>
      </c>
      <c r="AC180" s="22">
        <f t="shared" si="163"/>
        <v>2.2416710815555034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367.99999999999972</v>
      </c>
      <c r="AJ180" s="13">
        <f>AI180*VLOOKUP('Données projet'!$B$10,Paramètres!$A$1:$I$89,3,0)*VLOOKUP('Données projet'!$B$10,Paramètres!$A$1:$I$89,5,0)</f>
        <v>292.78079999999977</v>
      </c>
      <c r="AK180" s="13">
        <f t="shared" si="164"/>
        <v>69.660903052386217</v>
      </c>
      <c r="AL180" s="20">
        <f t="shared" si="165"/>
        <v>631.25263281623893</v>
      </c>
      <c r="AM180" s="59">
        <f t="shared" si="113"/>
        <v>924.58596614957219</v>
      </c>
      <c r="AN180" s="59">
        <f ca="1">AVERAGE(OFFSET($AM$3,0,0,'Données projet'!$E$10+1,1))-AVERAGE(OFFSET($H$3,0,0,'Données projet'!$E$10+1,1))</f>
        <v>325.72928944930294</v>
      </c>
      <c r="AO180" s="59">
        <f t="shared" si="144"/>
        <v>318.38876834819752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8.8539017463002381</v>
      </c>
      <c r="AV180" s="21">
        <f>EXP(-LN(2)/25)*AV179+(1-EXP(-LN(2)/25))/(LN(2)/25)*Calculateur!AQ180*Calculateur!AS180*VLOOKUP('Données projet'!$B$10,Paramètres!$A$1:$I$89,3,0)*0.475*44/12</f>
        <v>0.4864436894073827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9.3403454357076203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268.00000000000023</v>
      </c>
      <c r="BE180" s="13">
        <f>BD180*VLOOKUP('Données projet'!$B$11,Paramètres!$A$1:$I$89,3,0)*VLOOKUP('Données projet'!$B$11,Paramètres!$A$1:$I$89,5,0)</f>
        <v>175.59360000000015</v>
      </c>
      <c r="BF180" s="13">
        <f t="shared" si="167"/>
        <v>44.340433728638573</v>
      </c>
      <c r="BG180" s="20">
        <f t="shared" si="168"/>
        <v>383.05177541071242</v>
      </c>
      <c r="BH180" s="59">
        <f t="shared" si="116"/>
        <v>676.38510874404574</v>
      </c>
      <c r="BI180" s="59">
        <f ca="1">AVERAGE(OFFSET($BH$3,0,0,'Données projet'!$E$11+1,1))-AVERAGE(OFFSET($H$3,0,0,'Données projet'!$E$11+1,1))</f>
        <v>209.40885738157152</v>
      </c>
      <c r="BJ180" s="59">
        <f t="shared" si="146"/>
        <v>230.15385333954697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1.1262224864999686</v>
      </c>
      <c r="BQ180" s="21">
        <f>EXP(-LN(2)/25)*BQ179+(1-EXP(-LN(2)/25))/(LN(2)/25)*Calculateur!BL180*Calculateur!BN180*VLOOKUP('Données projet'!$B$11,Paramètres!$A$1:$I$89,3,0)*0.475*44/12</f>
        <v>1.4242293735046128</v>
      </c>
      <c r="BR180" s="21">
        <f>EXP(-LN(2)/2)*BR179+(1-EXP(-LN(2)/2))/(LN(2)/2)*BL180*BO180*VLOOKUP('Données projet'!$B$11,Paramètres!$A$1:$I$89,3,0)*0.475*44/12</f>
        <v>1.0966659102675305E-13</v>
      </c>
      <c r="BS180" s="22">
        <f t="shared" si="169"/>
        <v>2.5504518600046908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5.6843418860808015E-13</v>
      </c>
      <c r="BZ180" s="13">
        <f>BY180*VLOOKUP('Données projet'!$B$12,Paramètres!$A$1:$I$89,3,0)*VLOOKUP('Données projet'!$B$12,Paramètres!$A$1:$I$89,5,0)</f>
        <v>5.1431925385259092E-13</v>
      </c>
      <c r="CA180" s="13">
        <f t="shared" si="170"/>
        <v>6.3855359115685756E-12</v>
      </c>
      <c r="CB180" s="20">
        <f t="shared" si="171"/>
        <v>1.2017247746441865E-11</v>
      </c>
      <c r="CC180" s="59">
        <f t="shared" si="119"/>
        <v>293.33333333334531</v>
      </c>
      <c r="CD180" s="59">
        <f ca="1">AVERAGE(OFFSET($CC$3,0,0,'Données projet'!$E$12+1,1))-AVERAGE(OFFSET($H$3,0,0,'Données projet'!$E$12+1,1))</f>
        <v>270.87836509222456</v>
      </c>
      <c r="CE180" s="59">
        <f t="shared" si="148"/>
        <v>205.24998237949734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68.757594284039229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68.757594284039229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212.00000000000009</v>
      </c>
      <c r="CU180" s="17">
        <f>CT180*VLOOKUP('Données projet'!$B$13,Paramètres!$A$1:$I$89,3,0)*VLOOKUP('Données projet'!$B$13,Paramètres!$A$1:$I$89,5,0)</f>
        <v>185.20320000000009</v>
      </c>
      <c r="CV180" s="13">
        <f t="shared" si="173"/>
        <v>46.477875402099386</v>
      </c>
      <c r="CW180" s="20">
        <f t="shared" si="174"/>
        <v>403.5112063253232</v>
      </c>
      <c r="CX180" s="59">
        <f t="shared" si="122"/>
        <v>696.84453965865646</v>
      </c>
      <c r="CY180" s="59">
        <f ca="1">AVERAGE(OFFSET($CX$3,0,0,'Données projet'!$E$13+1,1))-AVERAGE(OFFSET($H$3,0,0,'Données projet'!$E$13+1,1))</f>
        <v>207.4513063267579</v>
      </c>
      <c r="CZ180" s="59">
        <f t="shared" si="150"/>
        <v>191.63513530247218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3.2503199488837731</v>
      </c>
      <c r="DG180" s="21">
        <f>EXP(-LN(2)/25)*DG179+(1-EXP(-LN(2)/25))/(LN(2)/25)*Calculateur!DB180*Calculateur!DD180*VLOOKUP('Données projet'!$B$13,Paramètres!$A$1:$I$89,3,0)*0.475*44/12</f>
        <v>1.6540782200075537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4.9043981688913263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66.814714696519275</v>
      </c>
      <c r="T181" s="59">
        <f t="shared" si="142"/>
        <v>199.56746335788068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2.070309774899552</v>
      </c>
      <c r="AA181" s="21">
        <f>EXP(-LN(2)/25)*AA180+(1-EXP(-LN(2)/25))/(LN(2)/25)*Calculateur!V181*Calculateur!X181*VLOOKUP('Données projet'!$B$9,Paramètres!$A$1:$I$89,3,0)*0.475*44/12</f>
        <v>0.12639824092259053</v>
      </c>
      <c r="AB181" s="21">
        <f>EXP(-LN(2)/2)*AB180+(1-EXP(-LN(2)/2))/(LN(2)/2)*V181*Y181*VLOOKUP('Données projet'!$B$9,Paramètres!$A$1:$I$89,3,0)*0.475*44/12</f>
        <v>2.3858890039438845E-23</v>
      </c>
      <c r="AC181" s="22">
        <f t="shared" si="163"/>
        <v>2.1967080158221424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367.99999999999972</v>
      </c>
      <c r="AJ181" s="13">
        <f>AI181*VLOOKUP('Données projet'!$B$10,Paramètres!$A$1:$I$89,3,0)*VLOOKUP('Données projet'!$B$10,Paramètres!$A$1:$I$89,5,0)</f>
        <v>292.78079999999977</v>
      </c>
      <c r="AK181" s="13">
        <f t="shared" si="164"/>
        <v>69.660903052386217</v>
      </c>
      <c r="AL181" s="20">
        <f t="shared" si="165"/>
        <v>631.25263281623893</v>
      </c>
      <c r="AM181" s="59">
        <f t="shared" si="113"/>
        <v>924.58596614957219</v>
      </c>
      <c r="AN181" s="59">
        <f ca="1">AVERAGE(OFFSET($AM$3,0,0,'Données projet'!$E$10+1,1))-AVERAGE(OFFSET($H$3,0,0,'Données projet'!$E$10+1,1))</f>
        <v>325.72928944930294</v>
      </c>
      <c r="AO181" s="59">
        <f t="shared" si="144"/>
        <v>318.38876834819752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8.6802821334021161</v>
      </c>
      <c r="AV181" s="21">
        <f>EXP(-LN(2)/25)*AV180+(1-EXP(-LN(2)/25))/(LN(2)/25)*Calculateur!AQ181*Calculateur!AS181*VLOOKUP('Données projet'!$B$10,Paramètres!$A$1:$I$89,3,0)*0.475*44/12</f>
        <v>0.47314186113957596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9.1534239945416918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268.00000000000023</v>
      </c>
      <c r="BE181" s="13">
        <f>BD181*VLOOKUP('Données projet'!$B$11,Paramètres!$A$1:$I$89,3,0)*VLOOKUP('Données projet'!$B$11,Paramètres!$A$1:$I$89,5,0)</f>
        <v>175.59360000000015</v>
      </c>
      <c r="BF181" s="13">
        <f t="shared" si="167"/>
        <v>44.340433728638573</v>
      </c>
      <c r="BG181" s="20">
        <f t="shared" si="168"/>
        <v>383.05177541071242</v>
      </c>
      <c r="BH181" s="59">
        <f t="shared" si="116"/>
        <v>676.38510874404574</v>
      </c>
      <c r="BI181" s="59">
        <f ca="1">AVERAGE(OFFSET($BH$3,0,0,'Données projet'!$E$11+1,1))-AVERAGE(OFFSET($H$3,0,0,'Données projet'!$E$11+1,1))</f>
        <v>209.40885738157152</v>
      </c>
      <c r="BJ181" s="59">
        <f t="shared" si="146"/>
        <v>230.15385333954697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1.1041379504675926</v>
      </c>
      <c r="BQ181" s="21">
        <f>EXP(-LN(2)/25)*BQ180+(1-EXP(-LN(2)/25))/(LN(2)/25)*Calculateur!BL181*Calculateur!BN181*VLOOKUP('Données projet'!$B$11,Paramètres!$A$1:$I$89,3,0)*0.475*44/12</f>
        <v>1.3852837463891614</v>
      </c>
      <c r="BR181" s="21">
        <f>EXP(-LN(2)/2)*BR180+(1-EXP(-LN(2)/2))/(LN(2)/2)*BL181*BO181*VLOOKUP('Données projet'!$B$11,Paramètres!$A$1:$I$89,3,0)*0.475*44/12</f>
        <v>7.7545990184628866E-14</v>
      </c>
      <c r="BS181" s="22">
        <f t="shared" si="169"/>
        <v>2.4894216968568315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5.6843418860808015E-13</v>
      </c>
      <c r="BZ181" s="13">
        <f>BY181*VLOOKUP('Données projet'!$B$12,Paramètres!$A$1:$I$89,3,0)*VLOOKUP('Données projet'!$B$12,Paramètres!$A$1:$I$89,5,0)</f>
        <v>5.1431925385259092E-13</v>
      </c>
      <c r="CA181" s="13">
        <f t="shared" si="170"/>
        <v>6.3855359115685756E-12</v>
      </c>
      <c r="CB181" s="20">
        <f t="shared" si="171"/>
        <v>1.2017247746441865E-11</v>
      </c>
      <c r="CC181" s="59">
        <f t="shared" si="119"/>
        <v>293.33333333334531</v>
      </c>
      <c r="CD181" s="59">
        <f ca="1">AVERAGE(OFFSET($CC$3,0,0,'Données projet'!$E$12+1,1))-AVERAGE(OFFSET($H$3,0,0,'Données projet'!$E$12+1,1))</f>
        <v>270.87836509222456</v>
      </c>
      <c r="CE181" s="59">
        <f t="shared" si="148"/>
        <v>205.24998237949734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67.409299798120699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67.409299798120699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212.00000000000009</v>
      </c>
      <c r="CU181" s="17">
        <f>CT181*VLOOKUP('Données projet'!$B$13,Paramètres!$A$1:$I$89,3,0)*VLOOKUP('Données projet'!$B$13,Paramètres!$A$1:$I$89,5,0)</f>
        <v>185.20320000000009</v>
      </c>
      <c r="CV181" s="13">
        <f t="shared" si="173"/>
        <v>46.477875402099386</v>
      </c>
      <c r="CW181" s="20">
        <f t="shared" si="174"/>
        <v>403.5112063253232</v>
      </c>
      <c r="CX181" s="59">
        <f t="shared" si="122"/>
        <v>696.84453965865646</v>
      </c>
      <c r="CY181" s="59">
        <f ca="1">AVERAGE(OFFSET($CX$3,0,0,'Données projet'!$E$13+1,1))-AVERAGE(OFFSET($H$3,0,0,'Données projet'!$E$13+1,1))</f>
        <v>207.4513063267579</v>
      </c>
      <c r="CZ181" s="59">
        <f t="shared" si="150"/>
        <v>191.63513530247218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3.1865831571855754</v>
      </c>
      <c r="DG181" s="21">
        <f>EXP(-LN(2)/25)*DG180+(1-EXP(-LN(2)/25))/(LN(2)/25)*Calculateur!DB181*Calculateur!DD181*VLOOKUP('Données projet'!$B$13,Paramètres!$A$1:$I$89,3,0)*0.475*44/12</f>
        <v>1.608847364097254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4.7954305212828299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66.814714696519275</v>
      </c>
      <c r="T182" s="59">
        <f t="shared" si="142"/>
        <v>199.56746335788068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2.0297122629780469</v>
      </c>
      <c r="AA182" s="21">
        <f>EXP(-LN(2)/25)*AA181+(1-EXP(-LN(2)/25))/(LN(2)/25)*Calculateur!V182*Calculateur!X182*VLOOKUP('Données projet'!$B$9,Paramètres!$A$1:$I$89,3,0)*0.475*44/12</f>
        <v>0.12294187437756769</v>
      </c>
      <c r="AB182" s="21">
        <f>EXP(-LN(2)/2)*AB181+(1-EXP(-LN(2)/2))/(LN(2)/2)*V182*Y182*VLOOKUP('Données projet'!$B$9,Paramètres!$A$1:$I$89,3,0)*0.475*44/12</f>
        <v>1.6870782938471381E-23</v>
      </c>
      <c r="AC182" s="22">
        <f t="shared" si="163"/>
        <v>2.1526541373556145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367.99999999999972</v>
      </c>
      <c r="AJ182" s="13">
        <f>AI182*VLOOKUP('Données projet'!$B$10,Paramètres!$A$1:$I$89,3,0)*VLOOKUP('Données projet'!$B$10,Paramètres!$A$1:$I$89,5,0)</f>
        <v>292.78079999999977</v>
      </c>
      <c r="AK182" s="13">
        <f t="shared" si="164"/>
        <v>69.660903052386217</v>
      </c>
      <c r="AL182" s="20">
        <f t="shared" si="165"/>
        <v>631.25263281623893</v>
      </c>
      <c r="AM182" s="59">
        <f t="shared" si="113"/>
        <v>924.58596614957219</v>
      </c>
      <c r="AN182" s="59">
        <f ca="1">AVERAGE(OFFSET($AM$3,0,0,'Données projet'!$E$10+1,1))-AVERAGE(OFFSET($H$3,0,0,'Données projet'!$E$10+1,1))</f>
        <v>325.72928944930294</v>
      </c>
      <c r="AO182" s="59">
        <f t="shared" si="144"/>
        <v>318.38876834819752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8.5100670952154189</v>
      </c>
      <c r="AV182" s="21">
        <f>EXP(-LN(2)/25)*AV181+(1-EXP(-LN(2)/25))/(LN(2)/25)*Calculateur!AQ182*Calculateur!AS182*VLOOKUP('Données projet'!$B$10,Paramètres!$A$1:$I$89,3,0)*0.475*44/12</f>
        <v>0.46020377206526514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8.9702708672806839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268.00000000000023</v>
      </c>
      <c r="BE182" s="13">
        <f>BD182*VLOOKUP('Données projet'!$B$11,Paramètres!$A$1:$I$89,3,0)*VLOOKUP('Données projet'!$B$11,Paramètres!$A$1:$I$89,5,0)</f>
        <v>175.59360000000015</v>
      </c>
      <c r="BF182" s="13">
        <f t="shared" si="167"/>
        <v>44.340433728638573</v>
      </c>
      <c r="BG182" s="20">
        <f t="shared" si="168"/>
        <v>383.05177541071242</v>
      </c>
      <c r="BH182" s="59">
        <f t="shared" si="116"/>
        <v>676.38510874404574</v>
      </c>
      <c r="BI182" s="59">
        <f ca="1">AVERAGE(OFFSET($BH$3,0,0,'Données projet'!$E$11+1,1))-AVERAGE(OFFSET($H$3,0,0,'Données projet'!$E$11+1,1))</f>
        <v>209.40885738157152</v>
      </c>
      <c r="BJ182" s="59">
        <f t="shared" si="146"/>
        <v>230.15385333954697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1.0824864787165744</v>
      </c>
      <c r="BQ182" s="21">
        <f>EXP(-LN(2)/25)*BQ181+(1-EXP(-LN(2)/25))/(LN(2)/25)*Calculateur!BL182*Calculateur!BN182*VLOOKUP('Données projet'!$B$11,Paramètres!$A$1:$I$89,3,0)*0.475*44/12</f>
        <v>1.3474030894952436</v>
      </c>
      <c r="BR182" s="21">
        <f>EXP(-LN(2)/2)*BR181+(1-EXP(-LN(2)/2))/(LN(2)/2)*BL182*BO182*VLOOKUP('Données projet'!$B$11,Paramètres!$A$1:$I$89,3,0)*0.475*44/12</f>
        <v>5.4833295513376526E-14</v>
      </c>
      <c r="BS182" s="22">
        <f t="shared" si="169"/>
        <v>2.4298895682118729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5.6843418860808015E-13</v>
      </c>
      <c r="BZ182" s="13">
        <f>BY182*VLOOKUP('Données projet'!$B$12,Paramètres!$A$1:$I$89,3,0)*VLOOKUP('Données projet'!$B$12,Paramètres!$A$1:$I$89,5,0)</f>
        <v>5.1431925385259092E-13</v>
      </c>
      <c r="CA182" s="13">
        <f t="shared" si="170"/>
        <v>6.3855359115685756E-12</v>
      </c>
      <c r="CB182" s="20">
        <f t="shared" si="171"/>
        <v>1.2017247746441865E-11</v>
      </c>
      <c r="CC182" s="59">
        <f t="shared" si="119"/>
        <v>293.33333333334531</v>
      </c>
      <c r="CD182" s="59">
        <f ca="1">AVERAGE(OFFSET($CC$3,0,0,'Données projet'!$E$12+1,1))-AVERAGE(OFFSET($H$3,0,0,'Données projet'!$E$12+1,1))</f>
        <v>270.87836509222456</v>
      </c>
      <c r="CE182" s="59">
        <f t="shared" si="148"/>
        <v>205.24998237949734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66.087444544692602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66.087444544692602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212.00000000000009</v>
      </c>
      <c r="CU182" s="17">
        <f>CT182*VLOOKUP('Données projet'!$B$13,Paramètres!$A$1:$I$89,3,0)*VLOOKUP('Données projet'!$B$13,Paramètres!$A$1:$I$89,5,0)</f>
        <v>185.20320000000009</v>
      </c>
      <c r="CV182" s="13">
        <f t="shared" si="173"/>
        <v>46.477875402099386</v>
      </c>
      <c r="CW182" s="20">
        <f t="shared" si="174"/>
        <v>403.5112063253232</v>
      </c>
      <c r="CX182" s="59">
        <f t="shared" si="122"/>
        <v>696.84453965865646</v>
      </c>
      <c r="CY182" s="59">
        <f ca="1">AVERAGE(OFFSET($CX$3,0,0,'Données projet'!$E$13+1,1))-AVERAGE(OFFSET($H$3,0,0,'Données projet'!$E$13+1,1))</f>
        <v>207.4513063267579</v>
      </c>
      <c r="CZ182" s="59">
        <f t="shared" si="150"/>
        <v>191.63513530247218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3.1240962050969752</v>
      </c>
      <c r="DG182" s="21">
        <f>EXP(-LN(2)/25)*DG181+(1-EXP(-LN(2)/25))/(LN(2)/25)*Calculateur!DB182*Calculateur!DD182*VLOOKUP('Données projet'!$B$13,Paramètres!$A$1:$I$89,3,0)*0.475*44/12</f>
        <v>1.5648533483204088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4.688949553417384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66.814714696519275</v>
      </c>
      <c r="T183" s="59">
        <f t="shared" si="142"/>
        <v>199.56746335788068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1.9899108435032853</v>
      </c>
      <c r="AA183" s="21">
        <f>EXP(-LN(2)/25)*AA182+(1-EXP(-LN(2)/25))/(LN(2)/25)*Calculateur!V183*Calculateur!X183*VLOOKUP('Données projet'!$B$9,Paramètres!$A$1:$I$89,3,0)*0.475*44/12</f>
        <v>0.11958002235748091</v>
      </c>
      <c r="AB183" s="21">
        <f>EXP(-LN(2)/2)*AB182+(1-EXP(-LN(2)/2))/(LN(2)/2)*V183*Y183*VLOOKUP('Données projet'!$B$9,Paramètres!$A$1:$I$89,3,0)*0.475*44/12</f>
        <v>1.1929445019719422E-23</v>
      </c>
      <c r="AC183" s="22">
        <f t="shared" si="163"/>
        <v>2.1094908658607663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367.99999999999972</v>
      </c>
      <c r="AJ183" s="13">
        <f>AI183*VLOOKUP('Données projet'!$B$10,Paramètres!$A$1:$I$89,3,0)*VLOOKUP('Données projet'!$B$10,Paramètres!$A$1:$I$89,5,0)</f>
        <v>292.78079999999977</v>
      </c>
      <c r="AK183" s="13">
        <f t="shared" si="164"/>
        <v>69.660903052386217</v>
      </c>
      <c r="AL183" s="20">
        <f t="shared" si="165"/>
        <v>631.25263281623893</v>
      </c>
      <c r="AM183" s="59">
        <f t="shared" si="113"/>
        <v>924.58596614957219</v>
      </c>
      <c r="AN183" s="59">
        <f ca="1">AVERAGE(OFFSET($AM$3,0,0,'Données projet'!$E$10+1,1))-AVERAGE(OFFSET($H$3,0,0,'Données projet'!$E$10+1,1))</f>
        <v>325.72928944930294</v>
      </c>
      <c r="AO183" s="59">
        <f t="shared" si="144"/>
        <v>318.38876834819752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8.3431898701066398</v>
      </c>
      <c r="AV183" s="21">
        <f>EXP(-LN(2)/25)*AV182+(1-EXP(-LN(2)/25))/(LN(2)/25)*Calculateur!AQ183*Calculateur!AS183*VLOOKUP('Données projet'!$B$10,Paramètres!$A$1:$I$89,3,0)*0.475*44/12</f>
        <v>0.44761947571707589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8.7908093458237158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268.00000000000023</v>
      </c>
      <c r="BE183" s="13">
        <f>BD183*VLOOKUP('Données projet'!$B$11,Paramètres!$A$1:$I$89,3,0)*VLOOKUP('Données projet'!$B$11,Paramètres!$A$1:$I$89,5,0)</f>
        <v>175.59360000000015</v>
      </c>
      <c r="BF183" s="13">
        <f t="shared" si="167"/>
        <v>44.340433728638573</v>
      </c>
      <c r="BG183" s="20">
        <f t="shared" si="168"/>
        <v>383.05177541071242</v>
      </c>
      <c r="BH183" s="59">
        <f t="shared" si="116"/>
        <v>676.38510874404574</v>
      </c>
      <c r="BI183" s="59">
        <f ca="1">AVERAGE(OFFSET($BH$3,0,0,'Données projet'!$E$11+1,1))-AVERAGE(OFFSET($H$3,0,0,'Données projet'!$E$11+1,1))</f>
        <v>209.40885738157152</v>
      </c>
      <c r="BJ183" s="59">
        <f t="shared" si="146"/>
        <v>230.15385333954697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1.0612595791205</v>
      </c>
      <c r="BQ183" s="21">
        <f>EXP(-LN(2)/25)*BQ182+(1-EXP(-LN(2)/25))/(LN(2)/25)*Calculateur!BL183*Calculateur!BN183*VLOOKUP('Données projet'!$B$11,Paramètres!$A$1:$I$89,3,0)*0.475*44/12</f>
        <v>1.3105582811561471</v>
      </c>
      <c r="BR183" s="21">
        <f>EXP(-LN(2)/2)*BR182+(1-EXP(-LN(2)/2))/(LN(2)/2)*BL183*BO183*VLOOKUP('Données projet'!$B$11,Paramètres!$A$1:$I$89,3,0)*0.475*44/12</f>
        <v>3.8772995092314433E-14</v>
      </c>
      <c r="BS183" s="22">
        <f t="shared" si="169"/>
        <v>2.371817860276686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5.6843418860808015E-13</v>
      </c>
      <c r="BZ183" s="13">
        <f>BY183*VLOOKUP('Données projet'!$B$12,Paramètres!$A$1:$I$89,3,0)*VLOOKUP('Données projet'!$B$12,Paramètres!$A$1:$I$89,5,0)</f>
        <v>5.1431925385259092E-13</v>
      </c>
      <c r="CA183" s="13">
        <f t="shared" si="170"/>
        <v>6.3855359115685756E-12</v>
      </c>
      <c r="CB183" s="20">
        <f t="shared" si="171"/>
        <v>1.2017247746441865E-11</v>
      </c>
      <c r="CC183" s="59">
        <f t="shared" si="119"/>
        <v>293.33333333334531</v>
      </c>
      <c r="CD183" s="59">
        <f ca="1">AVERAGE(OFFSET($CC$3,0,0,'Données projet'!$E$12+1,1))-AVERAGE(OFFSET($H$3,0,0,'Données projet'!$E$12+1,1))</f>
        <v>270.87836509222456</v>
      </c>
      <c r="CE183" s="59">
        <f t="shared" si="148"/>
        <v>205.24998237949734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64.79151006653214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64.79151006653214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212.00000000000009</v>
      </c>
      <c r="CU183" s="17">
        <f>CT183*VLOOKUP('Données projet'!$B$13,Paramètres!$A$1:$I$89,3,0)*VLOOKUP('Données projet'!$B$13,Paramètres!$A$1:$I$89,5,0)</f>
        <v>185.20320000000009</v>
      </c>
      <c r="CV183" s="13">
        <f t="shared" si="173"/>
        <v>46.477875402099386</v>
      </c>
      <c r="CW183" s="20">
        <f t="shared" si="174"/>
        <v>403.5112063253232</v>
      </c>
      <c r="CX183" s="59">
        <f t="shared" si="122"/>
        <v>696.84453965865646</v>
      </c>
      <c r="CY183" s="59">
        <f ca="1">AVERAGE(OFFSET($CX$3,0,0,'Données projet'!$E$13+1,1))-AVERAGE(OFFSET($H$3,0,0,'Données projet'!$E$13+1,1))</f>
        <v>207.4513063267579</v>
      </c>
      <c r="CZ183" s="59">
        <f t="shared" si="150"/>
        <v>191.63513530247218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3.0628345840255551</v>
      </c>
      <c r="DG183" s="21">
        <f>EXP(-LN(2)/25)*DG182+(1-EXP(-LN(2)/25))/(LN(2)/25)*Calculateur!DB183*Calculateur!DD183*VLOOKUP('Données projet'!$B$13,Paramètres!$A$1:$I$89,3,0)*0.475*44/12</f>
        <v>1.5220623512185261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4.5848969352440809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66.814714696519275</v>
      </c>
      <c r="T184" s="59">
        <f t="shared" si="142"/>
        <v>199.56746335788068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1.9508899055879549</v>
      </c>
      <c r="AA184" s="21">
        <f>EXP(-LN(2)/25)*AA183+(1-EXP(-LN(2)/25))/(LN(2)/25)*Calculateur!V184*Calculateur!X184*VLOOKUP('Données projet'!$B$9,Paramètres!$A$1:$I$89,3,0)*0.475*44/12</f>
        <v>0.11631010035767553</v>
      </c>
      <c r="AB184" s="21">
        <f>EXP(-LN(2)/2)*AB183+(1-EXP(-LN(2)/2))/(LN(2)/2)*V184*Y184*VLOOKUP('Données projet'!$B$9,Paramètres!$A$1:$I$89,3,0)*0.475*44/12</f>
        <v>8.4353914692356907E-24</v>
      </c>
      <c r="AC184" s="22">
        <f t="shared" si="163"/>
        <v>2.0672000059456304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367.99999999999972</v>
      </c>
      <c r="AJ184" s="13">
        <f>AI184*VLOOKUP('Données projet'!$B$10,Paramètres!$A$1:$I$89,3,0)*VLOOKUP('Données projet'!$B$10,Paramètres!$A$1:$I$89,5,0)</f>
        <v>292.78079999999977</v>
      </c>
      <c r="AK184" s="13">
        <f t="shared" si="164"/>
        <v>69.660903052386217</v>
      </c>
      <c r="AL184" s="20">
        <f t="shared" si="165"/>
        <v>631.25263281623893</v>
      </c>
      <c r="AM184" s="59">
        <f t="shared" si="113"/>
        <v>924.58596614957219</v>
      </c>
      <c r="AN184" s="59">
        <f ca="1">AVERAGE(OFFSET($AM$3,0,0,'Données projet'!$E$10+1,1))-AVERAGE(OFFSET($H$3,0,0,'Données projet'!$E$10+1,1))</f>
        <v>325.72928944930294</v>
      </c>
      <c r="AO184" s="59">
        <f t="shared" si="144"/>
        <v>318.38876834819752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8.1795850055971879</v>
      </c>
      <c r="AV184" s="21">
        <f>EXP(-LN(2)/25)*AV183+(1-EXP(-LN(2)/25))/(LN(2)/25)*Calculateur!AQ184*Calculateur!AS184*VLOOKUP('Données projet'!$B$10,Paramètres!$A$1:$I$89,3,0)*0.475*44/12</f>
        <v>0.43537929761430727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8.6149643032114955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268.00000000000023</v>
      </c>
      <c r="BE184" s="13">
        <f>BD184*VLOOKUP('Données projet'!$B$11,Paramètres!$A$1:$I$89,3,0)*VLOOKUP('Données projet'!$B$11,Paramètres!$A$1:$I$89,5,0)</f>
        <v>175.59360000000015</v>
      </c>
      <c r="BF184" s="13">
        <f t="shared" si="167"/>
        <v>44.340433728638573</v>
      </c>
      <c r="BG184" s="20">
        <f t="shared" si="168"/>
        <v>383.05177541071242</v>
      </c>
      <c r="BH184" s="59">
        <f t="shared" si="116"/>
        <v>676.38510874404574</v>
      </c>
      <c r="BI184" s="59">
        <f ca="1">AVERAGE(OFFSET($BH$3,0,0,'Données projet'!$E$11+1,1))-AVERAGE(OFFSET($H$3,0,0,'Données projet'!$E$11+1,1))</f>
        <v>209.40885738157152</v>
      </c>
      <c r="BJ184" s="59">
        <f t="shared" si="146"/>
        <v>230.15385333954697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1.0404489260783742</v>
      </c>
      <c r="BQ184" s="21">
        <f>EXP(-LN(2)/25)*BQ183+(1-EXP(-LN(2)/25))/(LN(2)/25)*Calculateur!BL184*Calculateur!BN184*VLOOKUP('Données projet'!$B$11,Paramètres!$A$1:$I$89,3,0)*0.475*44/12</f>
        <v>1.2747209960386676</v>
      </c>
      <c r="BR184" s="21">
        <f>EXP(-LN(2)/2)*BR183+(1-EXP(-LN(2)/2))/(LN(2)/2)*BL184*BO184*VLOOKUP('Données projet'!$B$11,Paramètres!$A$1:$I$89,3,0)*0.475*44/12</f>
        <v>2.7416647756688263E-14</v>
      </c>
      <c r="BS184" s="22">
        <f t="shared" si="169"/>
        <v>2.3151699221170694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5.6843418860808015E-13</v>
      </c>
      <c r="BZ184" s="13">
        <f>BY184*VLOOKUP('Données projet'!$B$12,Paramètres!$A$1:$I$89,3,0)*VLOOKUP('Données projet'!$B$12,Paramètres!$A$1:$I$89,5,0)</f>
        <v>5.1431925385259092E-13</v>
      </c>
      <c r="CA184" s="13">
        <f t="shared" si="170"/>
        <v>6.3855359115685756E-12</v>
      </c>
      <c r="CB184" s="20">
        <f t="shared" si="171"/>
        <v>1.2017247746441865E-11</v>
      </c>
      <c r="CC184" s="59">
        <f t="shared" si="119"/>
        <v>293.33333333334531</v>
      </c>
      <c r="CD184" s="59">
        <f ca="1">AVERAGE(OFFSET($CC$3,0,0,'Données projet'!$E$12+1,1))-AVERAGE(OFFSET($H$3,0,0,'Données projet'!$E$12+1,1))</f>
        <v>270.87836509222456</v>
      </c>
      <c r="CE184" s="59">
        <f t="shared" si="148"/>
        <v>205.24998237949734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63.520988073046418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63.520988073046418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212.00000000000009</v>
      </c>
      <c r="CU184" s="17">
        <f>CT184*VLOOKUP('Données projet'!$B$13,Paramètres!$A$1:$I$89,3,0)*VLOOKUP('Données projet'!$B$13,Paramètres!$A$1:$I$89,5,0)</f>
        <v>185.20320000000009</v>
      </c>
      <c r="CV184" s="13">
        <f t="shared" si="173"/>
        <v>46.477875402099386</v>
      </c>
      <c r="CW184" s="20">
        <f t="shared" si="174"/>
        <v>403.5112063253232</v>
      </c>
      <c r="CX184" s="59">
        <f t="shared" si="122"/>
        <v>696.84453965865646</v>
      </c>
      <c r="CY184" s="59">
        <f ca="1">AVERAGE(OFFSET($CX$3,0,0,'Données projet'!$E$13+1,1))-AVERAGE(OFFSET($H$3,0,0,'Données projet'!$E$13+1,1))</f>
        <v>207.4513063267579</v>
      </c>
      <c r="CZ184" s="59">
        <f t="shared" si="150"/>
        <v>191.63513530247218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3.0027742659774463</v>
      </c>
      <c r="DG184" s="21">
        <f>EXP(-LN(2)/25)*DG183+(1-EXP(-LN(2)/25))/(LN(2)/25)*Calculateur!DB184*Calculateur!DD184*VLOOKUP('Données projet'!$B$13,Paramètres!$A$1:$I$89,3,0)*0.475*44/12</f>
        <v>1.4804414761826752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4.4832157421601213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66.814714696519275</v>
      </c>
      <c r="T185" s="59">
        <f t="shared" si="142"/>
        <v>199.56746335788068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1.9126341444647221</v>
      </c>
      <c r="AA185" s="21">
        <f>EXP(-LN(2)/25)*AA184+(1-EXP(-LN(2)/25))/(LN(2)/25)*Calculateur!V185*Calculateur!X185*VLOOKUP('Données projet'!$B$9,Paramètres!$A$1:$I$89,3,0)*0.475*44/12</f>
        <v>0.11312959454691254</v>
      </c>
      <c r="AB185" s="21">
        <f>EXP(-LN(2)/2)*AB184+(1-EXP(-LN(2)/2))/(LN(2)/2)*V185*Y185*VLOOKUP('Données projet'!$B$9,Paramètres!$A$1:$I$89,3,0)*0.475*44/12</f>
        <v>5.9647225098597112E-24</v>
      </c>
      <c r="AC185" s="22">
        <f t="shared" si="163"/>
        <v>2.0257637390116345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367.99999999999972</v>
      </c>
      <c r="AJ185" s="13">
        <f>AI185*VLOOKUP('Données projet'!$B$10,Paramètres!$A$1:$I$89,3,0)*VLOOKUP('Données projet'!$B$10,Paramètres!$A$1:$I$89,5,0)</f>
        <v>292.78079999999977</v>
      </c>
      <c r="AK185" s="13">
        <f t="shared" si="164"/>
        <v>69.660903052386217</v>
      </c>
      <c r="AL185" s="20">
        <f t="shared" si="165"/>
        <v>631.25263281623893</v>
      </c>
      <c r="AM185" s="59">
        <f t="shared" si="113"/>
        <v>924.58596614957219</v>
      </c>
      <c r="AN185" s="59">
        <f ca="1">AVERAGE(OFFSET($AM$3,0,0,'Données projet'!$E$10+1,1))-AVERAGE(OFFSET($H$3,0,0,'Données projet'!$E$10+1,1))</f>
        <v>325.72928944930294</v>
      </c>
      <c r="AO185" s="59">
        <f t="shared" si="144"/>
        <v>318.38876834819752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8.0191883326916518</v>
      </c>
      <c r="AV185" s="21">
        <f>EXP(-LN(2)/25)*AV184+(1-EXP(-LN(2)/25))/(LN(2)/25)*Calculateur!AQ185*Calculateur!AS185*VLOOKUP('Données projet'!$B$10,Paramètres!$A$1:$I$89,3,0)*0.475*44/12</f>
        <v>0.42347382782544185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8.4426621605170933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268.00000000000023</v>
      </c>
      <c r="BE185" s="13">
        <f>BD185*VLOOKUP('Données projet'!$B$11,Paramètres!$A$1:$I$89,3,0)*VLOOKUP('Données projet'!$B$11,Paramètres!$A$1:$I$89,5,0)</f>
        <v>175.59360000000015</v>
      </c>
      <c r="BF185" s="13">
        <f t="shared" si="167"/>
        <v>44.340433728638573</v>
      </c>
      <c r="BG185" s="20">
        <f t="shared" si="168"/>
        <v>383.05177541071242</v>
      </c>
      <c r="BH185" s="59">
        <f t="shared" si="116"/>
        <v>676.38510874404574</v>
      </c>
      <c r="BI185" s="59">
        <f ca="1">AVERAGE(OFFSET($BH$3,0,0,'Données projet'!$E$11+1,1))-AVERAGE(OFFSET($H$3,0,0,'Données projet'!$E$11+1,1))</f>
        <v>209.40885738157152</v>
      </c>
      <c r="BJ185" s="59">
        <f t="shared" si="146"/>
        <v>230.15385333954697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1.0200463572491596</v>
      </c>
      <c r="BQ185" s="21">
        <f>EXP(-LN(2)/25)*BQ184+(1-EXP(-LN(2)/25))/(LN(2)/25)*Calculateur!BL185*Calculateur!BN185*VLOOKUP('Données projet'!$B$11,Paramètres!$A$1:$I$89,3,0)*0.475*44/12</f>
        <v>1.2398636833673264</v>
      </c>
      <c r="BR185" s="21">
        <f>EXP(-LN(2)/2)*BR184+(1-EXP(-LN(2)/2))/(LN(2)/2)*BL185*BO185*VLOOKUP('Données projet'!$B$11,Paramètres!$A$1:$I$89,3,0)*0.475*44/12</f>
        <v>1.9386497546157217E-14</v>
      </c>
      <c r="BS185" s="22">
        <f t="shared" si="169"/>
        <v>2.2599100406165054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5.6843418860808015E-13</v>
      </c>
      <c r="BZ185" s="13">
        <f>BY185*VLOOKUP('Données projet'!$B$12,Paramètres!$A$1:$I$89,3,0)*VLOOKUP('Données projet'!$B$12,Paramètres!$A$1:$I$89,5,0)</f>
        <v>5.1431925385259092E-13</v>
      </c>
      <c r="CA185" s="13">
        <f t="shared" si="170"/>
        <v>6.3855359115685756E-12</v>
      </c>
      <c r="CB185" s="20">
        <f t="shared" si="171"/>
        <v>1.2017247746441865E-11</v>
      </c>
      <c r="CC185" s="59">
        <f t="shared" si="119"/>
        <v>293.33333333334531</v>
      </c>
      <c r="CD185" s="59">
        <f ca="1">AVERAGE(OFFSET($CC$3,0,0,'Données projet'!$E$12+1,1))-AVERAGE(OFFSET($H$3,0,0,'Données projet'!$E$12+1,1))</f>
        <v>270.87836509222456</v>
      </c>
      <c r="CE185" s="59">
        <f t="shared" si="148"/>
        <v>205.24998237949734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62.275380240911055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62.275380240911055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212.00000000000009</v>
      </c>
      <c r="CU185" s="17">
        <f>CT185*VLOOKUP('Données projet'!$B$13,Paramètres!$A$1:$I$89,3,0)*VLOOKUP('Données projet'!$B$13,Paramètres!$A$1:$I$89,5,0)</f>
        <v>185.20320000000009</v>
      </c>
      <c r="CV185" s="13">
        <f t="shared" si="173"/>
        <v>46.477875402099386</v>
      </c>
      <c r="CW185" s="20">
        <f t="shared" si="174"/>
        <v>403.5112063253232</v>
      </c>
      <c r="CX185" s="59">
        <f t="shared" si="122"/>
        <v>696.84453965865646</v>
      </c>
      <c r="CY185" s="59">
        <f ca="1">AVERAGE(OFFSET($CX$3,0,0,'Données projet'!$E$13+1,1))-AVERAGE(OFFSET($H$3,0,0,'Données projet'!$E$13+1,1))</f>
        <v>207.4513063267579</v>
      </c>
      <c r="CZ185" s="59">
        <f t="shared" si="150"/>
        <v>191.63513530247218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2.9438916941330842</v>
      </c>
      <c r="DG185" s="21">
        <f>EXP(-LN(2)/25)*DG184+(1-EXP(-LN(2)/25))/(LN(2)/25)*Calculateur!DB185*Calculateur!DD185*VLOOKUP('Données projet'!$B$13,Paramètres!$A$1:$I$89,3,0)*0.475*44/12</f>
        <v>1.4399587261634264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4.3838504202965103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66.814714696519275</v>
      </c>
      <c r="T186" s="59">
        <f t="shared" si="142"/>
        <v>199.56746335788068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1.8751285554834056</v>
      </c>
      <c r="AA186" s="21">
        <f>EXP(-LN(2)/25)*AA185+(1-EXP(-LN(2)/25))/(LN(2)/25)*Calculateur!V186*Calculateur!X186*VLOOKUP('Données projet'!$B$9,Paramètres!$A$1:$I$89,3,0)*0.475*44/12</f>
        <v>0.1100360598348004</v>
      </c>
      <c r="AB186" s="21">
        <f>EXP(-LN(2)/2)*AB185+(1-EXP(-LN(2)/2))/(LN(2)/2)*V186*Y186*VLOOKUP('Données projet'!$B$9,Paramètres!$A$1:$I$89,3,0)*0.475*44/12</f>
        <v>4.2176957346178453E-24</v>
      </c>
      <c r="AC186" s="22">
        <f t="shared" si="163"/>
        <v>1.9851646153182061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367.99999999999972</v>
      </c>
      <c r="AJ186" s="13">
        <f>AI186*VLOOKUP('Données projet'!$B$10,Paramètres!$A$1:$I$89,3,0)*VLOOKUP('Données projet'!$B$10,Paramètres!$A$1:$I$89,5,0)</f>
        <v>292.78079999999977</v>
      </c>
      <c r="AK186" s="13">
        <f t="shared" si="164"/>
        <v>69.660903052386217</v>
      </c>
      <c r="AL186" s="20">
        <f t="shared" si="165"/>
        <v>631.25263281623893</v>
      </c>
      <c r="AM186" s="59">
        <f t="shared" si="113"/>
        <v>924.58596614957219</v>
      </c>
      <c r="AN186" s="59">
        <f ca="1">AVERAGE(OFFSET($AM$3,0,0,'Données projet'!$E$10+1,1))-AVERAGE(OFFSET($H$3,0,0,'Données projet'!$E$10+1,1))</f>
        <v>325.72928944930294</v>
      </c>
      <c r="AO186" s="59">
        <f t="shared" si="144"/>
        <v>318.38876834819752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7.8619369407094837</v>
      </c>
      <c r="AV186" s="21">
        <f>EXP(-LN(2)/25)*AV185+(1-EXP(-LN(2)/25))/(LN(2)/25)*Calculateur!AQ186*Calculateur!AS186*VLOOKUP('Données projet'!$B$10,Paramètres!$A$1:$I$89,3,0)*0.475*44/12</f>
        <v>0.41189391373403439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8.2738308544435188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268.00000000000023</v>
      </c>
      <c r="BE186" s="13">
        <f>BD186*VLOOKUP('Données projet'!$B$11,Paramètres!$A$1:$I$89,3,0)*VLOOKUP('Données projet'!$B$11,Paramètres!$A$1:$I$89,5,0)</f>
        <v>175.59360000000015</v>
      </c>
      <c r="BF186" s="13">
        <f t="shared" si="167"/>
        <v>44.340433728638573</v>
      </c>
      <c r="BG186" s="20">
        <f t="shared" si="168"/>
        <v>383.05177541071242</v>
      </c>
      <c r="BH186" s="59">
        <f t="shared" si="116"/>
        <v>676.38510874404574</v>
      </c>
      <c r="BI186" s="59">
        <f ca="1">AVERAGE(OFFSET($BH$3,0,0,'Données projet'!$E$11+1,1))-AVERAGE(OFFSET($H$3,0,0,'Données projet'!$E$11+1,1))</f>
        <v>209.40885738157152</v>
      </c>
      <c r="BJ186" s="59">
        <f t="shared" si="146"/>
        <v>230.15385333954697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1.0000438703503476</v>
      </c>
      <c r="BQ186" s="21">
        <f>EXP(-LN(2)/25)*BQ185+(1-EXP(-LN(2)/25))/(LN(2)/25)*Calculateur!BL186*Calculateur!BN186*VLOOKUP('Données projet'!$B$11,Paramètres!$A$1:$I$89,3,0)*0.475*44/12</f>
        <v>1.2059595457440495</v>
      </c>
      <c r="BR186" s="21">
        <f>EXP(-LN(2)/2)*BR185+(1-EXP(-LN(2)/2))/(LN(2)/2)*BL186*BO186*VLOOKUP('Données projet'!$B$11,Paramètres!$A$1:$I$89,3,0)*0.475*44/12</f>
        <v>1.3708323878344132E-14</v>
      </c>
      <c r="BS186" s="22">
        <f t="shared" si="169"/>
        <v>2.2060034160944109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5.6843418860808015E-13</v>
      </c>
      <c r="BZ186" s="13">
        <f>BY186*VLOOKUP('Données projet'!$B$12,Paramètres!$A$1:$I$89,3,0)*VLOOKUP('Données projet'!$B$12,Paramètres!$A$1:$I$89,5,0)</f>
        <v>5.1431925385259092E-13</v>
      </c>
      <c r="CA186" s="13">
        <f t="shared" si="170"/>
        <v>6.3855359115685756E-12</v>
      </c>
      <c r="CB186" s="20">
        <f t="shared" si="171"/>
        <v>1.2017247746441865E-11</v>
      </c>
      <c r="CC186" s="59">
        <f t="shared" si="119"/>
        <v>293.33333333334531</v>
      </c>
      <c r="CD186" s="59">
        <f ca="1">AVERAGE(OFFSET($CC$3,0,0,'Données projet'!$E$12+1,1))-AVERAGE(OFFSET($H$3,0,0,'Données projet'!$E$12+1,1))</f>
        <v>270.87836509222456</v>
      </c>
      <c r="CE186" s="59">
        <f t="shared" si="148"/>
        <v>205.24998237949734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61.054198018618102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61.054198018618102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212.00000000000009</v>
      </c>
      <c r="CU186" s="17">
        <f>CT186*VLOOKUP('Données projet'!$B$13,Paramètres!$A$1:$I$89,3,0)*VLOOKUP('Données projet'!$B$13,Paramètres!$A$1:$I$89,5,0)</f>
        <v>185.20320000000009</v>
      </c>
      <c r="CV186" s="13">
        <f t="shared" si="173"/>
        <v>46.477875402099386</v>
      </c>
      <c r="CW186" s="20">
        <f t="shared" si="174"/>
        <v>403.5112063253232</v>
      </c>
      <c r="CX186" s="59">
        <f t="shared" si="122"/>
        <v>696.84453965865646</v>
      </c>
      <c r="CY186" s="59">
        <f ca="1">AVERAGE(OFFSET($CX$3,0,0,'Données projet'!$E$13+1,1))-AVERAGE(OFFSET($H$3,0,0,'Données projet'!$E$13+1,1))</f>
        <v>207.4513063267579</v>
      </c>
      <c r="CZ186" s="59">
        <f t="shared" si="150"/>
        <v>191.63513530247218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2.8861637736077674</v>
      </c>
      <c r="DG186" s="21">
        <f>EXP(-LN(2)/25)*DG185+(1-EXP(-LN(2)/25))/(LN(2)/25)*Calculateur!DB186*Calculateur!DD186*VLOOKUP('Données projet'!$B$13,Paramètres!$A$1:$I$89,3,0)*0.475*44/12</f>
        <v>1.4005829790723492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4.2867467526801164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66.814714696519275</v>
      </c>
      <c r="T187" s="59">
        <f t="shared" si="142"/>
        <v>199.56746335788068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1.8383584282258623</v>
      </c>
      <c r="AA187" s="21">
        <f>EXP(-LN(2)/25)*AA186+(1-EXP(-LN(2)/25))/(LN(2)/25)*Calculateur!V187*Calculateur!X187*VLOOKUP('Données projet'!$B$9,Paramètres!$A$1:$I$89,3,0)*0.475*44/12</f>
        <v>0.10702711799207289</v>
      </c>
      <c r="AB187" s="21">
        <f>EXP(-LN(2)/2)*AB186+(1-EXP(-LN(2)/2))/(LN(2)/2)*V187*Y187*VLOOKUP('Données projet'!$B$9,Paramètres!$A$1:$I$89,3,0)*0.475*44/12</f>
        <v>2.9823612549298556E-24</v>
      </c>
      <c r="AC187" s="22">
        <f t="shared" si="163"/>
        <v>1.9453855462179352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367.99999999999972</v>
      </c>
      <c r="AJ187" s="13">
        <f>AI187*VLOOKUP('Données projet'!$B$10,Paramètres!$A$1:$I$89,3,0)*VLOOKUP('Données projet'!$B$10,Paramètres!$A$1:$I$89,5,0)</f>
        <v>292.78079999999977</v>
      </c>
      <c r="AK187" s="13">
        <f t="shared" si="164"/>
        <v>69.660903052386217</v>
      </c>
      <c r="AL187" s="20">
        <f t="shared" si="165"/>
        <v>631.25263281623893</v>
      </c>
      <c r="AM187" s="59">
        <f t="shared" si="113"/>
        <v>924.58596614957219</v>
      </c>
      <c r="AN187" s="59">
        <f ca="1">AVERAGE(OFFSET($AM$3,0,0,'Données projet'!$E$10+1,1))-AVERAGE(OFFSET($H$3,0,0,'Données projet'!$E$10+1,1))</f>
        <v>325.72928944930294</v>
      </c>
      <c r="AO187" s="59">
        <f t="shared" si="144"/>
        <v>318.38876834819752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7.707769152610207</v>
      </c>
      <c r="AV187" s="21">
        <f>EXP(-LN(2)/25)*AV186+(1-EXP(-LN(2)/25))/(LN(2)/25)*Calculateur!AQ187*Calculateur!AS187*VLOOKUP('Données projet'!$B$10,Paramètres!$A$1:$I$89,3,0)*0.475*44/12</f>
        <v>0.40063065300241768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8.1083998056126241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268.00000000000023</v>
      </c>
      <c r="BE187" s="13">
        <f>BD187*VLOOKUP('Données projet'!$B$11,Paramètres!$A$1:$I$89,3,0)*VLOOKUP('Données projet'!$B$11,Paramètres!$A$1:$I$89,5,0)</f>
        <v>175.59360000000015</v>
      </c>
      <c r="BF187" s="13">
        <f t="shared" si="167"/>
        <v>44.340433728638573</v>
      </c>
      <c r="BG187" s="20">
        <f t="shared" si="168"/>
        <v>383.05177541071242</v>
      </c>
      <c r="BH187" s="59">
        <f t="shared" si="116"/>
        <v>676.38510874404574</v>
      </c>
      <c r="BI187" s="59">
        <f ca="1">AVERAGE(OFFSET($BH$3,0,0,'Données projet'!$E$11+1,1))-AVERAGE(OFFSET($H$3,0,0,'Données projet'!$E$11+1,1))</f>
        <v>209.40885738157152</v>
      </c>
      <c r="BJ187" s="59">
        <f t="shared" si="146"/>
        <v>230.15385333954697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0.980433620019309</v>
      </c>
      <c r="BQ187" s="21">
        <f>EXP(-LN(2)/25)*BQ186+(1-EXP(-LN(2)/25))/(LN(2)/25)*Calculateur!BL187*Calculateur!BN187*VLOOKUP('Données projet'!$B$11,Paramètres!$A$1:$I$89,3,0)*0.475*44/12</f>
        <v>1.1729825185470222</v>
      </c>
      <c r="BR187" s="21">
        <f>EXP(-LN(2)/2)*BR186+(1-EXP(-LN(2)/2))/(LN(2)/2)*BL187*BO187*VLOOKUP('Données projet'!$B$11,Paramètres!$A$1:$I$89,3,0)*0.475*44/12</f>
        <v>9.6932487730786083E-15</v>
      </c>
      <c r="BS187" s="22">
        <f t="shared" si="169"/>
        <v>2.1534161385663411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5.6843418860808015E-13</v>
      </c>
      <c r="BZ187" s="13">
        <f>BY187*VLOOKUP('Données projet'!$B$12,Paramètres!$A$1:$I$89,3,0)*VLOOKUP('Données projet'!$B$12,Paramètres!$A$1:$I$89,5,0)</f>
        <v>5.1431925385259092E-13</v>
      </c>
      <c r="CA187" s="13">
        <f t="shared" si="170"/>
        <v>6.3855359115685756E-12</v>
      </c>
      <c r="CB187" s="20">
        <f t="shared" si="171"/>
        <v>1.2017247746441865E-11</v>
      </c>
      <c r="CC187" s="59">
        <f t="shared" si="119"/>
        <v>293.33333333334531</v>
      </c>
      <c r="CD187" s="59">
        <f ca="1">AVERAGE(OFFSET($CC$3,0,0,'Données projet'!$E$12+1,1))-AVERAGE(OFFSET($H$3,0,0,'Données projet'!$E$12+1,1))</f>
        <v>270.87836509222456</v>
      </c>
      <c r="CE187" s="59">
        <f t="shared" si="148"/>
        <v>205.24998237949734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59.856962434856712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59.856962434856712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212.00000000000009</v>
      </c>
      <c r="CU187" s="17">
        <f>CT187*VLOOKUP('Données projet'!$B$13,Paramètres!$A$1:$I$89,3,0)*VLOOKUP('Données projet'!$B$13,Paramètres!$A$1:$I$89,5,0)</f>
        <v>185.20320000000009</v>
      </c>
      <c r="CV187" s="13">
        <f t="shared" si="173"/>
        <v>46.477875402099386</v>
      </c>
      <c r="CW187" s="20">
        <f t="shared" si="174"/>
        <v>403.5112063253232</v>
      </c>
      <c r="CX187" s="59">
        <f t="shared" si="122"/>
        <v>696.84453965865646</v>
      </c>
      <c r="CY187" s="59">
        <f ca="1">AVERAGE(OFFSET($CX$3,0,0,'Données projet'!$E$13+1,1))-AVERAGE(OFFSET($H$3,0,0,'Données projet'!$E$13+1,1))</f>
        <v>207.4513063267579</v>
      </c>
      <c r="CZ187" s="59">
        <f t="shared" si="150"/>
        <v>191.63513530247218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2.8295678623933975</v>
      </c>
      <c r="DG187" s="21">
        <f>EXP(-LN(2)/25)*DG186+(1-EXP(-LN(2)/25))/(LN(2)/25)*Calculateur!DB187*Calculateur!DD187*VLOOKUP('Données projet'!$B$13,Paramètres!$A$1:$I$89,3,0)*0.475*44/12</f>
        <v>1.3622839638561579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4.1918518262495557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66.814714696519275</v>
      </c>
      <c r="T188" s="59">
        <f t="shared" si="142"/>
        <v>199.56746335788068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1.8023093407362762</v>
      </c>
      <c r="AA188" s="21">
        <f>EXP(-LN(2)/25)*AA187+(1-EXP(-LN(2)/25))/(LN(2)/25)*Calculateur!V188*Calculateur!X188*VLOOKUP('Données projet'!$B$9,Paramètres!$A$1:$I$89,3,0)*0.475*44/12</f>
        <v>0.10410045582226814</v>
      </c>
      <c r="AB188" s="21">
        <f>EXP(-LN(2)/2)*AB187+(1-EXP(-LN(2)/2))/(LN(2)/2)*V188*Y188*VLOOKUP('Données projet'!$B$9,Paramètres!$A$1:$I$89,3,0)*0.475*44/12</f>
        <v>2.1088478673089227E-24</v>
      </c>
      <c r="AC188" s="22">
        <f t="shared" si="163"/>
        <v>1.9064097965585445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367.99999999999972</v>
      </c>
      <c r="AJ188" s="13">
        <f>AI188*VLOOKUP('Données projet'!$B$10,Paramètres!$A$1:$I$89,3,0)*VLOOKUP('Données projet'!$B$10,Paramètres!$A$1:$I$89,5,0)</f>
        <v>292.78079999999977</v>
      </c>
      <c r="AK188" s="13">
        <f t="shared" si="164"/>
        <v>69.660903052386217</v>
      </c>
      <c r="AL188" s="20">
        <f t="shared" si="165"/>
        <v>631.25263281623893</v>
      </c>
      <c r="AM188" s="59">
        <f t="shared" si="113"/>
        <v>924.58596614957219</v>
      </c>
      <c r="AN188" s="59">
        <f ca="1">AVERAGE(OFFSET($AM$3,0,0,'Données projet'!$E$10+1,1))-AVERAGE(OFFSET($H$3,0,0,'Données projet'!$E$10+1,1))</f>
        <v>325.72928944930294</v>
      </c>
      <c r="AO188" s="59">
        <f t="shared" si="144"/>
        <v>318.38876834819752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7.5566245008024913</v>
      </c>
      <c r="AV188" s="21">
        <f>EXP(-LN(2)/25)*AV187+(1-EXP(-LN(2)/25))/(LN(2)/25)*Calculateur!AQ188*Calculateur!AS188*VLOOKUP('Données projet'!$B$10,Paramètres!$A$1:$I$89,3,0)*0.475*44/12</f>
        <v>0.38967538672781621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7.9462998875303077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268.00000000000023</v>
      </c>
      <c r="BE188" s="13">
        <f>BD188*VLOOKUP('Données projet'!$B$11,Paramètres!$A$1:$I$89,3,0)*VLOOKUP('Données projet'!$B$11,Paramètres!$A$1:$I$89,5,0)</f>
        <v>175.59360000000015</v>
      </c>
      <c r="BF188" s="13">
        <f t="shared" si="167"/>
        <v>44.340433728638573</v>
      </c>
      <c r="BG188" s="20">
        <f t="shared" si="168"/>
        <v>383.05177541071242</v>
      </c>
      <c r="BH188" s="59">
        <f t="shared" si="116"/>
        <v>676.38510874404574</v>
      </c>
      <c r="BI188" s="59">
        <f ca="1">AVERAGE(OFFSET($BH$3,0,0,'Données projet'!$E$11+1,1))-AVERAGE(OFFSET($H$3,0,0,'Données projet'!$E$11+1,1))</f>
        <v>209.40885738157152</v>
      </c>
      <c r="BJ188" s="59">
        <f t="shared" si="146"/>
        <v>230.15385333954697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0.96120791473619038</v>
      </c>
      <c r="BQ188" s="21">
        <f>EXP(-LN(2)/25)*BQ187+(1-EXP(-LN(2)/25))/(LN(2)/25)*Calculateur!BL188*Calculateur!BN188*VLOOKUP('Données projet'!$B$11,Paramètres!$A$1:$I$89,3,0)*0.475*44/12</f>
        <v>1.1409072498928841</v>
      </c>
      <c r="BR188" s="21">
        <f>EXP(-LN(2)/2)*BR187+(1-EXP(-LN(2)/2))/(LN(2)/2)*BL188*BO188*VLOOKUP('Données projet'!$B$11,Paramètres!$A$1:$I$89,3,0)*0.475*44/12</f>
        <v>6.8541619391720658E-15</v>
      </c>
      <c r="BS188" s="22">
        <f t="shared" si="169"/>
        <v>2.102115164629081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5.6843418860808015E-13</v>
      </c>
      <c r="BZ188" s="13">
        <f>BY188*VLOOKUP('Données projet'!$B$12,Paramètres!$A$1:$I$89,3,0)*VLOOKUP('Données projet'!$B$12,Paramètres!$A$1:$I$89,5,0)</f>
        <v>5.1431925385259092E-13</v>
      </c>
      <c r="CA188" s="13">
        <f t="shared" si="170"/>
        <v>6.3855359115685756E-12</v>
      </c>
      <c r="CB188" s="20">
        <f t="shared" si="171"/>
        <v>1.2017247746441865E-11</v>
      </c>
      <c r="CC188" s="59">
        <f t="shared" si="119"/>
        <v>293.33333333334531</v>
      </c>
      <c r="CD188" s="59">
        <f ca="1">AVERAGE(OFFSET($CC$3,0,0,'Données projet'!$E$12+1,1))-AVERAGE(OFFSET($H$3,0,0,'Données projet'!$E$12+1,1))</f>
        <v>270.87836509222456</v>
      </c>
      <c r="CE188" s="59">
        <f t="shared" si="148"/>
        <v>205.24998237949734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58.68320391065128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58.68320391065128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212.00000000000009</v>
      </c>
      <c r="CU188" s="17">
        <f>CT188*VLOOKUP('Données projet'!$B$13,Paramètres!$A$1:$I$89,3,0)*VLOOKUP('Données projet'!$B$13,Paramètres!$A$1:$I$89,5,0)</f>
        <v>185.20320000000009</v>
      </c>
      <c r="CV188" s="13">
        <f t="shared" si="173"/>
        <v>46.477875402099386</v>
      </c>
      <c r="CW188" s="20">
        <f t="shared" si="174"/>
        <v>403.5112063253232</v>
      </c>
      <c r="CX188" s="59">
        <f t="shared" si="122"/>
        <v>696.84453965865646</v>
      </c>
      <c r="CY188" s="59">
        <f ca="1">AVERAGE(OFFSET($CX$3,0,0,'Données projet'!$E$13+1,1))-AVERAGE(OFFSET($H$3,0,0,'Données projet'!$E$13+1,1))</f>
        <v>207.4513063267579</v>
      </c>
      <c r="CZ188" s="59">
        <f t="shared" si="150"/>
        <v>191.63513530247218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2.7740817624778438</v>
      </c>
      <c r="DG188" s="21">
        <f>EXP(-LN(2)/25)*DG187+(1-EXP(-LN(2)/25))/(LN(2)/25)*Calculateur!DB188*Calculateur!DD188*VLOOKUP('Données projet'!$B$13,Paramètres!$A$1:$I$89,3,0)*0.475*44/12</f>
        <v>1.3250322372251111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4.0991139997029551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66.814714696519275</v>
      </c>
      <c r="T189" s="59">
        <f t="shared" si="142"/>
        <v>199.56746335788068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1.7669671538645888</v>
      </c>
      <c r="AA189" s="21">
        <f>EXP(-LN(2)/25)*AA188+(1-EXP(-LN(2)/25))/(LN(2)/25)*Calculateur!V189*Calculateur!X189*VLOOKUP('Données projet'!$B$9,Paramètres!$A$1:$I$89,3,0)*0.475*44/12</f>
        <v>0.10125382338340316</v>
      </c>
      <c r="AB189" s="21">
        <f>EXP(-LN(2)/2)*AB188+(1-EXP(-LN(2)/2))/(LN(2)/2)*V189*Y189*VLOOKUP('Données projet'!$B$9,Paramètres!$A$1:$I$89,3,0)*0.475*44/12</f>
        <v>1.4911806274649278E-24</v>
      </c>
      <c r="AC189" s="22">
        <f t="shared" si="163"/>
        <v>1.8682209772479919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367.99999999999972</v>
      </c>
      <c r="AJ189" s="13">
        <f>AI189*VLOOKUP('Données projet'!$B$10,Paramètres!$A$1:$I$89,3,0)*VLOOKUP('Données projet'!$B$10,Paramètres!$A$1:$I$89,5,0)</f>
        <v>292.78079999999977</v>
      </c>
      <c r="AK189" s="13">
        <f t="shared" si="164"/>
        <v>69.660903052386217</v>
      </c>
      <c r="AL189" s="20">
        <f t="shared" si="165"/>
        <v>631.25263281623893</v>
      </c>
      <c r="AM189" s="59">
        <f t="shared" si="113"/>
        <v>924.58596614957219</v>
      </c>
      <c r="AN189" s="59">
        <f ca="1">AVERAGE(OFFSET($AM$3,0,0,'Données projet'!$E$10+1,1))-AVERAGE(OFFSET($H$3,0,0,'Données projet'!$E$10+1,1))</f>
        <v>325.72928944930294</v>
      </c>
      <c r="AO189" s="59">
        <f t="shared" si="144"/>
        <v>318.38876834819752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7.4084437034275901</v>
      </c>
      <c r="AV189" s="21">
        <f>EXP(-LN(2)/25)*AV188+(1-EXP(-LN(2)/25))/(LN(2)/25)*Calculateur!AQ189*Calculateur!AS189*VLOOKUP('Données projet'!$B$10,Paramètres!$A$1:$I$89,3,0)*0.475*44/12</f>
        <v>0.3790196927856061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7.7874633962131963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268.00000000000023</v>
      </c>
      <c r="BE189" s="13">
        <f>BD189*VLOOKUP('Données projet'!$B$11,Paramètres!$A$1:$I$89,3,0)*VLOOKUP('Données projet'!$B$11,Paramètres!$A$1:$I$89,5,0)</f>
        <v>175.59360000000015</v>
      </c>
      <c r="BF189" s="13">
        <f t="shared" si="167"/>
        <v>44.340433728638573</v>
      </c>
      <c r="BG189" s="20">
        <f t="shared" si="168"/>
        <v>383.05177541071242</v>
      </c>
      <c r="BH189" s="59">
        <f t="shared" si="116"/>
        <v>676.38510874404574</v>
      </c>
      <c r="BI189" s="59">
        <f ca="1">AVERAGE(OFFSET($BH$3,0,0,'Données projet'!$E$11+1,1))-AVERAGE(OFFSET($H$3,0,0,'Données projet'!$E$11+1,1))</f>
        <v>209.40885738157152</v>
      </c>
      <c r="BJ189" s="59">
        <f t="shared" si="146"/>
        <v>230.15385333954697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0.94235921380715149</v>
      </c>
      <c r="BQ189" s="21">
        <f>EXP(-LN(2)/25)*BQ188+(1-EXP(-LN(2)/25))/(LN(2)/25)*Calculateur!BL189*Calculateur!BN189*VLOOKUP('Données projet'!$B$11,Paramètres!$A$1:$I$89,3,0)*0.475*44/12</f>
        <v>1.1097090811468584</v>
      </c>
      <c r="BR189" s="21">
        <f>EXP(-LN(2)/2)*BR188+(1-EXP(-LN(2)/2))/(LN(2)/2)*BL189*BO189*VLOOKUP('Données projet'!$B$11,Paramètres!$A$1:$I$89,3,0)*0.475*44/12</f>
        <v>4.8466243865393041E-15</v>
      </c>
      <c r="BS189" s="22">
        <f t="shared" si="169"/>
        <v>2.0520682949540148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5.6843418860808015E-13</v>
      </c>
      <c r="BZ189" s="13">
        <f>BY189*VLOOKUP('Données projet'!$B$12,Paramètres!$A$1:$I$89,3,0)*VLOOKUP('Données projet'!$B$12,Paramètres!$A$1:$I$89,5,0)</f>
        <v>5.1431925385259092E-13</v>
      </c>
      <c r="CA189" s="13">
        <f t="shared" si="170"/>
        <v>6.3855359115685756E-12</v>
      </c>
      <c r="CB189" s="20">
        <f t="shared" si="171"/>
        <v>1.2017247746441865E-11</v>
      </c>
      <c r="CC189" s="59">
        <f t="shared" si="119"/>
        <v>293.33333333334531</v>
      </c>
      <c r="CD189" s="59">
        <f ca="1">AVERAGE(OFFSET($CC$3,0,0,'Données projet'!$E$12+1,1))-AVERAGE(OFFSET($H$3,0,0,'Données projet'!$E$12+1,1))</f>
        <v>270.87836509222456</v>
      </c>
      <c r="CE189" s="59">
        <f t="shared" si="148"/>
        <v>205.24998237949734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57.53246207518351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57.53246207518351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212.00000000000009</v>
      </c>
      <c r="CU189" s="17">
        <f>CT189*VLOOKUP('Données projet'!$B$13,Paramètres!$A$1:$I$89,3,0)*VLOOKUP('Données projet'!$B$13,Paramètres!$A$1:$I$89,5,0)</f>
        <v>185.20320000000009</v>
      </c>
      <c r="CV189" s="13">
        <f t="shared" si="173"/>
        <v>46.477875402099386</v>
      </c>
      <c r="CW189" s="20">
        <f t="shared" si="174"/>
        <v>403.5112063253232</v>
      </c>
      <c r="CX189" s="59">
        <f t="shared" si="122"/>
        <v>696.84453965865646</v>
      </c>
      <c r="CY189" s="59">
        <f ca="1">AVERAGE(OFFSET($CX$3,0,0,'Données projet'!$E$13+1,1))-AVERAGE(OFFSET($H$3,0,0,'Données projet'!$E$13+1,1))</f>
        <v>207.4513063267579</v>
      </c>
      <c r="CZ189" s="59">
        <f t="shared" si="150"/>
        <v>191.63513530247218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2.7196837111384551</v>
      </c>
      <c r="DG189" s="21">
        <f>EXP(-LN(2)/25)*DG188+(1-EXP(-LN(2)/25))/(LN(2)/25)*Calculateur!DB189*Calculateur!DD189*VLOOKUP('Données projet'!$B$13,Paramètres!$A$1:$I$89,3,0)*0.475*44/12</f>
        <v>1.2887991610177736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4.0084828721562289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66.814714696519275</v>
      </c>
      <c r="T190" s="59">
        <f t="shared" si="142"/>
        <v>199.56746335788068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1.7323180057208498</v>
      </c>
      <c r="AA190" s="21">
        <f>EXP(-LN(2)/25)*AA189+(1-EXP(-LN(2)/25))/(LN(2)/25)*Calculateur!V190*Calculateur!X190*VLOOKUP('Données projet'!$B$9,Paramètres!$A$1:$I$89,3,0)*0.475*44/12</f>
        <v>9.8485032258276844E-2</v>
      </c>
      <c r="AB190" s="21">
        <f>EXP(-LN(2)/2)*AB189+(1-EXP(-LN(2)/2))/(LN(2)/2)*V190*Y190*VLOOKUP('Données projet'!$B$9,Paramètres!$A$1:$I$89,3,0)*0.475*44/12</f>
        <v>1.0544239336544613E-24</v>
      </c>
      <c r="AC190" s="22">
        <f t="shared" si="163"/>
        <v>1.8308030379791267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367.99999999999972</v>
      </c>
      <c r="AJ190" s="13">
        <f>AI190*VLOOKUP('Données projet'!$B$10,Paramètres!$A$1:$I$89,3,0)*VLOOKUP('Données projet'!$B$10,Paramètres!$A$1:$I$89,5,0)</f>
        <v>292.78079999999977</v>
      </c>
      <c r="AK190" s="13">
        <f t="shared" si="164"/>
        <v>69.660903052386217</v>
      </c>
      <c r="AL190" s="20">
        <f t="shared" si="165"/>
        <v>631.25263281623893</v>
      </c>
      <c r="AM190" s="59">
        <f t="shared" si="113"/>
        <v>924.58596614957219</v>
      </c>
      <c r="AN190" s="59">
        <f ca="1">AVERAGE(OFFSET($AM$3,0,0,'Données projet'!$E$10+1,1))-AVERAGE(OFFSET($H$3,0,0,'Données projet'!$E$10+1,1))</f>
        <v>325.72928944930294</v>
      </c>
      <c r="AO190" s="59">
        <f t="shared" si="144"/>
        <v>318.38876834819752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7.2631686411078489</v>
      </c>
      <c r="AV190" s="21">
        <f>EXP(-LN(2)/25)*AV189+(1-EXP(-LN(2)/25))/(LN(2)/25)*Calculateur!AQ190*Calculateur!AS190*VLOOKUP('Données projet'!$B$10,Paramètres!$A$1:$I$89,3,0)*0.475*44/12</f>
        <v>0.3686553793546043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7.631824020462453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268.00000000000023</v>
      </c>
      <c r="BE190" s="13">
        <f>BD190*VLOOKUP('Données projet'!$B$11,Paramètres!$A$1:$I$89,3,0)*VLOOKUP('Données projet'!$B$11,Paramètres!$A$1:$I$89,5,0)</f>
        <v>175.59360000000015</v>
      </c>
      <c r="BF190" s="13">
        <f t="shared" si="167"/>
        <v>44.340433728638573</v>
      </c>
      <c r="BG190" s="20">
        <f t="shared" si="168"/>
        <v>383.05177541071242</v>
      </c>
      <c r="BH190" s="59">
        <f t="shared" si="116"/>
        <v>676.38510874404574</v>
      </c>
      <c r="BI190" s="59">
        <f ca="1">AVERAGE(OFFSET($BH$3,0,0,'Données projet'!$E$11+1,1))-AVERAGE(OFFSET($H$3,0,0,'Données projet'!$E$11+1,1))</f>
        <v>209.40885738157152</v>
      </c>
      <c r="BJ190" s="59">
        <f t="shared" si="146"/>
        <v>230.15385333954697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0.9238801244067586</v>
      </c>
      <c r="BQ190" s="21">
        <f>EXP(-LN(2)/25)*BQ189+(1-EXP(-LN(2)/25))/(LN(2)/25)*Calculateur!BL190*Calculateur!BN190*VLOOKUP('Données projet'!$B$11,Paramètres!$A$1:$I$89,3,0)*0.475*44/12</f>
        <v>1.0793640279658332</v>
      </c>
      <c r="BR190" s="21">
        <f>EXP(-LN(2)/2)*BR189+(1-EXP(-LN(2)/2))/(LN(2)/2)*BL190*BO190*VLOOKUP('Données projet'!$B$11,Paramètres!$A$1:$I$89,3,0)*0.475*44/12</f>
        <v>3.4270809695860329E-15</v>
      </c>
      <c r="BS190" s="22">
        <f t="shared" si="169"/>
        <v>2.0032441523725955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5.6843418860808015E-13</v>
      </c>
      <c r="BZ190" s="13">
        <f>BY190*VLOOKUP('Données projet'!$B$12,Paramètres!$A$1:$I$89,3,0)*VLOOKUP('Données projet'!$B$12,Paramètres!$A$1:$I$89,5,0)</f>
        <v>5.1431925385259092E-13</v>
      </c>
      <c r="CA190" s="13">
        <f t="shared" si="170"/>
        <v>6.3855359115685756E-12</v>
      </c>
      <c r="CB190" s="20">
        <f t="shared" si="171"/>
        <v>1.2017247746441865E-11</v>
      </c>
      <c r="CC190" s="59">
        <f t="shared" si="119"/>
        <v>293.33333333334531</v>
      </c>
      <c r="CD190" s="59">
        <f ca="1">AVERAGE(OFFSET($CC$3,0,0,'Données projet'!$E$12+1,1))-AVERAGE(OFFSET($H$3,0,0,'Données projet'!$E$12+1,1))</f>
        <v>270.87836509222456</v>
      </c>
      <c r="CE190" s="59">
        <f t="shared" si="148"/>
        <v>205.24998237949734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56.404285585226049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56.404285585226049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212.00000000000009</v>
      </c>
      <c r="CU190" s="17">
        <f>CT190*VLOOKUP('Données projet'!$B$13,Paramètres!$A$1:$I$89,3,0)*VLOOKUP('Données projet'!$B$13,Paramètres!$A$1:$I$89,5,0)</f>
        <v>185.20320000000009</v>
      </c>
      <c r="CV190" s="13">
        <f t="shared" si="173"/>
        <v>46.477875402099386</v>
      </c>
      <c r="CW190" s="20">
        <f t="shared" si="174"/>
        <v>403.5112063253232</v>
      </c>
      <c r="CX190" s="59">
        <f t="shared" si="122"/>
        <v>696.84453965865646</v>
      </c>
      <c r="CY190" s="59">
        <f ca="1">AVERAGE(OFFSET($CX$3,0,0,'Données projet'!$E$13+1,1))-AVERAGE(OFFSET($H$3,0,0,'Données projet'!$E$13+1,1))</f>
        <v>207.4513063267579</v>
      </c>
      <c r="CZ190" s="59">
        <f t="shared" si="150"/>
        <v>191.63513530247218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2.6663523724062967</v>
      </c>
      <c r="DG190" s="21">
        <f>EXP(-LN(2)/25)*DG189+(1-EXP(-LN(2)/25))/(LN(2)/25)*Calculateur!DB190*Calculateur!DD190*VLOOKUP('Données projet'!$B$13,Paramètres!$A$1:$I$89,3,0)*0.475*44/12</f>
        <v>1.2535568801847403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3.9199092525910371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66.814714696519275</v>
      </c>
      <c r="T191" s="59">
        <f t="shared" si="142"/>
        <v>199.56746335788068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1.698348306238316</v>
      </c>
      <c r="AA191" s="21">
        <f>EXP(-LN(2)/25)*AA190+(1-EXP(-LN(2)/25))/(LN(2)/25)*Calculateur!V191*Calculateur!X191*VLOOKUP('Données projet'!$B$9,Paramètres!$A$1:$I$89,3,0)*0.475*44/12</f>
        <v>9.5791953872071511E-2</v>
      </c>
      <c r="AB191" s="21">
        <f>EXP(-LN(2)/2)*AB190+(1-EXP(-LN(2)/2))/(LN(2)/2)*V191*Y191*VLOOKUP('Données projet'!$B$9,Paramètres!$A$1:$I$89,3,0)*0.475*44/12</f>
        <v>7.455903137324639E-25</v>
      </c>
      <c r="AC191" s="22">
        <f t="shared" si="163"/>
        <v>1.7941402601103875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367.99999999999972</v>
      </c>
      <c r="AJ191" s="13">
        <f>AI191*VLOOKUP('Données projet'!$B$10,Paramètres!$A$1:$I$89,3,0)*VLOOKUP('Données projet'!$B$10,Paramètres!$A$1:$I$89,5,0)</f>
        <v>292.78079999999977</v>
      </c>
      <c r="AK191" s="13">
        <f t="shared" si="164"/>
        <v>69.660903052386217</v>
      </c>
      <c r="AL191" s="20">
        <f t="shared" si="165"/>
        <v>631.25263281623893</v>
      </c>
      <c r="AM191" s="59">
        <f t="shared" si="113"/>
        <v>924.58596614957219</v>
      </c>
      <c r="AN191" s="59">
        <f ca="1">AVERAGE(OFFSET($AM$3,0,0,'Données projet'!$E$10+1,1))-AVERAGE(OFFSET($H$3,0,0,'Données projet'!$E$10+1,1))</f>
        <v>325.72928944930294</v>
      </c>
      <c r="AO191" s="59">
        <f t="shared" si="144"/>
        <v>318.38876834819752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7.1207423341511591</v>
      </c>
      <c r="AV191" s="21">
        <f>EXP(-LN(2)/25)*AV190+(1-EXP(-LN(2)/25))/(LN(2)/25)*Calculateur!AQ191*Calculateur!AS191*VLOOKUP('Données projet'!$B$10,Paramètres!$A$1:$I$89,3,0)*0.475*44/12</f>
        <v>0.35857447861940883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7.479316812770568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268.00000000000023</v>
      </c>
      <c r="BE191" s="13">
        <f>BD191*VLOOKUP('Données projet'!$B$11,Paramètres!$A$1:$I$89,3,0)*VLOOKUP('Données projet'!$B$11,Paramètres!$A$1:$I$89,5,0)</f>
        <v>175.59360000000015</v>
      </c>
      <c r="BF191" s="13">
        <f t="shared" si="167"/>
        <v>44.340433728638573</v>
      </c>
      <c r="BG191" s="20">
        <f t="shared" si="168"/>
        <v>383.05177541071242</v>
      </c>
      <c r="BH191" s="59">
        <f t="shared" si="116"/>
        <v>676.38510874404574</v>
      </c>
      <c r="BI191" s="59">
        <f ca="1">AVERAGE(OFFSET($BH$3,0,0,'Données projet'!$E$11+1,1))-AVERAGE(OFFSET($H$3,0,0,'Données projet'!$E$11+1,1))</f>
        <v>209.40885738157152</v>
      </c>
      <c r="BJ191" s="59">
        <f t="shared" si="146"/>
        <v>230.15385333954697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0.90576339867837585</v>
      </c>
      <c r="BQ191" s="21">
        <f>EXP(-LN(2)/25)*BQ190+(1-EXP(-LN(2)/25))/(LN(2)/25)*Calculateur!BL191*Calculateur!BN191*VLOOKUP('Données projet'!$B$11,Paramètres!$A$1:$I$89,3,0)*0.475*44/12</f>
        <v>1.0498487618598202</v>
      </c>
      <c r="BR191" s="21">
        <f>EXP(-LN(2)/2)*BR190+(1-EXP(-LN(2)/2))/(LN(2)/2)*BL191*BO191*VLOOKUP('Données projet'!$B$11,Paramètres!$A$1:$I$89,3,0)*0.475*44/12</f>
        <v>2.4233121932696521E-15</v>
      </c>
      <c r="BS191" s="22">
        <f t="shared" si="169"/>
        <v>1.9556121605381984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5.6843418860808015E-13</v>
      </c>
      <c r="BZ191" s="13">
        <f>BY191*VLOOKUP('Données projet'!$B$12,Paramètres!$A$1:$I$89,3,0)*VLOOKUP('Données projet'!$B$12,Paramètres!$A$1:$I$89,5,0)</f>
        <v>5.1431925385259092E-13</v>
      </c>
      <c r="CA191" s="13">
        <f t="shared" si="170"/>
        <v>6.3855359115685756E-12</v>
      </c>
      <c r="CB191" s="20">
        <f t="shared" si="171"/>
        <v>1.2017247746441865E-11</v>
      </c>
      <c r="CC191" s="59">
        <f t="shared" si="119"/>
        <v>293.33333333334531</v>
      </c>
      <c r="CD191" s="59">
        <f ca="1">AVERAGE(OFFSET($CC$3,0,0,'Données projet'!$E$12+1,1))-AVERAGE(OFFSET($H$3,0,0,'Données projet'!$E$12+1,1))</f>
        <v>270.87836509222456</v>
      </c>
      <c r="CE191" s="59">
        <f t="shared" si="148"/>
        <v>205.24998237949734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55.298231948116936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55.298231948116936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212.00000000000009</v>
      </c>
      <c r="CU191" s="17">
        <f>CT191*VLOOKUP('Données projet'!$B$13,Paramètres!$A$1:$I$89,3,0)*VLOOKUP('Données projet'!$B$13,Paramètres!$A$1:$I$89,5,0)</f>
        <v>185.20320000000009</v>
      </c>
      <c r="CV191" s="13">
        <f t="shared" si="173"/>
        <v>46.477875402099386</v>
      </c>
      <c r="CW191" s="20">
        <f t="shared" si="174"/>
        <v>403.5112063253232</v>
      </c>
      <c r="CX191" s="59">
        <f t="shared" si="122"/>
        <v>696.84453965865646</v>
      </c>
      <c r="CY191" s="59">
        <f ca="1">AVERAGE(OFFSET($CX$3,0,0,'Données projet'!$E$13+1,1))-AVERAGE(OFFSET($H$3,0,0,'Données projet'!$E$13+1,1))</f>
        <v>207.4513063267579</v>
      </c>
      <c r="CZ191" s="59">
        <f t="shared" si="150"/>
        <v>191.63513530247218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2.6140668286977711</v>
      </c>
      <c r="DG191" s="21">
        <f>EXP(-LN(2)/25)*DG190+(1-EXP(-LN(2)/25))/(LN(2)/25)*Calculateur!DB191*Calculateur!DD191*VLOOKUP('Données projet'!$B$13,Paramètres!$A$1:$I$89,3,0)*0.475*44/12</f>
        <v>1.2192783013743973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3.8333451300721686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66.814714696519275</v>
      </c>
      <c r="T192" s="59">
        <f t="shared" si="142"/>
        <v>199.56746335788068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1.6650447318431638</v>
      </c>
      <c r="AA192" s="21">
        <f>EXP(-LN(2)/25)*AA191+(1-EXP(-LN(2)/25))/(LN(2)/25)*Calculateur!V192*Calculateur!X192*VLOOKUP('Données projet'!$B$9,Paramètres!$A$1:$I$89,3,0)*0.475*44/12</f>
        <v>9.3172517855959799E-2</v>
      </c>
      <c r="AB192" s="21">
        <f>EXP(-LN(2)/2)*AB191+(1-EXP(-LN(2)/2))/(LN(2)/2)*V192*Y192*VLOOKUP('Données projet'!$B$9,Paramètres!$A$1:$I$89,3,0)*0.475*44/12</f>
        <v>5.2721196682723067E-25</v>
      </c>
      <c r="AC192" s="22">
        <f t="shared" si="163"/>
        <v>1.7582172496991235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367.99999999999972</v>
      </c>
      <c r="AJ192" s="13">
        <f>AI192*VLOOKUP('Données projet'!$B$10,Paramètres!$A$1:$I$89,3,0)*VLOOKUP('Données projet'!$B$10,Paramètres!$A$1:$I$89,5,0)</f>
        <v>292.78079999999977</v>
      </c>
      <c r="AK192" s="13">
        <f t="shared" si="164"/>
        <v>69.660903052386217</v>
      </c>
      <c r="AL192" s="20">
        <f t="shared" si="165"/>
        <v>631.25263281623893</v>
      </c>
      <c r="AM192" s="59">
        <f t="shared" si="113"/>
        <v>924.58596614957219</v>
      </c>
      <c r="AN192" s="59">
        <f ca="1">AVERAGE(OFFSET($AM$3,0,0,'Données projet'!$E$10+1,1))-AVERAGE(OFFSET($H$3,0,0,'Données projet'!$E$10+1,1))</f>
        <v>325.72928944930294</v>
      </c>
      <c r="AO192" s="59">
        <f t="shared" si="144"/>
        <v>318.38876834819752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6.9811089202024208</v>
      </c>
      <c r="AV192" s="21">
        <f>EXP(-LN(2)/25)*AV191+(1-EXP(-LN(2)/25))/(LN(2)/25)*Calculateur!AQ192*Calculateur!AS192*VLOOKUP('Données projet'!$B$10,Paramètres!$A$1:$I$89,3,0)*0.475*44/12</f>
        <v>0.3487692406449488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7.32987816084737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268.00000000000023</v>
      </c>
      <c r="BE192" s="13">
        <f>BD192*VLOOKUP('Données projet'!$B$11,Paramètres!$A$1:$I$89,3,0)*VLOOKUP('Données projet'!$B$11,Paramètres!$A$1:$I$89,5,0)</f>
        <v>175.59360000000015</v>
      </c>
      <c r="BF192" s="13">
        <f t="shared" si="167"/>
        <v>44.340433728638573</v>
      </c>
      <c r="BG192" s="20">
        <f t="shared" si="168"/>
        <v>383.05177541071242</v>
      </c>
      <c r="BH192" s="59">
        <f t="shared" si="116"/>
        <v>676.38510874404574</v>
      </c>
      <c r="BI192" s="59">
        <f ca="1">AVERAGE(OFFSET($BH$3,0,0,'Données projet'!$E$11+1,1))-AVERAGE(OFFSET($H$3,0,0,'Données projet'!$E$11+1,1))</f>
        <v>209.40885738157152</v>
      </c>
      <c r="BJ192" s="59">
        <f t="shared" si="146"/>
        <v>230.15385333954697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0.8880019308914151</v>
      </c>
      <c r="BQ192" s="21">
        <f>EXP(-LN(2)/25)*BQ191+(1-EXP(-LN(2)/25))/(LN(2)/25)*Calculateur!BL192*Calculateur!BN192*VLOOKUP('Données projet'!$B$11,Paramètres!$A$1:$I$89,3,0)*0.475*44/12</f>
        <v>1.0211405922576164</v>
      </c>
      <c r="BR192" s="21">
        <f>EXP(-LN(2)/2)*BR191+(1-EXP(-LN(2)/2))/(LN(2)/2)*BL192*BO192*VLOOKUP('Données projet'!$B$11,Paramètres!$A$1:$I$89,3,0)*0.475*44/12</f>
        <v>1.7135404847930165E-15</v>
      </c>
      <c r="BS192" s="22">
        <f t="shared" si="169"/>
        <v>1.9091425231490333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5.6843418860808015E-13</v>
      </c>
      <c r="BZ192" s="13">
        <f>BY192*VLOOKUP('Données projet'!$B$12,Paramètres!$A$1:$I$89,3,0)*VLOOKUP('Données projet'!$B$12,Paramètres!$A$1:$I$89,5,0)</f>
        <v>5.1431925385259092E-13</v>
      </c>
      <c r="CA192" s="13">
        <f t="shared" si="170"/>
        <v>6.3855359115685756E-12</v>
      </c>
      <c r="CB192" s="20">
        <f t="shared" si="171"/>
        <v>1.2017247746441865E-11</v>
      </c>
      <c r="CC192" s="59">
        <f t="shared" si="119"/>
        <v>293.33333333334531</v>
      </c>
      <c r="CD192" s="59">
        <f ca="1">AVERAGE(OFFSET($CC$3,0,0,'Données projet'!$E$12+1,1))-AVERAGE(OFFSET($H$3,0,0,'Données projet'!$E$12+1,1))</f>
        <v>270.87836509222456</v>
      </c>
      <c r="CE192" s="59">
        <f t="shared" si="148"/>
        <v>205.24998237949734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54.213867348205426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54.213867348205426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212.00000000000009</v>
      </c>
      <c r="CU192" s="17">
        <f>CT192*VLOOKUP('Données projet'!$B$13,Paramètres!$A$1:$I$89,3,0)*VLOOKUP('Données projet'!$B$13,Paramètres!$A$1:$I$89,5,0)</f>
        <v>185.20320000000009</v>
      </c>
      <c r="CV192" s="13">
        <f t="shared" si="173"/>
        <v>46.477875402099386</v>
      </c>
      <c r="CW192" s="20">
        <f t="shared" si="174"/>
        <v>403.5112063253232</v>
      </c>
      <c r="CX192" s="59">
        <f t="shared" si="122"/>
        <v>696.84453965865646</v>
      </c>
      <c r="CY192" s="59">
        <f ca="1">AVERAGE(OFFSET($CX$3,0,0,'Données projet'!$E$13+1,1))-AVERAGE(OFFSET($H$3,0,0,'Données projet'!$E$13+1,1))</f>
        <v>207.4513063267579</v>
      </c>
      <c r="CZ192" s="59">
        <f t="shared" si="150"/>
        <v>191.63513530247218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2.5628065726103371</v>
      </c>
      <c r="DG192" s="21">
        <f>EXP(-LN(2)/25)*DG191+(1-EXP(-LN(2)/25))/(LN(2)/25)*Calculateur!DB192*Calculateur!DD192*VLOOKUP('Données projet'!$B$13,Paramètres!$A$1:$I$89,3,0)*0.475*44/12</f>
        <v>1.1859370721042553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3.7487436447145921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66.814714696519275</v>
      </c>
      <c r="T193" s="59">
        <f t="shared" si="142"/>
        <v>199.56746335788068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1.6323942202287258</v>
      </c>
      <c r="AA193" s="21">
        <f>EXP(-LN(2)/25)*AA192+(1-EXP(-LN(2)/25))/(LN(2)/25)*Calculateur!V193*Calculateur!X193*VLOOKUP('Données projet'!$B$9,Paramètres!$A$1:$I$89,3,0)*0.475*44/12</f>
        <v>9.0624710455458807E-2</v>
      </c>
      <c r="AB193" s="21">
        <f>EXP(-LN(2)/2)*AB192+(1-EXP(-LN(2)/2))/(LN(2)/2)*V193*Y193*VLOOKUP('Données projet'!$B$9,Paramètres!$A$1:$I$89,3,0)*0.475*44/12</f>
        <v>3.7279515686623195E-25</v>
      </c>
      <c r="AC193" s="22">
        <f t="shared" si="163"/>
        <v>1.7230189306841845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367.99999999999972</v>
      </c>
      <c r="AJ193" s="13">
        <f>AI193*VLOOKUP('Données projet'!$B$10,Paramètres!$A$1:$I$89,3,0)*VLOOKUP('Données projet'!$B$10,Paramètres!$A$1:$I$89,5,0)</f>
        <v>292.78079999999977</v>
      </c>
      <c r="AK193" s="13">
        <f t="shared" si="164"/>
        <v>69.660903052386217</v>
      </c>
      <c r="AL193" s="20">
        <f t="shared" si="165"/>
        <v>631.25263281623893</v>
      </c>
      <c r="AM193" s="59">
        <f t="shared" si="113"/>
        <v>924.58596614957219</v>
      </c>
      <c r="AN193" s="59">
        <f ca="1">AVERAGE(OFFSET($AM$3,0,0,'Données projet'!$E$10+1,1))-AVERAGE(OFFSET($H$3,0,0,'Données projet'!$E$10+1,1))</f>
        <v>325.72928944930294</v>
      </c>
      <c r="AO193" s="59">
        <f t="shared" si="144"/>
        <v>318.38876834819752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6.8442136323332443</v>
      </c>
      <c r="AV193" s="21">
        <f>EXP(-LN(2)/25)*AV192+(1-EXP(-LN(2)/25))/(LN(2)/25)*Calculateur!AQ193*Calculateur!AS193*VLOOKUP('Données projet'!$B$10,Paramètres!$A$1:$I$89,3,0)*0.475*44/12</f>
        <v>0.33923212741853542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7.1834457597517796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268.00000000000023</v>
      </c>
      <c r="BE193" s="13">
        <f>BD193*VLOOKUP('Données projet'!$B$11,Paramètres!$A$1:$I$89,3,0)*VLOOKUP('Données projet'!$B$11,Paramètres!$A$1:$I$89,5,0)</f>
        <v>175.59360000000015</v>
      </c>
      <c r="BF193" s="13">
        <f t="shared" si="167"/>
        <v>44.340433728638573</v>
      </c>
      <c r="BG193" s="20">
        <f t="shared" si="168"/>
        <v>383.05177541071242</v>
      </c>
      <c r="BH193" s="59">
        <f t="shared" si="116"/>
        <v>676.38510874404574</v>
      </c>
      <c r="BI193" s="59">
        <f ca="1">AVERAGE(OFFSET($BH$3,0,0,'Données projet'!$E$11+1,1))-AVERAGE(OFFSET($H$3,0,0,'Données projet'!$E$11+1,1))</f>
        <v>209.40885738157152</v>
      </c>
      <c r="BJ193" s="59">
        <f t="shared" si="146"/>
        <v>230.15385333954697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0.87058875465433105</v>
      </c>
      <c r="BQ193" s="21">
        <f>EXP(-LN(2)/25)*BQ192+(1-EXP(-LN(2)/25))/(LN(2)/25)*Calculateur!BL193*Calculateur!BN193*VLOOKUP('Données projet'!$B$11,Paramètres!$A$1:$I$89,3,0)*0.475*44/12</f>
        <v>0.99321744906288201</v>
      </c>
      <c r="BR193" s="21">
        <f>EXP(-LN(2)/2)*BR192+(1-EXP(-LN(2)/2))/(LN(2)/2)*BL193*BO193*VLOOKUP('Données projet'!$B$11,Paramètres!$A$1:$I$89,3,0)*0.475*44/12</f>
        <v>1.211656096634826E-15</v>
      </c>
      <c r="BS193" s="22">
        <f t="shared" si="169"/>
        <v>1.8638062037172143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5.6843418860808015E-13</v>
      </c>
      <c r="BZ193" s="13">
        <f>BY193*VLOOKUP('Données projet'!$B$12,Paramètres!$A$1:$I$89,3,0)*VLOOKUP('Données projet'!$B$12,Paramètres!$A$1:$I$89,5,0)</f>
        <v>5.1431925385259092E-13</v>
      </c>
      <c r="CA193" s="13">
        <f t="shared" si="170"/>
        <v>6.3855359115685756E-12</v>
      </c>
      <c r="CB193" s="20">
        <f t="shared" si="171"/>
        <v>1.2017247746441865E-11</v>
      </c>
      <c r="CC193" s="59">
        <f t="shared" si="119"/>
        <v>293.33333333334531</v>
      </c>
      <c r="CD193" s="59">
        <f ca="1">AVERAGE(OFFSET($CC$3,0,0,'Données projet'!$E$12+1,1))-AVERAGE(OFFSET($H$3,0,0,'Données projet'!$E$12+1,1))</f>
        <v>270.87836509222456</v>
      </c>
      <c r="CE193" s="59">
        <f t="shared" si="148"/>
        <v>205.24998237949734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53.150766476701087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53.150766476701087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212.00000000000009</v>
      </c>
      <c r="CU193" s="17">
        <f>CT193*VLOOKUP('Données projet'!$B$13,Paramètres!$A$1:$I$89,3,0)*VLOOKUP('Données projet'!$B$13,Paramètres!$A$1:$I$89,5,0)</f>
        <v>185.20320000000009</v>
      </c>
      <c r="CV193" s="13">
        <f t="shared" si="173"/>
        <v>46.477875402099386</v>
      </c>
      <c r="CW193" s="20">
        <f t="shared" si="174"/>
        <v>403.5112063253232</v>
      </c>
      <c r="CX193" s="59">
        <f t="shared" si="122"/>
        <v>696.84453965865646</v>
      </c>
      <c r="CY193" s="59">
        <f ca="1">AVERAGE(OFFSET($CX$3,0,0,'Données projet'!$E$13+1,1))-AVERAGE(OFFSET($H$3,0,0,'Données projet'!$E$13+1,1))</f>
        <v>207.4513063267579</v>
      </c>
      <c r="CZ193" s="59">
        <f t="shared" si="150"/>
        <v>191.63513530247218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2.5125514988791084</v>
      </c>
      <c r="DG193" s="21">
        <f>EXP(-LN(2)/25)*DG192+(1-EXP(-LN(2)/25))/(LN(2)/25)*Calculateur!DB193*Calculateur!DD193*VLOOKUP('Données projet'!$B$13,Paramètres!$A$1:$I$89,3,0)*0.475*44/12</f>
        <v>1.1535075605018443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3.6660590593809528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66.814714696519275</v>
      </c>
      <c r="T194" s="59">
        <f t="shared" si="142"/>
        <v>199.56746335788068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1.6003839652322014</v>
      </c>
      <c r="AA194" s="21">
        <f>EXP(-LN(2)/25)*AA193+(1-EXP(-LN(2)/25))/(LN(2)/25)*Calculateur!V194*Calculateur!X194*VLOOKUP('Données projet'!$B$9,Paramètres!$A$1:$I$89,3,0)*0.475*44/12</f>
        <v>8.8146572982307894E-2</v>
      </c>
      <c r="AB194" s="21">
        <f>EXP(-LN(2)/2)*AB193+(1-EXP(-LN(2)/2))/(LN(2)/2)*V194*Y194*VLOOKUP('Données projet'!$B$9,Paramètres!$A$1:$I$89,3,0)*0.475*44/12</f>
        <v>2.6360598341361533E-25</v>
      </c>
      <c r="AC194" s="22">
        <f t="shared" si="163"/>
        <v>1.6885305382145093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367.99999999999972</v>
      </c>
      <c r="AJ194" s="13">
        <f>AI194*VLOOKUP('Données projet'!$B$10,Paramètres!$A$1:$I$89,3,0)*VLOOKUP('Données projet'!$B$10,Paramètres!$A$1:$I$89,5,0)</f>
        <v>292.78079999999977</v>
      </c>
      <c r="AK194" s="13">
        <f t="shared" si="164"/>
        <v>69.660903052386217</v>
      </c>
      <c r="AL194" s="20">
        <f t="shared" si="165"/>
        <v>631.25263281623893</v>
      </c>
      <c r="AM194" s="59">
        <f t="shared" si="113"/>
        <v>924.58596614957219</v>
      </c>
      <c r="AN194" s="59">
        <f ca="1">AVERAGE(OFFSET($AM$3,0,0,'Données projet'!$E$10+1,1))-AVERAGE(OFFSET($H$3,0,0,'Données projet'!$E$10+1,1))</f>
        <v>325.72928944930294</v>
      </c>
      <c r="AO194" s="59">
        <f t="shared" si="144"/>
        <v>318.38876834819752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6.7100027775613018</v>
      </c>
      <c r="AV194" s="21">
        <f>EXP(-LN(2)/25)*AV193+(1-EXP(-LN(2)/25))/(LN(2)/25)*Calculateur!AQ194*Calculateur!AS194*VLOOKUP('Données projet'!$B$10,Paramètres!$A$1:$I$89,3,0)*0.475*44/12</f>
        <v>0.32995580705483329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7.0399585846161354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268.00000000000023</v>
      </c>
      <c r="BE194" s="13">
        <f>BD194*VLOOKUP('Données projet'!$B$11,Paramètres!$A$1:$I$89,3,0)*VLOOKUP('Données projet'!$B$11,Paramètres!$A$1:$I$89,5,0)</f>
        <v>175.59360000000015</v>
      </c>
      <c r="BF194" s="13">
        <f t="shared" si="167"/>
        <v>44.340433728638573</v>
      </c>
      <c r="BG194" s="20">
        <f t="shared" si="168"/>
        <v>383.05177541071242</v>
      </c>
      <c r="BH194" s="59">
        <f t="shared" si="116"/>
        <v>676.38510874404574</v>
      </c>
      <c r="BI194" s="59">
        <f ca="1">AVERAGE(OFFSET($BH$3,0,0,'Données projet'!$E$11+1,1))-AVERAGE(OFFSET($H$3,0,0,'Données projet'!$E$11+1,1))</f>
        <v>209.40885738157152</v>
      </c>
      <c r="BJ194" s="59">
        <f t="shared" si="146"/>
        <v>230.15385333954697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0.85351704018226737</v>
      </c>
      <c r="BQ194" s="21">
        <f>EXP(-LN(2)/25)*BQ193+(1-EXP(-LN(2)/25))/(LN(2)/25)*Calculateur!BL194*Calculateur!BN194*VLOOKUP('Données projet'!$B$11,Paramètres!$A$1:$I$89,3,0)*0.475*44/12</f>
        <v>0.96605786568722185</v>
      </c>
      <c r="BR194" s="21">
        <f>EXP(-LN(2)/2)*BR193+(1-EXP(-LN(2)/2))/(LN(2)/2)*BL194*BO194*VLOOKUP('Données projet'!$B$11,Paramètres!$A$1:$I$89,3,0)*0.475*44/12</f>
        <v>8.5677024239650823E-16</v>
      </c>
      <c r="BS194" s="22">
        <f t="shared" si="169"/>
        <v>1.8195749058694901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5.6843418860808015E-13</v>
      </c>
      <c r="BZ194" s="13">
        <f>BY194*VLOOKUP('Données projet'!$B$12,Paramètres!$A$1:$I$89,3,0)*VLOOKUP('Données projet'!$B$12,Paramètres!$A$1:$I$89,5,0)</f>
        <v>5.1431925385259092E-13</v>
      </c>
      <c r="CA194" s="13">
        <f t="shared" si="170"/>
        <v>6.3855359115685756E-12</v>
      </c>
      <c r="CB194" s="20">
        <f t="shared" si="171"/>
        <v>1.2017247746441865E-11</v>
      </c>
      <c r="CC194" s="59">
        <f t="shared" si="119"/>
        <v>293.33333333334531</v>
      </c>
      <c r="CD194" s="59">
        <f ca="1">AVERAGE(OFFSET($CC$3,0,0,'Données projet'!$E$12+1,1))-AVERAGE(OFFSET($H$3,0,0,'Données projet'!$E$12+1,1))</f>
        <v>270.87836509222456</v>
      </c>
      <c r="CE194" s="59">
        <f t="shared" si="148"/>
        <v>205.24998237949734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52.108512364859443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52.108512364859443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212.00000000000009</v>
      </c>
      <c r="CU194" s="17">
        <f>CT194*VLOOKUP('Données projet'!$B$13,Paramètres!$A$1:$I$89,3,0)*VLOOKUP('Données projet'!$B$13,Paramètres!$A$1:$I$89,5,0)</f>
        <v>185.20320000000009</v>
      </c>
      <c r="CV194" s="13">
        <f t="shared" si="173"/>
        <v>46.477875402099386</v>
      </c>
      <c r="CW194" s="20">
        <f t="shared" si="174"/>
        <v>403.5112063253232</v>
      </c>
      <c r="CX194" s="59">
        <f t="shared" si="122"/>
        <v>696.84453965865646</v>
      </c>
      <c r="CY194" s="59">
        <f ca="1">AVERAGE(OFFSET($CX$3,0,0,'Données projet'!$E$13+1,1))-AVERAGE(OFFSET($H$3,0,0,'Données projet'!$E$13+1,1))</f>
        <v>207.4513063267579</v>
      </c>
      <c r="CZ194" s="59">
        <f t="shared" si="150"/>
        <v>191.63513530247218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2.4632818964911811</v>
      </c>
      <c r="DG194" s="21">
        <f>EXP(-LN(2)/25)*DG193+(1-EXP(-LN(2)/25))/(LN(2)/25)*Calculateur!DB194*Calculateur!DD194*VLOOKUP('Données projet'!$B$13,Paramètres!$A$1:$I$89,3,0)*0.475*44/12</f>
        <v>1.1219648355995953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3.5852467320907762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66.814714696519275</v>
      </c>
      <c r="T195" s="59">
        <f t="shared" si="142"/>
        <v>199.56746335788068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1.5690014118118312</v>
      </c>
      <c r="AA195" s="21">
        <f>EXP(-LN(2)/25)*AA194+(1-EXP(-LN(2)/25))/(LN(2)/25)*Calculateur!V195*Calculateur!X195*VLOOKUP('Données projet'!$B$9,Paramètres!$A$1:$I$89,3,0)*0.475*44/12</f>
        <v>8.5736200308679872E-2</v>
      </c>
      <c r="AB195" s="21">
        <f>EXP(-LN(2)/2)*AB194+(1-EXP(-LN(2)/2))/(LN(2)/2)*V195*Y195*VLOOKUP('Données projet'!$B$9,Paramètres!$A$1:$I$89,3,0)*0.475*44/12</f>
        <v>1.8639757843311598E-25</v>
      </c>
      <c r="AC195" s="22">
        <f t="shared" si="163"/>
        <v>1.6547376121205111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367.99999999999972</v>
      </c>
      <c r="AJ195" s="13">
        <f>AI195*VLOOKUP('Données projet'!$B$10,Paramètres!$A$1:$I$89,3,0)*VLOOKUP('Données projet'!$B$10,Paramètres!$A$1:$I$89,5,0)</f>
        <v>292.78079999999977</v>
      </c>
      <c r="AK195" s="13">
        <f t="shared" si="164"/>
        <v>69.660903052386217</v>
      </c>
      <c r="AL195" s="20">
        <f t="shared" si="165"/>
        <v>631.25263281623893</v>
      </c>
      <c r="AM195" s="59">
        <f t="shared" si="113"/>
        <v>924.58596614957219</v>
      </c>
      <c r="AN195" s="59">
        <f ca="1">AVERAGE(OFFSET($AM$3,0,0,'Données projet'!$E$10+1,1))-AVERAGE(OFFSET($H$3,0,0,'Données projet'!$E$10+1,1))</f>
        <v>325.72928944930294</v>
      </c>
      <c r="AO195" s="59">
        <f t="shared" si="144"/>
        <v>318.38876834819752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6.5784237157908985</v>
      </c>
      <c r="AV195" s="21">
        <f>EXP(-LN(2)/25)*AV194+(1-EXP(-LN(2)/25))/(LN(2)/25)*Calculateur!AQ195*Calculateur!AS195*VLOOKUP('Données projet'!$B$10,Paramètres!$A$1:$I$89,3,0)*0.475*44/12</f>
        <v>0.32093314815929713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6.8993568639501959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268.00000000000023</v>
      </c>
      <c r="BE195" s="13">
        <f>BD195*VLOOKUP('Données projet'!$B$11,Paramètres!$A$1:$I$89,3,0)*VLOOKUP('Données projet'!$B$11,Paramètres!$A$1:$I$89,5,0)</f>
        <v>175.59360000000015</v>
      </c>
      <c r="BF195" s="13">
        <f t="shared" si="167"/>
        <v>44.340433728638573</v>
      </c>
      <c r="BG195" s="20">
        <f t="shared" si="168"/>
        <v>383.05177541071242</v>
      </c>
      <c r="BH195" s="59">
        <f t="shared" si="116"/>
        <v>676.38510874404574</v>
      </c>
      <c r="BI195" s="59">
        <f ca="1">AVERAGE(OFFSET($BH$3,0,0,'Données projet'!$E$11+1,1))-AVERAGE(OFFSET($H$3,0,0,'Données projet'!$E$11+1,1))</f>
        <v>209.40885738157152</v>
      </c>
      <c r="BJ195" s="59">
        <f t="shared" si="146"/>
        <v>230.15385333954697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0.83678009161828326</v>
      </c>
      <c r="BQ195" s="21">
        <f>EXP(-LN(2)/25)*BQ194+(1-EXP(-LN(2)/25))/(LN(2)/25)*Calculateur!BL195*Calculateur!BN195*VLOOKUP('Données projet'!$B$11,Paramètres!$A$1:$I$89,3,0)*0.475*44/12</f>
        <v>0.93964096254722962</v>
      </c>
      <c r="BR195" s="21">
        <f>EXP(-LN(2)/2)*BR194+(1-EXP(-LN(2)/2))/(LN(2)/2)*BL195*BO195*VLOOKUP('Données projet'!$B$11,Paramètres!$A$1:$I$89,3,0)*0.475*44/12</f>
        <v>6.0582804831741302E-16</v>
      </c>
      <c r="BS195" s="22">
        <f t="shared" si="169"/>
        <v>1.7764210541655137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5.6843418860808015E-13</v>
      </c>
      <c r="BZ195" s="13">
        <f>BY195*VLOOKUP('Données projet'!$B$12,Paramètres!$A$1:$I$89,3,0)*VLOOKUP('Données projet'!$B$12,Paramètres!$A$1:$I$89,5,0)</f>
        <v>5.1431925385259092E-13</v>
      </c>
      <c r="CA195" s="13">
        <f t="shared" si="170"/>
        <v>6.3855359115685756E-12</v>
      </c>
      <c r="CB195" s="20">
        <f t="shared" si="171"/>
        <v>1.2017247746441865E-11</v>
      </c>
      <c r="CC195" s="59">
        <f t="shared" si="119"/>
        <v>293.33333333334531</v>
      </c>
      <c r="CD195" s="59">
        <f ca="1">AVERAGE(OFFSET($CC$3,0,0,'Données projet'!$E$12+1,1))-AVERAGE(OFFSET($H$3,0,0,'Données projet'!$E$12+1,1))</f>
        <v>270.87836509222456</v>
      </c>
      <c r="CE195" s="59">
        <f t="shared" si="148"/>
        <v>205.24998237949734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51.086696220438775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51.086696220438775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212.00000000000009</v>
      </c>
      <c r="CU195" s="17">
        <f>CT195*VLOOKUP('Données projet'!$B$13,Paramètres!$A$1:$I$89,3,0)*VLOOKUP('Données projet'!$B$13,Paramètres!$A$1:$I$89,5,0)</f>
        <v>185.20320000000009</v>
      </c>
      <c r="CV195" s="13">
        <f t="shared" si="173"/>
        <v>46.477875402099386</v>
      </c>
      <c r="CW195" s="20">
        <f t="shared" si="174"/>
        <v>403.5112063253232</v>
      </c>
      <c r="CX195" s="59">
        <f t="shared" si="122"/>
        <v>696.84453965865646</v>
      </c>
      <c r="CY195" s="59">
        <f ca="1">AVERAGE(OFFSET($CX$3,0,0,'Données projet'!$E$13+1,1))-AVERAGE(OFFSET($H$3,0,0,'Données projet'!$E$13+1,1))</f>
        <v>207.4513063267579</v>
      </c>
      <c r="CZ195" s="59">
        <f t="shared" si="150"/>
        <v>191.63513530247218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2.4149784409545911</v>
      </c>
      <c r="DG195" s="21">
        <f>EXP(-LN(2)/25)*DG194+(1-EXP(-LN(2)/25))/(LN(2)/25)*Calculateur!DB195*Calculateur!DD195*VLOOKUP('Données projet'!$B$13,Paramètres!$A$1:$I$89,3,0)*0.475*44/12</f>
        <v>1.0912846481685579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3.506263089123149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66.814714696519275</v>
      </c>
      <c r="T196" s="59">
        <f t="shared" si="142"/>
        <v>199.56746335788068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1.5382342511225668</v>
      </c>
      <c r="AA196" s="21">
        <f>EXP(-LN(2)/25)*AA195+(1-EXP(-LN(2)/25))/(LN(2)/25)*Calculateur!V196*Calculateur!X196*VLOOKUP('Données projet'!$B$9,Paramètres!$A$1:$I$89,3,0)*0.475*44/12</f>
        <v>8.3391739402568194E-2</v>
      </c>
      <c r="AB196" s="21">
        <f>EXP(-LN(2)/2)*AB195+(1-EXP(-LN(2)/2))/(LN(2)/2)*V196*Y196*VLOOKUP('Données projet'!$B$9,Paramètres!$A$1:$I$89,3,0)*0.475*44/12</f>
        <v>1.3180299170680767E-25</v>
      </c>
      <c r="AC196" s="22">
        <f t="shared" si="163"/>
        <v>1.6216259905251351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367.99999999999972</v>
      </c>
      <c r="AJ196" s="13">
        <f>AI196*VLOOKUP('Données projet'!$B$10,Paramètres!$A$1:$I$89,3,0)*VLOOKUP('Données projet'!$B$10,Paramètres!$A$1:$I$89,5,0)</f>
        <v>292.78079999999977</v>
      </c>
      <c r="AK196" s="13">
        <f t="shared" si="164"/>
        <v>69.660903052386217</v>
      </c>
      <c r="AL196" s="20">
        <f t="shared" si="165"/>
        <v>631.25263281623893</v>
      </c>
      <c r="AM196" s="59">
        <f t="shared" ref="AM196:AM203" si="193">AL196+(AD196+AE196)*44/12</f>
        <v>924.58596614957219</v>
      </c>
      <c r="AN196" s="59">
        <f ca="1">AVERAGE(OFFSET($AM$3,0,0,'Données projet'!$E$10+1,1))-AVERAGE(OFFSET($H$3,0,0,'Données projet'!$E$10+1,1))</f>
        <v>325.72928944930294</v>
      </c>
      <c r="AO196" s="59">
        <f t="shared" si="144"/>
        <v>318.38876834819752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6.4494248391665101</v>
      </c>
      <c r="AV196" s="21">
        <f>EXP(-LN(2)/25)*AV195+(1-EXP(-LN(2)/25))/(LN(2)/25)*Calculateur!AQ196*Calculateur!AS196*VLOOKUP('Données projet'!$B$10,Paramètres!$A$1:$I$89,3,0)*0.475*44/12</f>
        <v>0.3121572143457404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6.7615820535122504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268.00000000000023</v>
      </c>
      <c r="BE196" s="13">
        <f>BD196*VLOOKUP('Données projet'!$B$11,Paramètres!$A$1:$I$89,3,0)*VLOOKUP('Données projet'!$B$11,Paramètres!$A$1:$I$89,5,0)</f>
        <v>175.59360000000015</v>
      </c>
      <c r="BF196" s="13">
        <f t="shared" si="167"/>
        <v>44.340433728638573</v>
      </c>
      <c r="BG196" s="20">
        <f t="shared" si="168"/>
        <v>383.05177541071242</v>
      </c>
      <c r="BH196" s="59">
        <f t="shared" ref="BH196:BH203" si="194">BG196+(AY196+AZ196)*44/12</f>
        <v>676.38510874404574</v>
      </c>
      <c r="BI196" s="59">
        <f ca="1">AVERAGE(OFFSET($BH$3,0,0,'Données projet'!$E$11+1,1))-AVERAGE(OFFSET($H$3,0,0,'Données projet'!$E$11+1,1))</f>
        <v>209.40885738157152</v>
      </c>
      <c r="BJ196" s="59">
        <f t="shared" si="146"/>
        <v>230.15385333954697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0.82037134440710824</v>
      </c>
      <c r="BQ196" s="21">
        <f>EXP(-LN(2)/25)*BQ195+(1-EXP(-LN(2)/25))/(LN(2)/25)*Calculateur!BL196*Calculateur!BN196*VLOOKUP('Données projet'!$B$11,Paramètres!$A$1:$I$89,3,0)*0.475*44/12</f>
        <v>0.91394643101280504</v>
      </c>
      <c r="BR196" s="21">
        <f>EXP(-LN(2)/2)*BR195+(1-EXP(-LN(2)/2))/(LN(2)/2)*BL196*BO196*VLOOKUP('Données projet'!$B$11,Paramètres!$A$1:$I$89,3,0)*0.475*44/12</f>
        <v>4.2838512119825411E-16</v>
      </c>
      <c r="BS196" s="22">
        <f t="shared" si="169"/>
        <v>1.7343177754199137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5.6843418860808015E-13</v>
      </c>
      <c r="BZ196" s="13">
        <f>BY196*VLOOKUP('Données projet'!$B$12,Paramètres!$A$1:$I$89,3,0)*VLOOKUP('Données projet'!$B$12,Paramètres!$A$1:$I$89,5,0)</f>
        <v>5.1431925385259092E-13</v>
      </c>
      <c r="CA196" s="13">
        <f t="shared" si="170"/>
        <v>6.3855359115685756E-12</v>
      </c>
      <c r="CB196" s="20">
        <f t="shared" si="171"/>
        <v>1.2017247746441865E-11</v>
      </c>
      <c r="CC196" s="59">
        <f t="shared" ref="CC196:CC203" si="195">CB196+(BT196+BU196)*44/12</f>
        <v>293.33333333334531</v>
      </c>
      <c r="CD196" s="59">
        <f ca="1">AVERAGE(OFFSET($CC$3,0,0,'Données projet'!$E$12+1,1))-AVERAGE(OFFSET($H$3,0,0,'Données projet'!$E$12+1,1))</f>
        <v>270.87836509222456</v>
      </c>
      <c r="CE196" s="59">
        <f t="shared" si="148"/>
        <v>205.24998237949734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50.084917267363892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50.084917267363892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212.00000000000009</v>
      </c>
      <c r="CU196" s="17">
        <f>CT196*VLOOKUP('Données projet'!$B$13,Paramètres!$A$1:$I$89,3,0)*VLOOKUP('Données projet'!$B$13,Paramètres!$A$1:$I$89,5,0)</f>
        <v>185.20320000000009</v>
      </c>
      <c r="CV196" s="13">
        <f t="shared" si="173"/>
        <v>46.477875402099386</v>
      </c>
      <c r="CW196" s="20">
        <f t="shared" si="174"/>
        <v>403.5112063253232</v>
      </c>
      <c r="CX196" s="59">
        <f t="shared" ref="CX196:CX203" si="196">CW196+(CO196+CP196)*44/12</f>
        <v>696.84453965865646</v>
      </c>
      <c r="CY196" s="59">
        <f ca="1">AVERAGE(OFFSET($CX$3,0,0,'Données projet'!$E$13+1,1))-AVERAGE(OFFSET($H$3,0,0,'Données projet'!$E$13+1,1))</f>
        <v>207.4513063267579</v>
      </c>
      <c r="CZ196" s="59">
        <f t="shared" si="150"/>
        <v>191.63513530247218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2.3676221867188749</v>
      </c>
      <c r="DG196" s="21">
        <f>EXP(-LN(2)/25)*DG195+(1-EXP(-LN(2)/25))/(LN(2)/25)*Calculateur!DB196*Calculateur!DD196*VLOOKUP('Données projet'!$B$13,Paramètres!$A$1:$I$89,3,0)*0.475*44/12</f>
        <v>1.0614434120762231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3.429065598795098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66.814714696519275</v>
      </c>
      <c r="T197" s="59">
        <f t="shared" ref="T197:T203" si="204">$T$3</f>
        <v>199.56746335788068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1.508070415688304</v>
      </c>
      <c r="AA197" s="21">
        <f>EXP(-LN(2)/25)*AA196+(1-EXP(-LN(2)/25))/(LN(2)/25)*Calculateur!V197*Calculateur!X197*VLOOKUP('Données projet'!$B$9,Paramètres!$A$1:$I$89,3,0)*0.475*44/12</f>
        <v>8.1111387903223989E-2</v>
      </c>
      <c r="AB197" s="21">
        <f>EXP(-LN(2)/2)*AB196+(1-EXP(-LN(2)/2))/(LN(2)/2)*V197*Y197*VLOOKUP('Données projet'!$B$9,Paramètres!$A$1:$I$89,3,0)*0.475*44/12</f>
        <v>9.3198789216557988E-26</v>
      </c>
      <c r="AC197" s="22">
        <f t="shared" si="163"/>
        <v>1.5891818035915279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367.99999999999972</v>
      </c>
      <c r="AJ197" s="13">
        <f>AI197*VLOOKUP('Données projet'!$B$10,Paramètres!$A$1:$I$89,3,0)*VLOOKUP('Données projet'!$B$10,Paramètres!$A$1:$I$89,5,0)</f>
        <v>292.78079999999977</v>
      </c>
      <c r="AK197" s="13">
        <f t="shared" si="164"/>
        <v>69.660903052386217</v>
      </c>
      <c r="AL197" s="20">
        <f t="shared" si="165"/>
        <v>631.25263281623893</v>
      </c>
      <c r="AM197" s="59">
        <f t="shared" si="193"/>
        <v>924.58596614957219</v>
      </c>
      <c r="AN197" s="59">
        <f ca="1">AVERAGE(OFFSET($AM$3,0,0,'Données projet'!$E$10+1,1))-AVERAGE(OFFSET($H$3,0,0,'Données projet'!$E$10+1,1))</f>
        <v>325.72928944930294</v>
      </c>
      <c r="AO197" s="59">
        <f t="shared" ref="AO197:AO203" si="205">$AO$3</f>
        <v>318.38876834819752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6.3229555518311802</v>
      </c>
      <c r="AV197" s="21">
        <f>EXP(-LN(2)/25)*AV196+(1-EXP(-LN(2)/25))/(LN(2)/25)*Calculateur!AQ197*Calculateur!AS197*VLOOKUP('Données projet'!$B$10,Paramètres!$A$1:$I$89,3,0)*0.475*44/12</f>
        <v>0.30362125890382169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6.6265768107350018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268.00000000000023</v>
      </c>
      <c r="BE197" s="13">
        <f>BD197*VLOOKUP('Données projet'!$B$11,Paramètres!$A$1:$I$89,3,0)*VLOOKUP('Données projet'!$B$11,Paramètres!$A$1:$I$89,5,0)</f>
        <v>175.59360000000015</v>
      </c>
      <c r="BF197" s="13">
        <f t="shared" si="167"/>
        <v>44.340433728638573</v>
      </c>
      <c r="BG197" s="20">
        <f t="shared" si="168"/>
        <v>383.05177541071242</v>
      </c>
      <c r="BH197" s="59">
        <f t="shared" si="194"/>
        <v>676.38510874404574</v>
      </c>
      <c r="BI197" s="59">
        <f ca="1">AVERAGE(OFFSET($BH$3,0,0,'Données projet'!$E$11+1,1))-AVERAGE(OFFSET($H$3,0,0,'Données projet'!$E$11+1,1))</f>
        <v>209.40885738157152</v>
      </c>
      <c r="BJ197" s="59">
        <f t="shared" ref="BJ197:BJ203" si="206">$BJ$3</f>
        <v>230.15385333954697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0.80428436272039683</v>
      </c>
      <c r="BQ197" s="21">
        <f>EXP(-LN(2)/25)*BQ196+(1-EXP(-LN(2)/25))/(LN(2)/25)*Calculateur!BL197*Calculateur!BN197*VLOOKUP('Données projet'!$B$11,Paramètres!$A$1:$I$89,3,0)*0.475*44/12</f>
        <v>0.88895451779440593</v>
      </c>
      <c r="BR197" s="21">
        <f>EXP(-LN(2)/2)*BR196+(1-EXP(-LN(2)/2))/(LN(2)/2)*BL197*BO197*VLOOKUP('Données projet'!$B$11,Paramètres!$A$1:$I$89,3,0)*0.475*44/12</f>
        <v>3.0291402415870651E-16</v>
      </c>
      <c r="BS197" s="22">
        <f t="shared" si="169"/>
        <v>1.6932388805148031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5.6843418860808015E-13</v>
      </c>
      <c r="BZ197" s="13">
        <f>BY197*VLOOKUP('Données projet'!$B$12,Paramètres!$A$1:$I$89,3,0)*VLOOKUP('Données projet'!$B$12,Paramètres!$A$1:$I$89,5,0)</f>
        <v>5.1431925385259092E-13</v>
      </c>
      <c r="CA197" s="13">
        <f t="shared" si="170"/>
        <v>6.3855359115685756E-12</v>
      </c>
      <c r="CB197" s="20">
        <f t="shared" si="171"/>
        <v>1.2017247746441865E-11</v>
      </c>
      <c r="CC197" s="59">
        <f t="shared" si="195"/>
        <v>293.33333333334531</v>
      </c>
      <c r="CD197" s="59">
        <f ca="1">AVERAGE(OFFSET($CC$3,0,0,'Données projet'!$E$12+1,1))-AVERAGE(OFFSET($H$3,0,0,'Données projet'!$E$12+1,1))</f>
        <v>270.87836509222456</v>
      </c>
      <c r="CE197" s="59">
        <f t="shared" ref="CE197:CE203" si="207">$CE$3</f>
        <v>205.24998237949734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49.102782588533977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49.102782588533977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212.00000000000009</v>
      </c>
      <c r="CU197" s="17">
        <f>CT197*VLOOKUP('Données projet'!$B$13,Paramètres!$A$1:$I$89,3,0)*VLOOKUP('Données projet'!$B$13,Paramètres!$A$1:$I$89,5,0)</f>
        <v>185.20320000000009</v>
      </c>
      <c r="CV197" s="13">
        <f t="shared" si="173"/>
        <v>46.477875402099386</v>
      </c>
      <c r="CW197" s="20">
        <f t="shared" si="174"/>
        <v>403.5112063253232</v>
      </c>
      <c r="CX197" s="59">
        <f t="shared" si="196"/>
        <v>696.84453965865646</v>
      </c>
      <c r="CY197" s="59">
        <f ca="1">AVERAGE(OFFSET($CX$3,0,0,'Données projet'!$E$13+1,1))-AVERAGE(OFFSET($H$3,0,0,'Données projet'!$E$13+1,1))</f>
        <v>207.4513063267579</v>
      </c>
      <c r="CZ197" s="59">
        <f t="shared" ref="CZ197:CZ203" si="208">$CZ$3</f>
        <v>191.63513530247218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2.3211945597442578</v>
      </c>
      <c r="DG197" s="21">
        <f>EXP(-LN(2)/25)*DG196+(1-EXP(-LN(2)/25))/(LN(2)/25)*Calculateur!DB197*Calculateur!DD197*VLOOKUP('Données projet'!$B$13,Paramètres!$A$1:$I$89,3,0)*0.475*44/12</f>
        <v>1.0324181861541157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3.3536127458983733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66.814714696519275</v>
      </c>
      <c r="T198" s="59">
        <f t="shared" si="204"/>
        <v>199.56746335788068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1.4784980746687841</v>
      </c>
      <c r="AA198" s="21">
        <f>EXP(-LN(2)/25)*AA197+(1-EXP(-LN(2)/25))/(LN(2)/25)*Calculateur!V198*Calculateur!X198*VLOOKUP('Données projet'!$B$9,Paramètres!$A$1:$I$89,3,0)*0.475*44/12</f>
        <v>7.8893392735547824E-2</v>
      </c>
      <c r="AB198" s="21">
        <f>EXP(-LN(2)/2)*AB197+(1-EXP(-LN(2)/2))/(LN(2)/2)*V198*Y198*VLOOKUP('Données projet'!$B$9,Paramètres!$A$1:$I$89,3,0)*0.475*44/12</f>
        <v>6.5901495853403834E-26</v>
      </c>
      <c r="AC198" s="22">
        <f t="shared" si="163"/>
        <v>1.5573914674043319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367.99999999999972</v>
      </c>
      <c r="AJ198" s="13">
        <f>AI198*VLOOKUP('Données projet'!$B$10,Paramètres!$A$1:$I$89,3,0)*VLOOKUP('Données projet'!$B$10,Paramètres!$A$1:$I$89,5,0)</f>
        <v>292.78079999999977</v>
      </c>
      <c r="AK198" s="13">
        <f t="shared" si="164"/>
        <v>69.660903052386217</v>
      </c>
      <c r="AL198" s="20">
        <f t="shared" si="165"/>
        <v>631.25263281623893</v>
      </c>
      <c r="AM198" s="59">
        <f t="shared" si="193"/>
        <v>924.58596614957219</v>
      </c>
      <c r="AN198" s="59">
        <f ca="1">AVERAGE(OFFSET($AM$3,0,0,'Données projet'!$E$10+1,1))-AVERAGE(OFFSET($H$3,0,0,'Données projet'!$E$10+1,1))</f>
        <v>325.72928944930294</v>
      </c>
      <c r="AO198" s="59">
        <f t="shared" si="205"/>
        <v>318.38876834819752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6.1989662500818472</v>
      </c>
      <c r="AV198" s="21">
        <f>EXP(-LN(2)/25)*AV197+(1-EXP(-LN(2)/25))/(LN(2)/25)*Calculateur!AQ198*Calculateur!AS198*VLOOKUP('Données projet'!$B$10,Paramètres!$A$1:$I$89,3,0)*0.475*44/12</f>
        <v>0.29531871961234862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6.4942849696941956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268.00000000000023</v>
      </c>
      <c r="BE198" s="13">
        <f>BD198*VLOOKUP('Données projet'!$B$11,Paramètres!$A$1:$I$89,3,0)*VLOOKUP('Données projet'!$B$11,Paramètres!$A$1:$I$89,5,0)</f>
        <v>175.59360000000015</v>
      </c>
      <c r="BF198" s="13">
        <f t="shared" si="167"/>
        <v>44.340433728638573</v>
      </c>
      <c r="BG198" s="20">
        <f t="shared" si="168"/>
        <v>383.05177541071242</v>
      </c>
      <c r="BH198" s="59">
        <f t="shared" si="194"/>
        <v>676.38510874404574</v>
      </c>
      <c r="BI198" s="59">
        <f ca="1">AVERAGE(OFFSET($BH$3,0,0,'Données projet'!$E$11+1,1))-AVERAGE(OFFSET($H$3,0,0,'Données projet'!$E$11+1,1))</f>
        <v>209.40885738157152</v>
      </c>
      <c r="BJ198" s="59">
        <f t="shared" si="206"/>
        <v>230.15385333954697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0.78851283693247187</v>
      </c>
      <c r="BQ198" s="21">
        <f>EXP(-LN(2)/25)*BQ197+(1-EXP(-LN(2)/25))/(LN(2)/25)*Calculateur!BL198*Calculateur!BN198*VLOOKUP('Données projet'!$B$11,Paramètres!$A$1:$I$89,3,0)*0.475*44/12</f>
        <v>0.86464600975723149</v>
      </c>
      <c r="BR198" s="21">
        <f>EXP(-LN(2)/2)*BR197+(1-EXP(-LN(2)/2))/(LN(2)/2)*BL198*BO198*VLOOKUP('Données projet'!$B$11,Paramètres!$A$1:$I$89,3,0)*0.475*44/12</f>
        <v>2.1419256059912706E-16</v>
      </c>
      <c r="BS198" s="22">
        <f t="shared" si="169"/>
        <v>1.6531588466897036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5.6843418860808015E-13</v>
      </c>
      <c r="BZ198" s="13">
        <f>BY198*VLOOKUP('Données projet'!$B$12,Paramètres!$A$1:$I$89,3,0)*VLOOKUP('Données projet'!$B$12,Paramètres!$A$1:$I$89,5,0)</f>
        <v>5.1431925385259092E-13</v>
      </c>
      <c r="CA198" s="13">
        <f t="shared" si="170"/>
        <v>6.3855359115685756E-12</v>
      </c>
      <c r="CB198" s="20">
        <f t="shared" si="171"/>
        <v>1.2017247746441865E-11</v>
      </c>
      <c r="CC198" s="59">
        <f t="shared" si="195"/>
        <v>293.33333333334531</v>
      </c>
      <c r="CD198" s="59">
        <f ca="1">AVERAGE(OFFSET($CC$3,0,0,'Données projet'!$E$12+1,1))-AVERAGE(OFFSET($H$3,0,0,'Données projet'!$E$12+1,1))</f>
        <v>270.87836509222456</v>
      </c>
      <c r="CE198" s="59">
        <f t="shared" si="207"/>
        <v>205.24998237949734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48.139906971712911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48.139906971712911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212.00000000000009</v>
      </c>
      <c r="CU198" s="17">
        <f>CT198*VLOOKUP('Données projet'!$B$13,Paramètres!$A$1:$I$89,3,0)*VLOOKUP('Données projet'!$B$13,Paramètres!$A$1:$I$89,5,0)</f>
        <v>185.20320000000009</v>
      </c>
      <c r="CV198" s="13">
        <f t="shared" si="173"/>
        <v>46.477875402099386</v>
      </c>
      <c r="CW198" s="20">
        <f t="shared" si="174"/>
        <v>403.5112063253232</v>
      </c>
      <c r="CX198" s="59">
        <f t="shared" si="196"/>
        <v>696.84453965865646</v>
      </c>
      <c r="CY198" s="59">
        <f ca="1">AVERAGE(OFFSET($CX$3,0,0,'Données projet'!$E$13+1,1))-AVERAGE(OFFSET($H$3,0,0,'Données projet'!$E$13+1,1))</f>
        <v>207.4513063267579</v>
      </c>
      <c r="CZ198" s="59">
        <f t="shared" si="208"/>
        <v>191.63513530247218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2.275677350216557</v>
      </c>
      <c r="DG198" s="21">
        <f>EXP(-LN(2)/25)*DG197+(1-EXP(-LN(2)/25))/(LN(2)/25)*Calculateur!DB198*Calculateur!DD198*VLOOKUP('Données projet'!$B$13,Paramètres!$A$1:$I$89,3,0)*0.475*44/12</f>
        <v>1.0041866565612187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3.2798640067777756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66.814714696519275</v>
      </c>
      <c r="T199" s="59">
        <f t="shared" si="204"/>
        <v>199.56746335788068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1.44950562921931</v>
      </c>
      <c r="AA199" s="21">
        <f>EXP(-LN(2)/25)*AA198+(1-EXP(-LN(2)/25))/(LN(2)/25)*Calculateur!V199*Calculateur!X199*VLOOKUP('Données projet'!$B$9,Paramètres!$A$1:$I$89,3,0)*0.475*44/12</f>
        <v>7.6736048762371056E-2</v>
      </c>
      <c r="AB199" s="21">
        <f>EXP(-LN(2)/2)*AB198+(1-EXP(-LN(2)/2))/(LN(2)/2)*V199*Y199*VLOOKUP('Données projet'!$B$9,Paramètres!$A$1:$I$89,3,0)*0.475*44/12</f>
        <v>4.6599394608278994E-26</v>
      </c>
      <c r="AC199" s="22">
        <f t="shared" si="163"/>
        <v>1.5262416779816812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367.99999999999972</v>
      </c>
      <c r="AJ199" s="13">
        <f>AI199*VLOOKUP('Données projet'!$B$10,Paramètres!$A$1:$I$89,3,0)*VLOOKUP('Données projet'!$B$10,Paramètres!$A$1:$I$89,5,0)</f>
        <v>292.78079999999977</v>
      </c>
      <c r="AK199" s="13">
        <f t="shared" si="164"/>
        <v>69.660903052386217</v>
      </c>
      <c r="AL199" s="20">
        <f t="shared" si="165"/>
        <v>631.25263281623893</v>
      </c>
      <c r="AM199" s="59">
        <f t="shared" si="193"/>
        <v>924.58596614957219</v>
      </c>
      <c r="AN199" s="59">
        <f ca="1">AVERAGE(OFFSET($AM$3,0,0,'Données projet'!$E$10+1,1))-AVERAGE(OFFSET($H$3,0,0,'Données projet'!$E$10+1,1))</f>
        <v>325.72928944930294</v>
      </c>
      <c r="AO199" s="59">
        <f t="shared" si="205"/>
        <v>318.38876834819752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6.0774083029138124</v>
      </c>
      <c r="AV199" s="21">
        <f>EXP(-LN(2)/25)*AV198+(1-EXP(-LN(2)/25))/(LN(2)/25)*Calculateur!AQ199*Calculateur!AS199*VLOOKUP('Données projet'!$B$10,Paramètres!$A$1:$I$89,3,0)*0.475*44/12</f>
        <v>0.28724321369441247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6.3646515166082249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268.00000000000023</v>
      </c>
      <c r="BE199" s="13">
        <f>BD199*VLOOKUP('Données projet'!$B$11,Paramètres!$A$1:$I$89,3,0)*VLOOKUP('Données projet'!$B$11,Paramètres!$A$1:$I$89,5,0)</f>
        <v>175.59360000000015</v>
      </c>
      <c r="BF199" s="13">
        <f t="shared" si="167"/>
        <v>44.340433728638573</v>
      </c>
      <c r="BG199" s="20">
        <f t="shared" si="168"/>
        <v>383.05177541071242</v>
      </c>
      <c r="BH199" s="59">
        <f t="shared" si="194"/>
        <v>676.38510874404574</v>
      </c>
      <c r="BI199" s="59">
        <f ca="1">AVERAGE(OFFSET($BH$3,0,0,'Données projet'!$E$11+1,1))-AVERAGE(OFFSET($H$3,0,0,'Données projet'!$E$11+1,1))</f>
        <v>209.40885738157152</v>
      </c>
      <c r="BJ199" s="59">
        <f t="shared" si="206"/>
        <v>230.15385333954697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0.77305058114556724</v>
      </c>
      <c r="BQ199" s="21">
        <f>EXP(-LN(2)/25)*BQ198+(1-EXP(-LN(2)/25))/(LN(2)/25)*Calculateur!BL199*Calculateur!BN199*VLOOKUP('Données projet'!$B$11,Paramètres!$A$1:$I$89,3,0)*0.475*44/12</f>
        <v>0.84100221915066253</v>
      </c>
      <c r="BR199" s="21">
        <f>EXP(-LN(2)/2)*BR198+(1-EXP(-LN(2)/2))/(LN(2)/2)*BL199*BO199*VLOOKUP('Données projet'!$B$11,Paramètres!$A$1:$I$89,3,0)*0.475*44/12</f>
        <v>1.5145701207935325E-16</v>
      </c>
      <c r="BS199" s="22">
        <f t="shared" si="169"/>
        <v>1.61405280029623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5.6843418860808015E-13</v>
      </c>
      <c r="BZ199" s="13">
        <f>BY199*VLOOKUP('Données projet'!$B$12,Paramètres!$A$1:$I$89,3,0)*VLOOKUP('Données projet'!$B$12,Paramètres!$A$1:$I$89,5,0)</f>
        <v>5.1431925385259092E-13</v>
      </c>
      <c r="CA199" s="13">
        <f t="shared" si="170"/>
        <v>6.3855359115685756E-12</v>
      </c>
      <c r="CB199" s="20">
        <f t="shared" si="171"/>
        <v>1.2017247746441865E-11</v>
      </c>
      <c r="CC199" s="59">
        <f t="shared" si="195"/>
        <v>293.33333333334531</v>
      </c>
      <c r="CD199" s="59">
        <f ca="1">AVERAGE(OFFSET($CC$3,0,0,'Données projet'!$E$12+1,1))-AVERAGE(OFFSET($H$3,0,0,'Données projet'!$E$12+1,1))</f>
        <v>270.87836509222456</v>
      </c>
      <c r="CE199" s="59">
        <f t="shared" si="207"/>
        <v>205.24998237949734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47.195912758441573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47.195912758441573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212.00000000000009</v>
      </c>
      <c r="CU199" s="17">
        <f>CT199*VLOOKUP('Données projet'!$B$13,Paramètres!$A$1:$I$89,3,0)*VLOOKUP('Données projet'!$B$13,Paramètres!$A$1:$I$89,5,0)</f>
        <v>185.20320000000009</v>
      </c>
      <c r="CV199" s="13">
        <f t="shared" si="173"/>
        <v>46.477875402099386</v>
      </c>
      <c r="CW199" s="20">
        <f t="shared" si="174"/>
        <v>403.5112063253232</v>
      </c>
      <c r="CX199" s="59">
        <f t="shared" si="196"/>
        <v>696.84453965865646</v>
      </c>
      <c r="CY199" s="59">
        <f ca="1">AVERAGE(OFFSET($CX$3,0,0,'Données projet'!$E$13+1,1))-AVERAGE(OFFSET($H$3,0,0,'Données projet'!$E$13+1,1))</f>
        <v>207.4513063267579</v>
      </c>
      <c r="CZ199" s="59">
        <f t="shared" si="208"/>
        <v>191.63513530247218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2.2310527054049376</v>
      </c>
      <c r="DG199" s="21">
        <f>EXP(-LN(2)/25)*DG198+(1-EXP(-LN(2)/25))/(LN(2)/25)*Calculateur!DB199*Calculateur!DD199*VLOOKUP('Données projet'!$B$13,Paramètres!$A$1:$I$89,3,0)*0.475*44/12</f>
        <v>0.97672711962967107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3.2077798250346086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66.814714696519275</v>
      </c>
      <c r="T200" s="59">
        <f t="shared" si="204"/>
        <v>199.56746335788068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1.4210817079414544</v>
      </c>
      <c r="AA200" s="21">
        <f>EXP(-LN(2)/25)*AA199+(1-EXP(-LN(2)/25))/(LN(2)/25)*Calculateur!V200*Calculateur!X200*VLOOKUP('Données projet'!$B$9,Paramètres!$A$1:$I$89,3,0)*0.475*44/12</f>
        <v>7.46376974735906E-2</v>
      </c>
      <c r="AB200" s="21">
        <f>EXP(-LN(2)/2)*AB199+(1-EXP(-LN(2)/2))/(LN(2)/2)*V200*Y200*VLOOKUP('Données projet'!$B$9,Paramètres!$A$1:$I$89,3,0)*0.475*44/12</f>
        <v>3.2950747926701917E-26</v>
      </c>
      <c r="AC200" s="22">
        <f t="shared" si="163"/>
        <v>1.4957194054150449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367.99999999999972</v>
      </c>
      <c r="AJ200" s="13">
        <f>AI200*VLOOKUP('Données projet'!$B$10,Paramètres!$A$1:$I$89,3,0)*VLOOKUP('Données projet'!$B$10,Paramètres!$A$1:$I$89,5,0)</f>
        <v>292.78079999999977</v>
      </c>
      <c r="AK200" s="13">
        <f t="shared" si="164"/>
        <v>69.660903052386217</v>
      </c>
      <c r="AL200" s="20">
        <f t="shared" si="165"/>
        <v>631.25263281623893</v>
      </c>
      <c r="AM200" s="59">
        <f t="shared" si="193"/>
        <v>924.58596614957219</v>
      </c>
      <c r="AN200" s="59">
        <f ca="1">AVERAGE(OFFSET($AM$3,0,0,'Données projet'!$E$10+1,1))-AVERAGE(OFFSET($H$3,0,0,'Données projet'!$E$10+1,1))</f>
        <v>325.72928944930294</v>
      </c>
      <c r="AO200" s="59">
        <f t="shared" si="205"/>
        <v>318.38876834819752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5.9582340329467156</v>
      </c>
      <c r="AV200" s="21">
        <f>EXP(-LN(2)/25)*AV199+(1-EXP(-LN(2)/25))/(LN(2)/25)*Calculateur!AQ200*Calculateur!AS200*VLOOKUP('Données projet'!$B$10,Paramètres!$A$1:$I$89,3,0)*0.475*44/12</f>
        <v>0.27938853291047466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6.2376225658571904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268.00000000000023</v>
      </c>
      <c r="BE200" s="13">
        <f>BD200*VLOOKUP('Données projet'!$B$11,Paramètres!$A$1:$I$89,3,0)*VLOOKUP('Données projet'!$B$11,Paramètres!$A$1:$I$89,5,0)</f>
        <v>175.59360000000015</v>
      </c>
      <c r="BF200" s="13">
        <f t="shared" si="167"/>
        <v>44.340433728638573</v>
      </c>
      <c r="BG200" s="20">
        <f t="shared" si="168"/>
        <v>383.05177541071242</v>
      </c>
      <c r="BH200" s="59">
        <f t="shared" si="194"/>
        <v>676.38510874404574</v>
      </c>
      <c r="BI200" s="59">
        <f ca="1">AVERAGE(OFFSET($BH$3,0,0,'Données projet'!$E$11+1,1))-AVERAGE(OFFSET($H$3,0,0,'Données projet'!$E$11+1,1))</f>
        <v>209.40885738157152</v>
      </c>
      <c r="BJ200" s="59">
        <f t="shared" si="206"/>
        <v>230.15385333954697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0.75789153076359894</v>
      </c>
      <c r="BQ200" s="21">
        <f>EXP(-LN(2)/25)*BQ199+(1-EXP(-LN(2)/25))/(LN(2)/25)*Calculateur!BL200*Calculateur!BN200*VLOOKUP('Données projet'!$B$11,Paramètres!$A$1:$I$89,3,0)*0.475*44/12</f>
        <v>0.81800496924160315</v>
      </c>
      <c r="BR200" s="21">
        <f>EXP(-LN(2)/2)*BR199+(1-EXP(-LN(2)/2))/(LN(2)/2)*BL200*BO200*VLOOKUP('Données projet'!$B$11,Paramètres!$A$1:$I$89,3,0)*0.475*44/12</f>
        <v>1.0709628029956353E-16</v>
      </c>
      <c r="BS200" s="22">
        <f t="shared" si="169"/>
        <v>1.5758965000052021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5.6843418860808015E-13</v>
      </c>
      <c r="BZ200" s="13">
        <f>BY200*VLOOKUP('Données projet'!$B$12,Paramètres!$A$1:$I$89,3,0)*VLOOKUP('Données projet'!$B$12,Paramètres!$A$1:$I$89,5,0)</f>
        <v>5.1431925385259092E-13</v>
      </c>
      <c r="CA200" s="13">
        <f t="shared" si="170"/>
        <v>6.3855359115685756E-12</v>
      </c>
      <c r="CB200" s="20">
        <f t="shared" si="171"/>
        <v>1.2017247746441865E-11</v>
      </c>
      <c r="CC200" s="59">
        <f t="shared" si="195"/>
        <v>293.33333333334531</v>
      </c>
      <c r="CD200" s="59">
        <f ca="1">AVERAGE(OFFSET($CC$3,0,0,'Données projet'!$E$12+1,1))-AVERAGE(OFFSET($H$3,0,0,'Données projet'!$E$12+1,1))</f>
        <v>270.87836509222456</v>
      </c>
      <c r="CE200" s="59">
        <f t="shared" si="207"/>
        <v>205.24998237949734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46.270429695912867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46.270429695912867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212.00000000000009</v>
      </c>
      <c r="CU200" s="17">
        <f>CT200*VLOOKUP('Données projet'!$B$13,Paramètres!$A$1:$I$89,3,0)*VLOOKUP('Données projet'!$B$13,Paramètres!$A$1:$I$89,5,0)</f>
        <v>185.20320000000009</v>
      </c>
      <c r="CV200" s="13">
        <f t="shared" si="173"/>
        <v>46.477875402099386</v>
      </c>
      <c r="CW200" s="20">
        <f t="shared" si="174"/>
        <v>403.5112063253232</v>
      </c>
      <c r="CX200" s="59">
        <f t="shared" si="196"/>
        <v>696.84453965865646</v>
      </c>
      <c r="CY200" s="59">
        <f ca="1">AVERAGE(OFFSET($CX$3,0,0,'Données projet'!$E$13+1,1))-AVERAGE(OFFSET($H$3,0,0,'Données projet'!$E$13+1,1))</f>
        <v>207.4513063267579</v>
      </c>
      <c r="CZ200" s="59">
        <f t="shared" si="208"/>
        <v>191.63513530247218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2.1873031226597286</v>
      </c>
      <c r="DG200" s="21">
        <f>EXP(-LN(2)/25)*DG199+(1-EXP(-LN(2)/25))/(LN(2)/25)*Calculateur!DB200*Calculateur!DD200*VLOOKUP('Données projet'!$B$13,Paramètres!$A$1:$I$89,3,0)*0.475*44/12</f>
        <v>0.9500184651795508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3.1373215878392795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66.814714696519275</v>
      </c>
      <c r="T201" s="59">
        <f t="shared" si="204"/>
        <v>199.56746335788068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1.3932151624229774</v>
      </c>
      <c r="AA201" s="21">
        <f>EXP(-LN(2)/25)*AA200+(1-EXP(-LN(2)/25))/(LN(2)/25)*Calculateur!V201*Calculateur!X201*VLOOKUP('Données projet'!$B$9,Paramètres!$A$1:$I$89,3,0)*0.475*44/12</f>
        <v>7.2596725711149349E-2</v>
      </c>
      <c r="AB201" s="21">
        <f>EXP(-LN(2)/2)*AB200+(1-EXP(-LN(2)/2))/(LN(2)/2)*V201*Y201*VLOOKUP('Données projet'!$B$9,Paramètres!$A$1:$I$89,3,0)*0.475*44/12</f>
        <v>2.3299697304139497E-26</v>
      </c>
      <c r="AC201" s="22">
        <f t="shared" si="163"/>
        <v>1.4658118881341267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367.99999999999972</v>
      </c>
      <c r="AJ201" s="13">
        <f>AI201*VLOOKUP('Données projet'!$B$10,Paramètres!$A$1:$I$89,3,0)*VLOOKUP('Données projet'!$B$10,Paramètres!$A$1:$I$89,5,0)</f>
        <v>292.78079999999977</v>
      </c>
      <c r="AK201" s="13">
        <f t="shared" si="164"/>
        <v>69.660903052386217</v>
      </c>
      <c r="AL201" s="20">
        <f t="shared" si="165"/>
        <v>631.25263281623893</v>
      </c>
      <c r="AM201" s="59">
        <f t="shared" si="193"/>
        <v>924.58596614957219</v>
      </c>
      <c r="AN201" s="59">
        <f ca="1">AVERAGE(OFFSET($AM$3,0,0,'Données projet'!$E$10+1,1))-AVERAGE(OFFSET($H$3,0,0,'Données projet'!$E$10+1,1))</f>
        <v>325.72928944930294</v>
      </c>
      <c r="AO201" s="59">
        <f t="shared" si="205"/>
        <v>318.38876834819752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5.8413966977245471</v>
      </c>
      <c r="AV201" s="21">
        <f>EXP(-LN(2)/25)*AV200+(1-EXP(-LN(2)/25))/(LN(2)/25)*Calculateur!AQ201*Calculateur!AS201*VLOOKUP('Données projet'!$B$10,Paramètres!$A$1:$I$89,3,0)*0.475*44/12</f>
        <v>0.27174863878563332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6.11314533651018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268.00000000000023</v>
      </c>
      <c r="BE201" s="13">
        <f>BD201*VLOOKUP('Données projet'!$B$11,Paramètres!$A$1:$I$89,3,0)*VLOOKUP('Données projet'!$B$11,Paramètres!$A$1:$I$89,5,0)</f>
        <v>175.59360000000015</v>
      </c>
      <c r="BF201" s="13">
        <f t="shared" si="167"/>
        <v>44.340433728638573</v>
      </c>
      <c r="BG201" s="20">
        <f t="shared" si="168"/>
        <v>383.05177541071242</v>
      </c>
      <c r="BH201" s="59">
        <f t="shared" si="194"/>
        <v>676.38510874404574</v>
      </c>
      <c r="BI201" s="59">
        <f ca="1">AVERAGE(OFFSET($BH$3,0,0,'Données projet'!$E$11+1,1))-AVERAGE(OFFSET($H$3,0,0,'Données projet'!$E$11+1,1))</f>
        <v>209.40885738157152</v>
      </c>
      <c r="BJ201" s="59">
        <f t="shared" si="206"/>
        <v>230.15385333954697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0.7430297401135133</v>
      </c>
      <c r="BQ201" s="21">
        <f>EXP(-LN(2)/25)*BQ200+(1-EXP(-LN(2)/25))/(LN(2)/25)*Calculateur!BL201*Calculateur!BN201*VLOOKUP('Données projet'!$B$11,Paramètres!$A$1:$I$89,3,0)*0.475*44/12</f>
        <v>0.79563658034067974</v>
      </c>
      <c r="BR201" s="21">
        <f>EXP(-LN(2)/2)*BR200+(1-EXP(-LN(2)/2))/(LN(2)/2)*BL201*BO201*VLOOKUP('Données projet'!$B$11,Paramètres!$A$1:$I$89,3,0)*0.475*44/12</f>
        <v>7.5728506039676627E-17</v>
      </c>
      <c r="BS201" s="22">
        <f t="shared" si="169"/>
        <v>1.538666320454193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5.6843418860808015E-13</v>
      </c>
      <c r="BZ201" s="13">
        <f>BY201*VLOOKUP('Données projet'!$B$12,Paramètres!$A$1:$I$89,3,0)*VLOOKUP('Données projet'!$B$12,Paramètres!$A$1:$I$89,5,0)</f>
        <v>5.1431925385259092E-13</v>
      </c>
      <c r="CA201" s="13">
        <f t="shared" si="170"/>
        <v>6.3855359115685756E-12</v>
      </c>
      <c r="CB201" s="20">
        <f t="shared" si="171"/>
        <v>1.2017247746441865E-11</v>
      </c>
      <c r="CC201" s="59">
        <f t="shared" si="195"/>
        <v>293.33333333334531</v>
      </c>
      <c r="CD201" s="59">
        <f ca="1">AVERAGE(OFFSET($CC$3,0,0,'Données projet'!$E$12+1,1))-AVERAGE(OFFSET($H$3,0,0,'Données projet'!$E$12+1,1))</f>
        <v>270.87836509222456</v>
      </c>
      <c r="CE201" s="59">
        <f t="shared" si="207"/>
        <v>205.24998237949734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45.363094791751422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45.363094791751422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212.00000000000009</v>
      </c>
      <c r="CU201" s="17">
        <f>CT201*VLOOKUP('Données projet'!$B$13,Paramètres!$A$1:$I$89,3,0)*VLOOKUP('Données projet'!$B$13,Paramètres!$A$1:$I$89,5,0)</f>
        <v>185.20320000000009</v>
      </c>
      <c r="CV201" s="13">
        <f t="shared" si="173"/>
        <v>46.477875402099386</v>
      </c>
      <c r="CW201" s="20">
        <f t="shared" si="174"/>
        <v>403.5112063253232</v>
      </c>
      <c r="CX201" s="59">
        <f t="shared" si="196"/>
        <v>696.84453965865646</v>
      </c>
      <c r="CY201" s="59">
        <f ca="1">AVERAGE(OFFSET($CX$3,0,0,'Données projet'!$E$13+1,1))-AVERAGE(OFFSET($H$3,0,0,'Données projet'!$E$13+1,1))</f>
        <v>207.4513063267579</v>
      </c>
      <c r="CZ201" s="59">
        <f t="shared" si="208"/>
        <v>191.63513530247218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2.1444114425475425</v>
      </c>
      <c r="DG201" s="21">
        <f>EXP(-LN(2)/25)*DG200+(1-EXP(-LN(2)/25))/(LN(2)/25)*Calculateur!DB201*Calculateur!DD201*VLOOKUP('Données projet'!$B$13,Paramètres!$A$1:$I$89,3,0)*0.475*44/12</f>
        <v>0.9240401602899162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3.0684516028374587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66.814714696519275</v>
      </c>
      <c r="T202" s="59">
        <f t="shared" si="204"/>
        <v>199.56746335788068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1.3658950628652033</v>
      </c>
      <c r="AA202" s="21">
        <f>EXP(-LN(2)/25)*AA201+(1-EXP(-LN(2)/25))/(LN(2)/25)*Calculateur!V202*Calculateur!X202*VLOOKUP('Données projet'!$B$9,Paramètres!$A$1:$I$89,3,0)*0.475*44/12</f>
        <v>7.0611564428882084E-2</v>
      </c>
      <c r="AB202" s="21">
        <f>EXP(-LN(2)/2)*AB201+(1-EXP(-LN(2)/2))/(LN(2)/2)*V202*Y202*VLOOKUP('Données projet'!$B$9,Paramètres!$A$1:$I$89,3,0)*0.475*44/12</f>
        <v>1.6475373963350958E-26</v>
      </c>
      <c r="AC202" s="22">
        <f t="shared" si="163"/>
        <v>1.4365066272940854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367.99999999999972</v>
      </c>
      <c r="AJ202" s="13">
        <f>AI202*VLOOKUP('Données projet'!$B$10,Paramètres!$A$1:$I$89,3,0)*VLOOKUP('Données projet'!$B$10,Paramètres!$A$1:$I$89,5,0)</f>
        <v>292.78079999999977</v>
      </c>
      <c r="AK202" s="13">
        <f t="shared" si="164"/>
        <v>69.660903052386217</v>
      </c>
      <c r="AL202" s="20">
        <f t="shared" si="165"/>
        <v>631.25263281623893</v>
      </c>
      <c r="AM202" s="59">
        <f t="shared" si="193"/>
        <v>924.58596614957219</v>
      </c>
      <c r="AN202" s="59">
        <f ca="1">AVERAGE(OFFSET($AM$3,0,0,'Données projet'!$E$10+1,1))-AVERAGE(OFFSET($H$3,0,0,'Données projet'!$E$10+1,1))</f>
        <v>325.72928944930294</v>
      </c>
      <c r="AO202" s="59">
        <f t="shared" si="205"/>
        <v>318.38876834819752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5.7268504713823472</v>
      </c>
      <c r="AV202" s="21">
        <f>EXP(-LN(2)/25)*AV201+(1-EXP(-LN(2)/25))/(LN(2)/25)*Calculateur!AQ202*Calculateur!AS202*VLOOKUP('Données projet'!$B$10,Paramètres!$A$1:$I$89,3,0)*0.475*44/12</f>
        <v>0.26431765796740037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5.9911681293497479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268.00000000000023</v>
      </c>
      <c r="BE202" s="13">
        <f>BD202*VLOOKUP('Données projet'!$B$11,Paramètres!$A$1:$I$89,3,0)*VLOOKUP('Données projet'!$B$11,Paramètres!$A$1:$I$89,5,0)</f>
        <v>175.59360000000015</v>
      </c>
      <c r="BF202" s="13">
        <f t="shared" si="167"/>
        <v>44.340433728638573</v>
      </c>
      <c r="BG202" s="20">
        <f t="shared" si="168"/>
        <v>383.05177541071242</v>
      </c>
      <c r="BH202" s="59">
        <f t="shared" si="194"/>
        <v>676.38510874404574</v>
      </c>
      <c r="BI202" s="59">
        <f ca="1">AVERAGE(OFFSET($BH$3,0,0,'Données projet'!$E$11+1,1))-AVERAGE(OFFSET($H$3,0,0,'Données projet'!$E$11+1,1))</f>
        <v>209.40885738157152</v>
      </c>
      <c r="BJ202" s="59">
        <f t="shared" si="206"/>
        <v>230.15385333954697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0.72845938011327871</v>
      </c>
      <c r="BQ202" s="21">
        <f>EXP(-LN(2)/25)*BQ201+(1-EXP(-LN(2)/25))/(LN(2)/25)*Calculateur!BL202*Calculateur!BN202*VLOOKUP('Données projet'!$B$11,Paramètres!$A$1:$I$89,3,0)*0.475*44/12</f>
        <v>0.77387985621055455</v>
      </c>
      <c r="BR202" s="21">
        <f>EXP(-LN(2)/2)*BR201+(1-EXP(-LN(2)/2))/(LN(2)/2)*BL202*BO202*VLOOKUP('Données projet'!$B$11,Paramètres!$A$1:$I$89,3,0)*0.475*44/12</f>
        <v>5.3548140149781764E-17</v>
      </c>
      <c r="BS202" s="22">
        <f t="shared" si="169"/>
        <v>1.5023392363238333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5.6843418860808015E-13</v>
      </c>
      <c r="BZ202" s="13">
        <f>BY202*VLOOKUP('Données projet'!$B$12,Paramètres!$A$1:$I$89,3,0)*VLOOKUP('Données projet'!$B$12,Paramètres!$A$1:$I$89,5,0)</f>
        <v>5.1431925385259092E-13</v>
      </c>
      <c r="CA202" s="13">
        <f t="shared" si="170"/>
        <v>6.3855359115685756E-12</v>
      </c>
      <c r="CB202" s="20">
        <f t="shared" si="171"/>
        <v>1.2017247746441865E-11</v>
      </c>
      <c r="CC202" s="59">
        <f t="shared" si="195"/>
        <v>293.33333333334531</v>
      </c>
      <c r="CD202" s="59">
        <f ca="1">AVERAGE(OFFSET($CC$3,0,0,'Données projet'!$E$12+1,1))-AVERAGE(OFFSET($H$3,0,0,'Données projet'!$E$12+1,1))</f>
        <v>270.87836509222456</v>
      </c>
      <c r="CE202" s="59">
        <f t="shared" si="207"/>
        <v>205.24998237949734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44.473552171640939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44.473552171640939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212.00000000000009</v>
      </c>
      <c r="CU202" s="17">
        <f>CT202*VLOOKUP('Données projet'!$B$13,Paramètres!$A$1:$I$89,3,0)*VLOOKUP('Données projet'!$B$13,Paramètres!$A$1:$I$89,5,0)</f>
        <v>185.20320000000009</v>
      </c>
      <c r="CV202" s="13">
        <f t="shared" si="173"/>
        <v>46.477875402099386</v>
      </c>
      <c r="CW202" s="20">
        <f t="shared" si="174"/>
        <v>403.5112063253232</v>
      </c>
      <c r="CX202" s="59">
        <f t="shared" si="196"/>
        <v>696.84453965865646</v>
      </c>
      <c r="CY202" s="59">
        <f ca="1">AVERAGE(OFFSET($CX$3,0,0,'Données projet'!$E$13+1,1))-AVERAGE(OFFSET($H$3,0,0,'Données projet'!$E$13+1,1))</f>
        <v>207.4513063267579</v>
      </c>
      <c r="CZ202" s="59">
        <f t="shared" si="208"/>
        <v>191.63513530247218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2.1023608421210147</v>
      </c>
      <c r="DG202" s="21">
        <f>EXP(-LN(2)/25)*DG201+(1-EXP(-LN(2)/25))/(LN(2)/25)*Calculateur!DB202*Calculateur!DD202*VLOOKUP('Données projet'!$B$13,Paramètres!$A$1:$I$89,3,0)*0.475*44/12</f>
        <v>0.89877223351362834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3.0011330756346428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66.814714696519275</v>
      </c>
      <c r="T203" s="59">
        <f t="shared" si="204"/>
        <v>199.56746335788068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1.3391106937961419</v>
      </c>
      <c r="AA203" s="21">
        <f>EXP(-LN(2)/25)*AA202+(1-EXP(-LN(2)/25))/(LN(2)/25)*Calculateur!V203*Calculateur!X203*VLOOKUP('Données projet'!$B$9,Paramètres!$A$1:$I$89,3,0)*0.475*44/12</f>
        <v>6.8680687486273512E-2</v>
      </c>
      <c r="AB203" s="21">
        <f>EXP(-LN(2)/2)*AB202+(1-EXP(-LN(2)/2))/(LN(2)/2)*V203*Y203*VLOOKUP('Données projet'!$B$9,Paramètres!$A$1:$I$89,3,0)*0.475*44/12</f>
        <v>1.1649848652069749E-26</v>
      </c>
      <c r="AC203" s="22">
        <f t="shared" si="163"/>
        <v>1.4077913812824154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367.99999999999972</v>
      </c>
      <c r="AJ203" s="13">
        <f>AI203*VLOOKUP('Données projet'!$B$10,Paramètres!$A$1:$I$89,3,0)*VLOOKUP('Données projet'!$B$10,Paramètres!$A$1:$I$89,5,0)</f>
        <v>292.78079999999977</v>
      </c>
      <c r="AK203" s="13">
        <f t="shared" si="164"/>
        <v>69.660903052386217</v>
      </c>
      <c r="AL203" s="20">
        <f t="shared" si="165"/>
        <v>631.25263281623893</v>
      </c>
      <c r="AM203" s="59">
        <f t="shared" si="193"/>
        <v>924.58596614957219</v>
      </c>
      <c r="AN203" s="59">
        <f ca="1">AVERAGE(OFFSET($AM$3,0,0,'Données projet'!$E$10+1,1))-AVERAGE(OFFSET($H$3,0,0,'Données projet'!$E$10+1,1))</f>
        <v>325.72928944930294</v>
      </c>
      <c r="AO203" s="59">
        <f t="shared" si="205"/>
        <v>318.38876834819752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5.6145504266724187</v>
      </c>
      <c r="AV203" s="21">
        <f>EXP(-LN(2)/25)*AV202+(1-EXP(-LN(2)/25))/(LN(2)/25)*Calculateur!AQ203*Calculateur!AS203*VLOOKUP('Données projet'!$B$10,Paramètres!$A$1:$I$89,3,0)*0.475*44/12</f>
        <v>0.2570898777104203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5.8716403043828391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268.00000000000023</v>
      </c>
      <c r="BE203" s="13">
        <f>BD203*VLOOKUP('Données projet'!$B$11,Paramètres!$A$1:$I$89,3,0)*VLOOKUP('Données projet'!$B$11,Paramètres!$A$1:$I$89,5,0)</f>
        <v>175.59360000000015</v>
      </c>
      <c r="BF203" s="13">
        <f t="shared" si="167"/>
        <v>44.340433728638573</v>
      </c>
      <c r="BG203" s="20">
        <f t="shared" si="168"/>
        <v>383.05177541071242</v>
      </c>
      <c r="BH203" s="59">
        <f t="shared" si="194"/>
        <v>676.38510874404574</v>
      </c>
      <c r="BI203" s="59">
        <f ca="1">AVERAGE(OFFSET($BH$3,0,0,'Données projet'!$E$11+1,1))-AVERAGE(OFFSET($H$3,0,0,'Données projet'!$E$11+1,1))</f>
        <v>209.40885738157152</v>
      </c>
      <c r="BJ203" s="59">
        <f t="shared" si="206"/>
        <v>230.15385333954697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0.71417473598560655</v>
      </c>
      <c r="BQ203" s="21">
        <f>EXP(-LN(2)/25)*BQ202+(1-EXP(-LN(2)/25))/(LN(2)/25)*Calculateur!BL203*Calculateur!BN203*VLOOKUP('Données projet'!$B$11,Paramètres!$A$1:$I$89,3,0)*0.475*44/12</f>
        <v>0.75271807084590403</v>
      </c>
      <c r="BR203" s="21">
        <f>EXP(-LN(2)/2)*BR202+(1-EXP(-LN(2)/2))/(LN(2)/2)*BL203*BO203*VLOOKUP('Données projet'!$B$11,Paramètres!$A$1:$I$89,3,0)*0.475*44/12</f>
        <v>3.7864253019838314E-17</v>
      </c>
      <c r="BS203" s="22">
        <f t="shared" si="169"/>
        <v>1.4668928068315106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5.6843418860808015E-13</v>
      </c>
      <c r="BZ203" s="13">
        <f>BY203*VLOOKUP('Données projet'!$B$12,Paramètres!$A$1:$I$89,3,0)*VLOOKUP('Données projet'!$B$12,Paramètres!$A$1:$I$89,5,0)</f>
        <v>5.1431925385259092E-13</v>
      </c>
      <c r="CA203" s="13">
        <f t="shared" si="170"/>
        <v>6.3855359115685756E-12</v>
      </c>
      <c r="CB203" s="20">
        <f t="shared" si="171"/>
        <v>1.2017247746441865E-11</v>
      </c>
      <c r="CC203" s="59">
        <f t="shared" si="195"/>
        <v>293.33333333334531</v>
      </c>
      <c r="CD203" s="59">
        <f ca="1">AVERAGE(OFFSET($CC$3,0,0,'Données projet'!$E$12+1,1))-AVERAGE(OFFSET($H$3,0,0,'Données projet'!$E$12+1,1))</f>
        <v>270.87836509222456</v>
      </c>
      <c r="CE203" s="59">
        <f t="shared" si="207"/>
        <v>205.24998237949734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43.601452939743396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43.601452939743396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212.00000000000009</v>
      </c>
      <c r="CU203" s="17">
        <f>CT203*VLOOKUP('Données projet'!$B$13,Paramètres!$A$1:$I$89,3,0)*VLOOKUP('Données projet'!$B$13,Paramètres!$A$1:$I$89,5,0)</f>
        <v>185.20320000000009</v>
      </c>
      <c r="CV203" s="13">
        <f t="shared" si="173"/>
        <v>46.477875402099386</v>
      </c>
      <c r="CW203" s="20">
        <f t="shared" si="174"/>
        <v>403.5112063253232</v>
      </c>
      <c r="CX203" s="59">
        <f t="shared" si="196"/>
        <v>696.84453965865646</v>
      </c>
      <c r="CY203" s="59">
        <f ca="1">AVERAGE(OFFSET($CX$3,0,0,'Données projet'!$E$13+1,1))-AVERAGE(OFFSET($H$3,0,0,'Données projet'!$E$13+1,1))</f>
        <v>207.4513063267579</v>
      </c>
      <c r="CZ203" s="59">
        <f t="shared" si="208"/>
        <v>191.63513530247218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2.0611348283205175</v>
      </c>
      <c r="DG203" s="21">
        <f>EXP(-LN(2)/25)*DG202+(1-EXP(-LN(2)/25))/(LN(2)/25)*Calculateur!DB203*Calculateur!DD203*VLOOKUP('Données projet'!$B$13,Paramètres!$A$1:$I$89,3,0)*0.475*44/12</f>
        <v>0.8741952595238206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2.935330087844338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103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103</v>
      </c>
      <c r="BA204" s="81" t="s">
        <v>103</v>
      </c>
      <c r="BV204" s="81" t="s">
        <v>103</v>
      </c>
      <c r="CQ204" s="81" t="s">
        <v>103</v>
      </c>
      <c r="DL204" s="81" t="s">
        <v>103</v>
      </c>
      <c r="EG204" s="81" t="s">
        <v>103</v>
      </c>
      <c r="FB204" s="81" t="s">
        <v>103</v>
      </c>
      <c r="FW204" s="81" t="s">
        <v>103</v>
      </c>
      <c r="GR204" s="81" t="s">
        <v>103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1.3094437062921891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1.3423796509621049</v>
      </c>
      <c r="BA205" s="82">
        <f>EXP(LN('Données projet'!B88)/'Données projet'!A88)</f>
        <v>1.3020054543174677</v>
      </c>
      <c r="BV205" s="82">
        <f>EXP(LN('Données projet'!B114)/'Données projet'!A114)</f>
        <v>1.1736311550444201</v>
      </c>
      <c r="CQ205" s="82">
        <f>EXP(LN('Données projet'!B140)/'Données projet'!A140)</f>
        <v>1.335141362540313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104</v>
      </c>
      <c r="B1" s="112" t="s">
        <v>105</v>
      </c>
      <c r="C1" s="113" t="s">
        <v>106</v>
      </c>
      <c r="D1" s="112" t="s">
        <v>107</v>
      </c>
      <c r="E1" s="113" t="s">
        <v>108</v>
      </c>
      <c r="F1" s="113" t="s">
        <v>107</v>
      </c>
      <c r="G1" s="113" t="s">
        <v>109</v>
      </c>
      <c r="H1" s="113" t="s">
        <v>107</v>
      </c>
      <c r="I1" s="114" t="s">
        <v>110</v>
      </c>
      <c r="J1" s="78"/>
      <c r="K1" s="78"/>
      <c r="L1" s="78"/>
      <c r="M1" s="78"/>
      <c r="N1" s="78"/>
    </row>
    <row r="2" spans="1:16" x14ac:dyDescent="0.35">
      <c r="A2" s="115" t="s">
        <v>111</v>
      </c>
      <c r="B2" s="116" t="s">
        <v>112</v>
      </c>
      <c r="C2" s="117">
        <v>0.62</v>
      </c>
      <c r="D2" s="117" t="s">
        <v>113</v>
      </c>
      <c r="E2" s="117">
        <v>1.56</v>
      </c>
      <c r="F2" s="117" t="s">
        <v>114</v>
      </c>
      <c r="G2" s="118">
        <v>0.43</v>
      </c>
      <c r="H2" s="119" t="s">
        <v>115</v>
      </c>
      <c r="I2" s="120">
        <v>0.25</v>
      </c>
      <c r="J2" s="78"/>
      <c r="K2" s="78"/>
      <c r="L2" s="78"/>
      <c r="M2" s="78"/>
      <c r="N2" s="78"/>
      <c r="O2" s="281" t="s">
        <v>116</v>
      </c>
      <c r="P2" s="121">
        <v>0</v>
      </c>
    </row>
    <row r="3" spans="1:16" ht="15" thickBot="1" x14ac:dyDescent="0.4">
      <c r="A3" s="122" t="s">
        <v>117</v>
      </c>
      <c r="B3" s="123" t="s">
        <v>118</v>
      </c>
      <c r="C3" s="124">
        <v>0.64</v>
      </c>
      <c r="D3" s="124" t="s">
        <v>113</v>
      </c>
      <c r="E3" s="124">
        <v>1.56</v>
      </c>
      <c r="F3" s="125" t="s">
        <v>114</v>
      </c>
      <c r="G3" s="126">
        <v>0.43</v>
      </c>
      <c r="H3" s="124" t="s">
        <v>115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">
      <c r="A4" s="122" t="s">
        <v>119</v>
      </c>
      <c r="B4" s="123" t="s">
        <v>120</v>
      </c>
      <c r="C4" s="124">
        <v>0.42</v>
      </c>
      <c r="D4" s="124" t="s">
        <v>113</v>
      </c>
      <c r="E4" s="124">
        <v>1.56</v>
      </c>
      <c r="F4" s="125" t="s">
        <v>114</v>
      </c>
      <c r="G4" s="126">
        <v>0.43</v>
      </c>
      <c r="H4" s="124" t="s">
        <v>115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21</v>
      </c>
      <c r="B5" s="123" t="s">
        <v>121</v>
      </c>
      <c r="C5" s="124">
        <v>0.42</v>
      </c>
      <c r="D5" s="124" t="s">
        <v>113</v>
      </c>
      <c r="E5" s="124">
        <v>1.56</v>
      </c>
      <c r="F5" s="125" t="s">
        <v>114</v>
      </c>
      <c r="G5" s="126">
        <v>0.43</v>
      </c>
      <c r="H5" s="124" t="s">
        <v>115</v>
      </c>
      <c r="I5" s="127">
        <v>0.25</v>
      </c>
      <c r="J5" s="78"/>
      <c r="K5" s="78"/>
      <c r="L5" s="78"/>
      <c r="M5" s="78"/>
      <c r="N5" s="78"/>
      <c r="O5" s="281" t="s">
        <v>122</v>
      </c>
      <c r="P5" s="121">
        <v>0</v>
      </c>
    </row>
    <row r="6" spans="1:16" x14ac:dyDescent="0.35">
      <c r="A6" s="122" t="s">
        <v>123</v>
      </c>
      <c r="B6" s="123" t="s">
        <v>124</v>
      </c>
      <c r="C6" s="124">
        <v>0.42</v>
      </c>
      <c r="D6" s="124" t="s">
        <v>113</v>
      </c>
      <c r="E6" s="124">
        <v>1.56</v>
      </c>
      <c r="F6" s="125" t="s">
        <v>114</v>
      </c>
      <c r="G6" s="126">
        <v>0.43</v>
      </c>
      <c r="H6" s="124" t="s">
        <v>115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5">
      <c r="A7" s="122" t="s">
        <v>125</v>
      </c>
      <c r="B7" s="123" t="s">
        <v>126</v>
      </c>
      <c r="C7" s="124">
        <v>0.52</v>
      </c>
      <c r="D7" s="124" t="s">
        <v>113</v>
      </c>
      <c r="E7" s="124">
        <v>1.56</v>
      </c>
      <c r="F7" s="125" t="s">
        <v>114</v>
      </c>
      <c r="G7" s="126">
        <v>0.43</v>
      </c>
      <c r="H7" s="124" t="s">
        <v>115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">
      <c r="A8" s="122" t="s">
        <v>127</v>
      </c>
      <c r="B8" s="123" t="s">
        <v>128</v>
      </c>
      <c r="C8" s="124">
        <v>0.36</v>
      </c>
      <c r="D8" s="124" t="s">
        <v>113</v>
      </c>
      <c r="E8" s="124">
        <v>1.3</v>
      </c>
      <c r="F8" s="125" t="s">
        <v>114</v>
      </c>
      <c r="G8" s="126">
        <v>0.55000000000000004</v>
      </c>
      <c r="H8" s="124" t="s">
        <v>129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">
      <c r="A9" s="122" t="s">
        <v>130</v>
      </c>
      <c r="B9" s="123" t="s">
        <v>131</v>
      </c>
      <c r="C9" s="124">
        <v>0.61</v>
      </c>
      <c r="D9" s="124" t="s">
        <v>113</v>
      </c>
      <c r="E9" s="124">
        <v>1.56</v>
      </c>
      <c r="F9" s="125" t="s">
        <v>114</v>
      </c>
      <c r="G9" s="126">
        <v>0.43</v>
      </c>
      <c r="H9" s="124" t="s">
        <v>115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132</v>
      </c>
      <c r="B10" s="123" t="s">
        <v>133</v>
      </c>
      <c r="C10" s="124">
        <v>0.66</v>
      </c>
      <c r="D10" s="124" t="s">
        <v>113</v>
      </c>
      <c r="E10" s="124">
        <v>1.56</v>
      </c>
      <c r="F10" s="125" t="s">
        <v>114</v>
      </c>
      <c r="G10" s="126">
        <v>0.43</v>
      </c>
      <c r="H10" s="124" t="s">
        <v>115</v>
      </c>
      <c r="I10" s="127">
        <v>0.25</v>
      </c>
      <c r="J10" s="78"/>
      <c r="K10" s="78"/>
      <c r="L10" s="78"/>
      <c r="M10" s="78"/>
      <c r="N10" s="78"/>
      <c r="O10" s="281" t="s">
        <v>134</v>
      </c>
      <c r="P10" s="121">
        <v>0</v>
      </c>
    </row>
    <row r="11" spans="1:16" ht="15" thickBot="1" x14ac:dyDescent="0.4">
      <c r="A11" s="122" t="s">
        <v>135</v>
      </c>
      <c r="B11" s="123" t="s">
        <v>136</v>
      </c>
      <c r="C11" s="124">
        <v>0.47</v>
      </c>
      <c r="D11" s="124" t="s">
        <v>113</v>
      </c>
      <c r="E11" s="124">
        <v>1.56</v>
      </c>
      <c r="F11" s="125" t="s">
        <v>114</v>
      </c>
      <c r="G11" s="126">
        <v>0.43</v>
      </c>
      <c r="H11" s="124" t="s">
        <v>115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5">
      <c r="A12" s="122" t="s">
        <v>137</v>
      </c>
      <c r="B12" s="123" t="s">
        <v>138</v>
      </c>
      <c r="C12" s="124">
        <v>0.67</v>
      </c>
      <c r="D12" s="124" t="s">
        <v>113</v>
      </c>
      <c r="E12" s="124">
        <v>1.56</v>
      </c>
      <c r="F12" s="125" t="s">
        <v>114</v>
      </c>
      <c r="G12" s="126">
        <v>0.43</v>
      </c>
      <c r="H12" s="124" t="s">
        <v>139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140</v>
      </c>
      <c r="B13" s="123" t="s">
        <v>141</v>
      </c>
      <c r="C13" s="124">
        <v>0.7</v>
      </c>
      <c r="D13" s="124" t="s">
        <v>113</v>
      </c>
      <c r="E13" s="124">
        <v>1.56</v>
      </c>
      <c r="F13" s="125" t="s">
        <v>114</v>
      </c>
      <c r="G13" s="126">
        <v>0.43</v>
      </c>
      <c r="H13" s="124" t="s">
        <v>139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142</v>
      </c>
      <c r="B14" s="123" t="s">
        <v>143</v>
      </c>
      <c r="C14" s="124">
        <v>0.54</v>
      </c>
      <c r="D14" s="124" t="s">
        <v>113</v>
      </c>
      <c r="E14" s="124">
        <v>1.56</v>
      </c>
      <c r="F14" s="125" t="s">
        <v>114</v>
      </c>
      <c r="G14" s="126">
        <v>0.43</v>
      </c>
      <c r="H14" s="124" t="s">
        <v>139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144</v>
      </c>
      <c r="B15" s="123" t="s">
        <v>145</v>
      </c>
      <c r="C15" s="124">
        <v>0.65</v>
      </c>
      <c r="D15" s="124" t="s">
        <v>113</v>
      </c>
      <c r="E15" s="124">
        <v>1.56</v>
      </c>
      <c r="F15" s="125" t="s">
        <v>114</v>
      </c>
      <c r="G15" s="126">
        <v>0.43</v>
      </c>
      <c r="H15" s="124" t="s">
        <v>139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25</v>
      </c>
      <c r="B16" s="123" t="s">
        <v>146</v>
      </c>
      <c r="C16" s="124">
        <v>0.56000000000000005</v>
      </c>
      <c r="D16" s="124" t="s">
        <v>113</v>
      </c>
      <c r="E16" s="124">
        <v>1.56</v>
      </c>
      <c r="F16" s="125" t="s">
        <v>114</v>
      </c>
      <c r="G16" s="126">
        <v>0.43</v>
      </c>
      <c r="H16" s="124" t="s">
        <v>139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23</v>
      </c>
      <c r="B17" s="123" t="s">
        <v>147</v>
      </c>
      <c r="C17" s="124">
        <v>0.57999999999999996</v>
      </c>
      <c r="D17" s="124" t="s">
        <v>113</v>
      </c>
      <c r="E17" s="124">
        <v>1.56</v>
      </c>
      <c r="F17" s="125" t="s">
        <v>114</v>
      </c>
      <c r="G17" s="126">
        <v>0.43</v>
      </c>
      <c r="H17" s="124" t="s">
        <v>139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148</v>
      </c>
      <c r="B18" s="123" t="s">
        <v>149</v>
      </c>
      <c r="C18" s="124">
        <v>0.64</v>
      </c>
      <c r="D18" s="124" t="s">
        <v>113</v>
      </c>
      <c r="E18" s="124">
        <v>1.56</v>
      </c>
      <c r="F18" s="125" t="s">
        <v>114</v>
      </c>
      <c r="G18" s="126">
        <v>0.43</v>
      </c>
      <c r="H18" s="124" t="s">
        <v>139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150</v>
      </c>
      <c r="B19" s="123" t="s">
        <v>151</v>
      </c>
      <c r="C19" s="124">
        <v>0.73</v>
      </c>
      <c r="D19" s="124" t="s">
        <v>113</v>
      </c>
      <c r="E19" s="124">
        <v>1.56</v>
      </c>
      <c r="F19" s="125" t="s">
        <v>114</v>
      </c>
      <c r="G19" s="126">
        <v>0.43</v>
      </c>
      <c r="H19" s="124" t="s">
        <v>139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152</v>
      </c>
      <c r="B20" s="123" t="s">
        <v>153</v>
      </c>
      <c r="C20" s="124">
        <v>0.69</v>
      </c>
      <c r="D20" s="124" t="s">
        <v>154</v>
      </c>
      <c r="E20" s="124">
        <v>1.56</v>
      </c>
      <c r="F20" s="125" t="s">
        <v>114</v>
      </c>
      <c r="G20" s="126">
        <v>0.43</v>
      </c>
      <c r="H20" s="124" t="s">
        <v>155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156</v>
      </c>
      <c r="B21" s="123" t="s">
        <v>157</v>
      </c>
      <c r="C21" s="124">
        <v>0.36</v>
      </c>
      <c r="D21" s="124" t="s">
        <v>113</v>
      </c>
      <c r="E21" s="124">
        <v>1.3</v>
      </c>
      <c r="F21" s="125" t="s">
        <v>114</v>
      </c>
      <c r="G21" s="126">
        <v>0.55000000000000004</v>
      </c>
      <c r="H21" s="124" t="s">
        <v>129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158</v>
      </c>
      <c r="B22" s="123" t="s">
        <v>159</v>
      </c>
      <c r="C22" s="124">
        <v>0.4</v>
      </c>
      <c r="D22" s="124" t="s">
        <v>113</v>
      </c>
      <c r="E22" s="124">
        <v>1.3</v>
      </c>
      <c r="F22" s="125" t="s">
        <v>114</v>
      </c>
      <c r="G22" s="126">
        <v>0.55000000000000004</v>
      </c>
      <c r="H22" s="124" t="s">
        <v>129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160</v>
      </c>
      <c r="B23" s="123" t="s">
        <v>161</v>
      </c>
      <c r="C23" s="124">
        <v>0.43</v>
      </c>
      <c r="D23" s="124" t="s">
        <v>113</v>
      </c>
      <c r="E23" s="124">
        <v>1.3</v>
      </c>
      <c r="F23" s="125" t="s">
        <v>114</v>
      </c>
      <c r="G23" s="126">
        <v>0.55000000000000004</v>
      </c>
      <c r="H23" s="124" t="s">
        <v>129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162</v>
      </c>
      <c r="B24" s="123" t="s">
        <v>163</v>
      </c>
      <c r="C24" s="124">
        <v>0.37</v>
      </c>
      <c r="D24" s="124" t="s">
        <v>113</v>
      </c>
      <c r="E24" s="124">
        <v>1.3</v>
      </c>
      <c r="F24" s="125" t="s">
        <v>114</v>
      </c>
      <c r="G24" s="126">
        <v>0.55000000000000004</v>
      </c>
      <c r="H24" s="124" t="s">
        <v>139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164</v>
      </c>
      <c r="B25" s="123" t="s">
        <v>165</v>
      </c>
      <c r="C25" s="124">
        <v>0.36</v>
      </c>
      <c r="D25" s="124" t="s">
        <v>113</v>
      </c>
      <c r="E25" s="124">
        <v>1.3</v>
      </c>
      <c r="F25" s="125" t="s">
        <v>114</v>
      </c>
      <c r="G25" s="126">
        <v>0.55000000000000004</v>
      </c>
      <c r="H25" s="124" t="s">
        <v>139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166</v>
      </c>
      <c r="B26" s="123" t="s">
        <v>167</v>
      </c>
      <c r="C26" s="124">
        <v>0.56000000000000005</v>
      </c>
      <c r="D26" s="124" t="s">
        <v>113</v>
      </c>
      <c r="E26" s="124">
        <v>1.56</v>
      </c>
      <c r="F26" s="125" t="s">
        <v>114</v>
      </c>
      <c r="G26" s="126">
        <v>0.53</v>
      </c>
      <c r="H26" s="124" t="s">
        <v>168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19</v>
      </c>
      <c r="B27" s="123" t="s">
        <v>169</v>
      </c>
      <c r="C27" s="124">
        <v>0.51</v>
      </c>
      <c r="D27" s="124" t="s">
        <v>113</v>
      </c>
      <c r="E27" s="124">
        <v>1.56</v>
      </c>
      <c r="F27" s="125" t="s">
        <v>114</v>
      </c>
      <c r="G27" s="126">
        <v>0.53</v>
      </c>
      <c r="H27" s="124" t="s">
        <v>168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170</v>
      </c>
      <c r="B28" s="123" t="s">
        <v>171</v>
      </c>
      <c r="C28" s="124">
        <v>0.51</v>
      </c>
      <c r="D28" s="124" t="s">
        <v>113</v>
      </c>
      <c r="E28" s="124">
        <v>1.56</v>
      </c>
      <c r="F28" s="125" t="s">
        <v>114</v>
      </c>
      <c r="G28" s="126">
        <v>0.53</v>
      </c>
      <c r="H28" s="124" t="s">
        <v>168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172</v>
      </c>
      <c r="B29" s="123" t="s">
        <v>172</v>
      </c>
      <c r="C29" s="124">
        <v>0.56000000000000005</v>
      </c>
      <c r="D29" s="124" t="s">
        <v>113</v>
      </c>
      <c r="E29" s="124">
        <v>1.56</v>
      </c>
      <c r="F29" s="125" t="s">
        <v>114</v>
      </c>
      <c r="G29" s="126">
        <v>0.53</v>
      </c>
      <c r="H29" s="124" t="s">
        <v>168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173</v>
      </c>
      <c r="B30" s="123" t="s">
        <v>174</v>
      </c>
      <c r="C30" s="124">
        <v>0.55000000000000004</v>
      </c>
      <c r="D30" s="124" t="s">
        <v>113</v>
      </c>
      <c r="E30" s="124">
        <v>1.56</v>
      </c>
      <c r="F30" s="125" t="s">
        <v>114</v>
      </c>
      <c r="G30" s="126">
        <v>0.53</v>
      </c>
      <c r="H30" s="124" t="s">
        <v>139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175</v>
      </c>
      <c r="B31" s="123" t="s">
        <v>176</v>
      </c>
      <c r="C31" s="124">
        <v>0.56000000000000005</v>
      </c>
      <c r="D31" s="124" t="s">
        <v>113</v>
      </c>
      <c r="E31" s="124">
        <v>1.56</v>
      </c>
      <c r="F31" s="125" t="s">
        <v>114</v>
      </c>
      <c r="G31" s="126">
        <v>0.43</v>
      </c>
      <c r="H31" s="124" t="s">
        <v>115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177</v>
      </c>
      <c r="B32" s="123" t="s">
        <v>178</v>
      </c>
      <c r="C32" s="124">
        <v>0.48</v>
      </c>
      <c r="D32" s="124" t="s">
        <v>113</v>
      </c>
      <c r="E32" s="124">
        <v>1.3</v>
      </c>
      <c r="F32" s="125" t="s">
        <v>114</v>
      </c>
      <c r="G32" s="126">
        <v>0.6</v>
      </c>
      <c r="H32" s="124" t="s">
        <v>179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180</v>
      </c>
      <c r="B33" s="123" t="s">
        <v>181</v>
      </c>
      <c r="C33" s="124">
        <v>0.42</v>
      </c>
      <c r="D33" s="124" t="s">
        <v>113</v>
      </c>
      <c r="E33" s="124">
        <v>1.3</v>
      </c>
      <c r="F33" s="125" t="s">
        <v>114</v>
      </c>
      <c r="G33" s="126">
        <v>0.6</v>
      </c>
      <c r="H33" s="124" t="s">
        <v>179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182</v>
      </c>
      <c r="B34" s="123" t="s">
        <v>183</v>
      </c>
      <c r="C34" s="124">
        <v>0.42</v>
      </c>
      <c r="D34" s="124" t="s">
        <v>184</v>
      </c>
      <c r="E34" s="124">
        <v>1.3</v>
      </c>
      <c r="F34" s="125" t="s">
        <v>114</v>
      </c>
      <c r="G34" s="126">
        <v>0.6</v>
      </c>
      <c r="H34" s="123" t="s">
        <v>185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186</v>
      </c>
      <c r="B35" s="123" t="s">
        <v>187</v>
      </c>
      <c r="C35" s="124">
        <v>0.5</v>
      </c>
      <c r="D35" s="124" t="s">
        <v>113</v>
      </c>
      <c r="E35" s="124">
        <v>1.56</v>
      </c>
      <c r="F35" s="125" t="s">
        <v>114</v>
      </c>
      <c r="G35" s="126">
        <v>0.43</v>
      </c>
      <c r="H35" s="124" t="s">
        <v>115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188</v>
      </c>
      <c r="B36" s="123" t="s">
        <v>189</v>
      </c>
      <c r="C36" s="124">
        <v>0.55000000000000004</v>
      </c>
      <c r="D36" s="124" t="s">
        <v>113</v>
      </c>
      <c r="E36" s="124">
        <v>1.56</v>
      </c>
      <c r="F36" s="125" t="s">
        <v>114</v>
      </c>
      <c r="G36" s="126">
        <v>0.53</v>
      </c>
      <c r="H36" s="124" t="s">
        <v>168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190</v>
      </c>
      <c r="B37" s="123" t="s">
        <v>191</v>
      </c>
      <c r="C37" s="124">
        <v>0.52</v>
      </c>
      <c r="D37" s="124" t="s">
        <v>113</v>
      </c>
      <c r="E37" s="124">
        <v>1.56</v>
      </c>
      <c r="F37" s="125" t="s">
        <v>114</v>
      </c>
      <c r="G37" s="126">
        <v>0.53</v>
      </c>
      <c r="H37" s="124" t="s">
        <v>168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192</v>
      </c>
      <c r="B38" s="123" t="s">
        <v>193</v>
      </c>
      <c r="C38" s="124">
        <v>0.52</v>
      </c>
      <c r="D38" s="124" t="s">
        <v>113</v>
      </c>
      <c r="E38" s="124">
        <v>1.56</v>
      </c>
      <c r="F38" s="125" t="s">
        <v>114</v>
      </c>
      <c r="G38" s="126">
        <v>0.43</v>
      </c>
      <c r="H38" s="124" t="s">
        <v>115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194</v>
      </c>
      <c r="B39" s="123" t="s">
        <v>195</v>
      </c>
      <c r="C39" s="124">
        <v>0.313</v>
      </c>
      <c r="D39" s="124" t="s">
        <v>196</v>
      </c>
      <c r="E39" s="124">
        <v>1.56</v>
      </c>
      <c r="F39" s="125" t="s">
        <v>114</v>
      </c>
      <c r="G39" s="126">
        <v>0.6</v>
      </c>
      <c r="H39" s="124" t="s">
        <v>197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198</v>
      </c>
      <c r="B40" s="123" t="s">
        <v>195</v>
      </c>
      <c r="C40" s="124">
        <v>0.35199999999999998</v>
      </c>
      <c r="D40" s="124" t="s">
        <v>196</v>
      </c>
      <c r="E40" s="124">
        <v>1.56</v>
      </c>
      <c r="F40" s="125" t="s">
        <v>114</v>
      </c>
      <c r="G40" s="126">
        <v>0.6</v>
      </c>
      <c r="H40" s="124" t="s">
        <v>197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199</v>
      </c>
      <c r="B41" s="123" t="s">
        <v>195</v>
      </c>
      <c r="C41" s="124">
        <v>0.32200000000000001</v>
      </c>
      <c r="D41" s="124" t="s">
        <v>196</v>
      </c>
      <c r="E41" s="124">
        <v>1.56</v>
      </c>
      <c r="F41" s="125" t="s">
        <v>114</v>
      </c>
      <c r="G41" s="126">
        <v>0.6</v>
      </c>
      <c r="H41" s="124" t="s">
        <v>197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200</v>
      </c>
      <c r="B42" s="123" t="s">
        <v>195</v>
      </c>
      <c r="C42" s="124">
        <v>0.311</v>
      </c>
      <c r="D42" s="124" t="s">
        <v>196</v>
      </c>
      <c r="E42" s="124">
        <v>1.56</v>
      </c>
      <c r="F42" s="125" t="s">
        <v>114</v>
      </c>
      <c r="G42" s="126">
        <v>0.6</v>
      </c>
      <c r="H42" s="124" t="s">
        <v>197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201</v>
      </c>
      <c r="B43" s="123" t="s">
        <v>195</v>
      </c>
      <c r="C43" s="124">
        <v>0.33900000000000002</v>
      </c>
      <c r="D43" s="124" t="s">
        <v>196</v>
      </c>
      <c r="E43" s="124">
        <v>1.56</v>
      </c>
      <c r="F43" s="125" t="s">
        <v>114</v>
      </c>
      <c r="G43" s="126">
        <v>0.6</v>
      </c>
      <c r="H43" s="124" t="s">
        <v>197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202</v>
      </c>
      <c r="B44" s="123" t="s">
        <v>195</v>
      </c>
      <c r="C44" s="124">
        <v>0.33600000000000002</v>
      </c>
      <c r="D44" s="124" t="s">
        <v>196</v>
      </c>
      <c r="E44" s="124">
        <v>1.56</v>
      </c>
      <c r="F44" s="125" t="s">
        <v>114</v>
      </c>
      <c r="G44" s="126">
        <v>0.6</v>
      </c>
      <c r="H44" s="124" t="s">
        <v>197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203</v>
      </c>
      <c r="B45" s="123" t="s">
        <v>195</v>
      </c>
      <c r="C45" s="124">
        <v>0.32900000000000001</v>
      </c>
      <c r="D45" s="124" t="s">
        <v>196</v>
      </c>
      <c r="E45" s="124">
        <v>1.56</v>
      </c>
      <c r="F45" s="125" t="s">
        <v>114</v>
      </c>
      <c r="G45" s="126">
        <v>0.6</v>
      </c>
      <c r="H45" s="124" t="s">
        <v>197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204</v>
      </c>
      <c r="B46" s="123" t="s">
        <v>195</v>
      </c>
      <c r="C46" s="124">
        <v>0.34300000000000003</v>
      </c>
      <c r="D46" s="124" t="s">
        <v>196</v>
      </c>
      <c r="E46" s="124">
        <v>1.56</v>
      </c>
      <c r="F46" s="125" t="s">
        <v>114</v>
      </c>
      <c r="G46" s="126">
        <v>0.6</v>
      </c>
      <c r="H46" s="124" t="s">
        <v>197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205</v>
      </c>
      <c r="B47" s="123" t="s">
        <v>195</v>
      </c>
      <c r="C47" s="124">
        <v>0.32500000000000001</v>
      </c>
      <c r="D47" s="124" t="s">
        <v>196</v>
      </c>
      <c r="E47" s="124">
        <v>1.56</v>
      </c>
      <c r="F47" s="125" t="s">
        <v>114</v>
      </c>
      <c r="G47" s="126">
        <v>0.6</v>
      </c>
      <c r="H47" s="124" t="s">
        <v>197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206</v>
      </c>
      <c r="B48" s="123" t="s">
        <v>195</v>
      </c>
      <c r="C48" s="124">
        <v>0.32</v>
      </c>
      <c r="D48" s="124" t="s">
        <v>196</v>
      </c>
      <c r="E48" s="124">
        <v>1.56</v>
      </c>
      <c r="F48" s="125" t="s">
        <v>114</v>
      </c>
      <c r="G48" s="126">
        <v>0.6</v>
      </c>
      <c r="H48" s="124" t="s">
        <v>197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207</v>
      </c>
      <c r="B49" s="123" t="s">
        <v>195</v>
      </c>
      <c r="C49" s="124">
        <v>0.28199999999999997</v>
      </c>
      <c r="D49" s="124" t="s">
        <v>196</v>
      </c>
      <c r="E49" s="124">
        <v>1.56</v>
      </c>
      <c r="F49" s="125" t="s">
        <v>114</v>
      </c>
      <c r="G49" s="126">
        <v>0.6</v>
      </c>
      <c r="H49" s="124" t="s">
        <v>197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208</v>
      </c>
      <c r="B50" s="123" t="s">
        <v>195</v>
      </c>
      <c r="C50" s="124">
        <v>0.32800000000000001</v>
      </c>
      <c r="D50" s="124" t="s">
        <v>196</v>
      </c>
      <c r="E50" s="124">
        <v>1.56</v>
      </c>
      <c r="F50" s="125" t="s">
        <v>114</v>
      </c>
      <c r="G50" s="126">
        <v>0.6</v>
      </c>
      <c r="H50" s="124" t="s">
        <v>197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16</v>
      </c>
      <c r="B51" s="123" t="s">
        <v>195</v>
      </c>
      <c r="C51" s="124">
        <v>0.32600000000000001</v>
      </c>
      <c r="D51" s="124" t="s">
        <v>196</v>
      </c>
      <c r="E51" s="124">
        <v>1.56</v>
      </c>
      <c r="F51" s="125" t="s">
        <v>114</v>
      </c>
      <c r="G51" s="126">
        <v>0.6</v>
      </c>
      <c r="H51" s="124" t="s">
        <v>197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209</v>
      </c>
      <c r="B52" s="123" t="s">
        <v>195</v>
      </c>
      <c r="C52" s="124">
        <v>0.35899999999999999</v>
      </c>
      <c r="D52" s="124" t="s">
        <v>196</v>
      </c>
      <c r="E52" s="124">
        <v>1.56</v>
      </c>
      <c r="F52" s="125" t="s">
        <v>114</v>
      </c>
      <c r="G52" s="126">
        <v>0.6</v>
      </c>
      <c r="H52" s="124" t="s">
        <v>197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210</v>
      </c>
      <c r="B53" s="123" t="s">
        <v>195</v>
      </c>
      <c r="C53" s="124">
        <v>0.34599999999999997</v>
      </c>
      <c r="D53" s="124" t="s">
        <v>196</v>
      </c>
      <c r="E53" s="124">
        <v>1.56</v>
      </c>
      <c r="F53" s="125" t="s">
        <v>114</v>
      </c>
      <c r="G53" s="126">
        <v>0.6</v>
      </c>
      <c r="H53" s="124" t="s">
        <v>197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211</v>
      </c>
      <c r="B54" s="123" t="s">
        <v>195</v>
      </c>
      <c r="C54" s="124">
        <v>0.32600000000000001</v>
      </c>
      <c r="D54" s="124" t="s">
        <v>196</v>
      </c>
      <c r="E54" s="124">
        <v>1.56</v>
      </c>
      <c r="F54" s="125" t="s">
        <v>114</v>
      </c>
      <c r="G54" s="126">
        <v>0.6</v>
      </c>
      <c r="H54" s="124" t="s">
        <v>197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212</v>
      </c>
      <c r="B55" s="123" t="s">
        <v>195</v>
      </c>
      <c r="C55" s="124">
        <v>0.30499999999999999</v>
      </c>
      <c r="D55" s="124" t="s">
        <v>196</v>
      </c>
      <c r="E55" s="124">
        <v>1.56</v>
      </c>
      <c r="F55" s="125" t="s">
        <v>114</v>
      </c>
      <c r="G55" s="126">
        <v>0.6</v>
      </c>
      <c r="H55" s="124" t="s">
        <v>197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213</v>
      </c>
      <c r="B56" s="123" t="s">
        <v>195</v>
      </c>
      <c r="C56" s="124">
        <v>0.32300000000000001</v>
      </c>
      <c r="D56" s="124" t="s">
        <v>196</v>
      </c>
      <c r="E56" s="124">
        <v>1.56</v>
      </c>
      <c r="F56" s="125" t="s">
        <v>114</v>
      </c>
      <c r="G56" s="126">
        <v>0.6</v>
      </c>
      <c r="H56" s="124" t="s">
        <v>197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214</v>
      </c>
      <c r="B57" s="123" t="s">
        <v>195</v>
      </c>
      <c r="C57" s="124">
        <v>0.36699999999999999</v>
      </c>
      <c r="D57" s="124" t="s">
        <v>196</v>
      </c>
      <c r="E57" s="124">
        <v>1.56</v>
      </c>
      <c r="F57" s="125" t="s">
        <v>114</v>
      </c>
      <c r="G57" s="126">
        <v>0.6</v>
      </c>
      <c r="H57" s="124" t="s">
        <v>197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215</v>
      </c>
      <c r="B58" s="123" t="s">
        <v>195</v>
      </c>
      <c r="C58" s="124">
        <v>0.36</v>
      </c>
      <c r="D58" s="124" t="s">
        <v>196</v>
      </c>
      <c r="E58" s="124">
        <v>1.56</v>
      </c>
      <c r="F58" s="125" t="s">
        <v>114</v>
      </c>
      <c r="G58" s="126">
        <v>0.6</v>
      </c>
      <c r="H58" s="124" t="s">
        <v>197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216</v>
      </c>
      <c r="B59" s="123" t="s">
        <v>195</v>
      </c>
      <c r="C59" s="124">
        <v>0.36799999999999999</v>
      </c>
      <c r="D59" s="124" t="s">
        <v>196</v>
      </c>
      <c r="E59" s="124">
        <v>1.56</v>
      </c>
      <c r="F59" s="125" t="s">
        <v>114</v>
      </c>
      <c r="G59" s="126">
        <v>0.6</v>
      </c>
      <c r="H59" s="124" t="s">
        <v>197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217</v>
      </c>
      <c r="B60" s="123" t="s">
        <v>195</v>
      </c>
      <c r="C60" s="124">
        <v>0.30599999999999999</v>
      </c>
      <c r="D60" s="124" t="s">
        <v>196</v>
      </c>
      <c r="E60" s="124">
        <v>1.56</v>
      </c>
      <c r="F60" s="125" t="s">
        <v>114</v>
      </c>
      <c r="G60" s="126">
        <v>0.6</v>
      </c>
      <c r="H60" s="124" t="s">
        <v>197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218</v>
      </c>
      <c r="B61" s="123" t="s">
        <v>195</v>
      </c>
      <c r="C61" s="124">
        <v>0.313</v>
      </c>
      <c r="D61" s="124" t="s">
        <v>196</v>
      </c>
      <c r="E61" s="124">
        <v>1.56</v>
      </c>
      <c r="F61" s="125" t="s">
        <v>114</v>
      </c>
      <c r="G61" s="126">
        <v>0.6</v>
      </c>
      <c r="H61" s="124" t="s">
        <v>197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219</v>
      </c>
      <c r="B62" s="123" t="s">
        <v>220</v>
      </c>
      <c r="C62" s="124">
        <v>0.37</v>
      </c>
      <c r="D62" s="124" t="s">
        <v>113</v>
      </c>
      <c r="E62" s="124">
        <v>1.56</v>
      </c>
      <c r="F62" s="125" t="s">
        <v>114</v>
      </c>
      <c r="G62" s="126">
        <v>0.6</v>
      </c>
      <c r="H62" s="124" t="s">
        <v>197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221</v>
      </c>
      <c r="B63" s="123" t="s">
        <v>222</v>
      </c>
      <c r="C63" s="124">
        <v>0.45</v>
      </c>
      <c r="D63" s="124" t="s">
        <v>113</v>
      </c>
      <c r="E63" s="124">
        <v>1.3</v>
      </c>
      <c r="F63" s="125" t="s">
        <v>114</v>
      </c>
      <c r="G63" s="126">
        <v>0.45</v>
      </c>
      <c r="H63" s="124" t="s">
        <v>223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224</v>
      </c>
      <c r="B64" s="123" t="s">
        <v>225</v>
      </c>
      <c r="C64" s="124">
        <v>0.39</v>
      </c>
      <c r="D64" s="124" t="s">
        <v>113</v>
      </c>
      <c r="E64" s="124">
        <v>1.3</v>
      </c>
      <c r="F64" s="125" t="s">
        <v>114</v>
      </c>
      <c r="G64" s="126">
        <v>0.45</v>
      </c>
      <c r="H64" s="124" t="s">
        <v>223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226</v>
      </c>
      <c r="B65" s="123" t="s">
        <v>227</v>
      </c>
      <c r="C65" s="124">
        <v>0.44</v>
      </c>
      <c r="D65" s="124" t="s">
        <v>113</v>
      </c>
      <c r="E65" s="124">
        <v>1.3</v>
      </c>
      <c r="F65" s="125" t="s">
        <v>114</v>
      </c>
      <c r="G65" s="126">
        <v>0.45</v>
      </c>
      <c r="H65" s="124" t="s">
        <v>223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228</v>
      </c>
      <c r="B66" s="123" t="s">
        <v>229</v>
      </c>
      <c r="C66" s="124">
        <v>0.46</v>
      </c>
      <c r="D66" s="124" t="s">
        <v>113</v>
      </c>
      <c r="E66" s="124">
        <v>1.3</v>
      </c>
      <c r="F66" s="125" t="s">
        <v>114</v>
      </c>
      <c r="G66" s="126">
        <v>0.45</v>
      </c>
      <c r="H66" s="124" t="s">
        <v>223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230</v>
      </c>
      <c r="B67" s="123" t="s">
        <v>231</v>
      </c>
      <c r="C67" s="124">
        <v>0.46</v>
      </c>
      <c r="D67" s="124" t="s">
        <v>113</v>
      </c>
      <c r="E67" s="124">
        <v>1.3</v>
      </c>
      <c r="F67" s="125" t="s">
        <v>114</v>
      </c>
      <c r="G67" s="126">
        <v>0.45</v>
      </c>
      <c r="H67" s="124" t="s">
        <v>139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232</v>
      </c>
      <c r="B68" s="123" t="s">
        <v>233</v>
      </c>
      <c r="C68" s="124">
        <v>0.44</v>
      </c>
      <c r="D68" s="124" t="s">
        <v>113</v>
      </c>
      <c r="E68" s="124">
        <v>1.3</v>
      </c>
      <c r="F68" s="125" t="s">
        <v>114</v>
      </c>
      <c r="G68" s="126">
        <v>0.45</v>
      </c>
      <c r="H68" s="124" t="s">
        <v>223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234</v>
      </c>
      <c r="B69" s="123" t="s">
        <v>235</v>
      </c>
      <c r="C69" s="124">
        <v>0.46</v>
      </c>
      <c r="D69" s="124" t="s">
        <v>113</v>
      </c>
      <c r="E69" s="124">
        <v>1.3</v>
      </c>
      <c r="F69" s="125" t="s">
        <v>114</v>
      </c>
      <c r="G69" s="126">
        <v>0.45</v>
      </c>
      <c r="H69" s="124" t="s">
        <v>223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236</v>
      </c>
      <c r="B70" s="123" t="s">
        <v>237</v>
      </c>
      <c r="C70" s="124">
        <v>0.48</v>
      </c>
      <c r="D70" s="124" t="s">
        <v>113</v>
      </c>
      <c r="E70" s="124">
        <v>2.4</v>
      </c>
      <c r="F70" s="124" t="s">
        <v>238</v>
      </c>
      <c r="G70" s="126">
        <v>0.45</v>
      </c>
      <c r="H70" s="124" t="s">
        <v>223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239</v>
      </c>
      <c r="B71" s="123" t="s">
        <v>240</v>
      </c>
      <c r="C71" s="124">
        <v>0.46</v>
      </c>
      <c r="D71" s="124" t="s">
        <v>241</v>
      </c>
      <c r="E71" s="124">
        <v>1.3</v>
      </c>
      <c r="F71" s="125" t="s">
        <v>114</v>
      </c>
      <c r="G71" s="126">
        <v>0.45</v>
      </c>
      <c r="H71" s="124" t="s">
        <v>223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242</v>
      </c>
      <c r="B72" s="123" t="s">
        <v>243</v>
      </c>
      <c r="C72" s="124">
        <v>0.44</v>
      </c>
      <c r="D72" s="124" t="s">
        <v>113</v>
      </c>
      <c r="E72" s="124">
        <v>1.3</v>
      </c>
      <c r="F72" s="125" t="s">
        <v>114</v>
      </c>
      <c r="G72" s="126">
        <v>0.45</v>
      </c>
      <c r="H72" s="124" t="s">
        <v>223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244</v>
      </c>
      <c r="B73" s="123" t="s">
        <v>245</v>
      </c>
      <c r="C73" s="124">
        <v>0.46</v>
      </c>
      <c r="D73" s="124" t="s">
        <v>246</v>
      </c>
      <c r="E73" s="124">
        <v>1.3</v>
      </c>
      <c r="F73" s="125" t="s">
        <v>114</v>
      </c>
      <c r="G73" s="126">
        <v>0.45</v>
      </c>
      <c r="H73" s="124" t="s">
        <v>223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247</v>
      </c>
      <c r="B74" s="123" t="s">
        <v>248</v>
      </c>
      <c r="C74" s="124">
        <v>0.34</v>
      </c>
      <c r="D74" s="124" t="s">
        <v>113</v>
      </c>
      <c r="E74" s="124">
        <v>1.3</v>
      </c>
      <c r="F74" s="125" t="s">
        <v>114</v>
      </c>
      <c r="G74" s="126">
        <v>0.45</v>
      </c>
      <c r="H74" s="124" t="s">
        <v>223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249</v>
      </c>
      <c r="B75" s="123" t="s">
        <v>250</v>
      </c>
      <c r="C75" s="124">
        <v>0.5</v>
      </c>
      <c r="D75" s="124" t="s">
        <v>113</v>
      </c>
      <c r="E75" s="124">
        <v>1.56</v>
      </c>
      <c r="F75" s="125" t="s">
        <v>114</v>
      </c>
      <c r="G75" s="126">
        <v>0.53</v>
      </c>
      <c r="H75" s="124" t="s">
        <v>168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251</v>
      </c>
      <c r="B76" s="123" t="s">
        <v>252</v>
      </c>
      <c r="C76" s="124">
        <v>0.57999999999999996</v>
      </c>
      <c r="D76" s="124" t="s">
        <v>113</v>
      </c>
      <c r="E76" s="124">
        <v>1.56</v>
      </c>
      <c r="F76" s="125" t="s">
        <v>114</v>
      </c>
      <c r="G76" s="126">
        <v>0.3</v>
      </c>
      <c r="H76" s="124" t="s">
        <v>253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254</v>
      </c>
      <c r="B77" s="123" t="s">
        <v>255</v>
      </c>
      <c r="C77" s="124">
        <v>0.37</v>
      </c>
      <c r="D77" s="124" t="s">
        <v>113</v>
      </c>
      <c r="E77" s="124">
        <v>1.3</v>
      </c>
      <c r="F77" s="125" t="s">
        <v>114</v>
      </c>
      <c r="G77" s="126">
        <v>0.55000000000000004</v>
      </c>
      <c r="H77" s="124" t="s">
        <v>139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256</v>
      </c>
      <c r="B78" s="123" t="s">
        <v>257</v>
      </c>
      <c r="C78" s="124">
        <v>0.37</v>
      </c>
      <c r="D78" s="124" t="s">
        <v>113</v>
      </c>
      <c r="E78" s="124">
        <v>1.3</v>
      </c>
      <c r="F78" s="125" t="s">
        <v>114</v>
      </c>
      <c r="G78" s="126">
        <v>0.55000000000000004</v>
      </c>
      <c r="H78" s="124" t="s">
        <v>139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258</v>
      </c>
      <c r="B79" s="123" t="s">
        <v>259</v>
      </c>
      <c r="C79" s="124">
        <v>0.38</v>
      </c>
      <c r="D79" s="124" t="s">
        <v>113</v>
      </c>
      <c r="E79" s="124">
        <v>1.3</v>
      </c>
      <c r="F79" s="125" t="s">
        <v>114</v>
      </c>
      <c r="G79" s="126">
        <v>0.55000000000000004</v>
      </c>
      <c r="H79" s="124" t="s">
        <v>129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260</v>
      </c>
      <c r="B80" s="123" t="s">
        <v>261</v>
      </c>
      <c r="C80" s="124">
        <v>0.36</v>
      </c>
      <c r="D80" s="124" t="s">
        <v>113</v>
      </c>
      <c r="E80" s="124">
        <v>1.3</v>
      </c>
      <c r="F80" s="125" t="s">
        <v>114</v>
      </c>
      <c r="G80" s="126">
        <v>0.55000000000000004</v>
      </c>
      <c r="H80" s="124" t="s">
        <v>129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262</v>
      </c>
      <c r="B81" s="123" t="s">
        <v>263</v>
      </c>
      <c r="C81" s="124">
        <v>0.37</v>
      </c>
      <c r="D81" s="124" t="s">
        <v>113</v>
      </c>
      <c r="E81" s="124">
        <v>1.56</v>
      </c>
      <c r="F81" s="125" t="s">
        <v>114</v>
      </c>
      <c r="G81" s="126">
        <v>0.43</v>
      </c>
      <c r="H81" s="124" t="s">
        <v>115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264</v>
      </c>
      <c r="B82" s="123" t="s">
        <v>265</v>
      </c>
      <c r="C82" s="124">
        <v>0.35</v>
      </c>
      <c r="D82" s="124" t="s">
        <v>266</v>
      </c>
      <c r="E82" s="124">
        <v>1.3</v>
      </c>
      <c r="F82" s="125" t="s">
        <v>114</v>
      </c>
      <c r="G82" s="126">
        <v>0.55000000000000004</v>
      </c>
      <c r="H82" s="124" t="s">
        <v>129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267</v>
      </c>
      <c r="B83" s="123" t="s">
        <v>268</v>
      </c>
      <c r="C83" s="124">
        <v>0.34</v>
      </c>
      <c r="D83" s="124" t="s">
        <v>113</v>
      </c>
      <c r="E83" s="124">
        <v>1.3</v>
      </c>
      <c r="F83" s="125" t="s">
        <v>114</v>
      </c>
      <c r="G83" s="126">
        <v>0.55000000000000004</v>
      </c>
      <c r="H83" s="124" t="s">
        <v>129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269</v>
      </c>
      <c r="B84" s="123" t="s">
        <v>270</v>
      </c>
      <c r="C84" s="124">
        <v>0.31</v>
      </c>
      <c r="D84" s="124" t="s">
        <v>113</v>
      </c>
      <c r="E84" s="124">
        <v>1.3</v>
      </c>
      <c r="F84" s="125" t="s">
        <v>114</v>
      </c>
      <c r="G84" s="126">
        <v>0.55000000000000004</v>
      </c>
      <c r="H84" s="124" t="s">
        <v>129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271</v>
      </c>
      <c r="B85" s="123" t="s">
        <v>272</v>
      </c>
      <c r="C85" s="124">
        <v>0.43</v>
      </c>
      <c r="D85" s="124" t="s">
        <v>113</v>
      </c>
      <c r="E85" s="124">
        <v>1.56</v>
      </c>
      <c r="F85" s="125" t="s">
        <v>114</v>
      </c>
      <c r="G85" s="126">
        <v>0.53</v>
      </c>
      <c r="H85" s="124" t="s">
        <v>168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273</v>
      </c>
      <c r="B86" s="123" t="s">
        <v>274</v>
      </c>
      <c r="C86" s="124">
        <v>0.38</v>
      </c>
      <c r="D86" s="124" t="s">
        <v>113</v>
      </c>
      <c r="E86" s="124">
        <v>1.56</v>
      </c>
      <c r="F86" s="125" t="s">
        <v>114</v>
      </c>
      <c r="G86" s="126">
        <v>0.6</v>
      </c>
      <c r="H86" s="124" t="s">
        <v>275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276</v>
      </c>
      <c r="B87" s="252" t="s">
        <v>277</v>
      </c>
      <c r="C87" s="253">
        <v>0.41</v>
      </c>
      <c r="D87" s="253" t="s">
        <v>278</v>
      </c>
      <c r="E87" s="253">
        <v>1.56</v>
      </c>
      <c r="F87" s="254" t="s">
        <v>114</v>
      </c>
      <c r="G87" s="255">
        <v>0.43</v>
      </c>
      <c r="H87" s="253" t="s">
        <v>115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73</v>
      </c>
      <c r="B88" s="130"/>
      <c r="C88" s="124">
        <v>0.42</v>
      </c>
      <c r="D88" s="124" t="s">
        <v>113</v>
      </c>
      <c r="E88" s="124">
        <v>1.3</v>
      </c>
      <c r="F88" s="125" t="s">
        <v>114</v>
      </c>
      <c r="G88" s="131"/>
      <c r="H88" s="130"/>
      <c r="I88" s="132"/>
    </row>
    <row r="89" spans="1:14" ht="15" thickBot="1" x14ac:dyDescent="0.4">
      <c r="A89" s="133" t="s">
        <v>279</v>
      </c>
      <c r="B89" s="134"/>
      <c r="C89" s="135">
        <v>0.56999999999999995</v>
      </c>
      <c r="D89" s="136" t="s">
        <v>113</v>
      </c>
      <c r="E89" s="135">
        <v>1.56</v>
      </c>
      <c r="F89" s="135" t="s">
        <v>114</v>
      </c>
      <c r="G89" s="134"/>
      <c r="H89" s="134"/>
      <c r="I89" s="137"/>
    </row>
    <row r="93" spans="1:14" x14ac:dyDescent="0.35">
      <c r="A93" s="122" t="s">
        <v>74</v>
      </c>
    </row>
    <row r="94" spans="1:14" x14ac:dyDescent="0.35">
      <c r="A94" s="122" t="s">
        <v>75</v>
      </c>
    </row>
    <row r="95" spans="1:14" x14ac:dyDescent="0.35">
      <c r="A95" s="122" t="s">
        <v>76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E11" sqref="E11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2" t="s">
        <v>280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281</v>
      </c>
      <c r="B5" s="139" t="s">
        <v>282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283</v>
      </c>
      <c r="F5" s="140" t="s">
        <v>284</v>
      </c>
      <c r="G5" s="140" t="s">
        <v>285</v>
      </c>
      <c r="H5" s="141" t="s">
        <v>286</v>
      </c>
      <c r="I5" s="142" t="s">
        <v>287</v>
      </c>
      <c r="J5" s="143" t="s">
        <v>288</v>
      </c>
      <c r="K5" s="144" t="s">
        <v>289</v>
      </c>
      <c r="L5" s="84" t="s">
        <v>290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Peuplier Koster</v>
      </c>
      <c r="B6" s="146">
        <f>'Données projet'!D9</f>
        <v>2.3435999999999999</v>
      </c>
      <c r="C6" s="147">
        <f ca="1">IF(OR('Données projet'!B9="",'Données projet'!C9="",'Données projet'!C9=0%),0,Calculateur!S3)</f>
        <v>66.814714696519275</v>
      </c>
      <c r="D6" s="147">
        <f>IF(OR('Données projet'!B9="",'Données projet'!C9="",'Données projet'!C9=0%),0,Calculateur!T3)</f>
        <v>199.56746335788068</v>
      </c>
      <c r="E6" s="147">
        <f ca="1">MIN(C6,D6)</f>
        <v>66.814714696519275</v>
      </c>
      <c r="F6" s="147">
        <f ca="1">E6*B6</f>
        <v>156.58696536276256</v>
      </c>
      <c r="G6" s="147">
        <f ca="1">F6*(100%-'Données projet'!$C$24)*(100%-'Données projet'!$C$25)*(100%-'Données projet'!$C$26)*(100%-'Données projet'!$C$27)</f>
        <v>140.92826882648632</v>
      </c>
      <c r="H6" s="148">
        <f>IF(OR('Données projet'!B9="",'Données projet'!C9="",'Données projet'!C9=0%),0,AVERAGE(Calculateur!$AC$3:$AC$33)*B6)</f>
        <v>46.684322950807996</v>
      </c>
      <c r="I6" s="149">
        <f>H6*(100%-'Données projet'!$C$24)*(100%-'Données projet'!$C$25)*(100%-'Données projet'!$C$26)*(100%-'Données projet'!$C$27)</f>
        <v>42.015890655727198</v>
      </c>
      <c r="J6" s="150">
        <f>IF(OR('Données projet'!B9="",'Données projet'!C9="",'Données projet'!C9=0%),0,SUM(Calculateur!$V$3:$V$33)*VLOOKUP('Données projet'!$B$9,Paramètres!$A$1:$I$89,9,0)*B6)</f>
        <v>483.67412700923069</v>
      </c>
      <c r="K6" s="151">
        <f>J6*(100%-'Données projet'!$C$24)*(100%-'Données projet'!$C$25)*(100%-'Données projet'!$C$26)*(100%-'Données projet'!$C$27)</f>
        <v>435.30671430830762</v>
      </c>
      <c r="L6" s="152">
        <f ca="1">G6+I6+K6</f>
        <v>618.25087379052115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Erable plane</v>
      </c>
      <c r="B7" s="154">
        <f>'Données projet'!D10</f>
        <v>0.58589999999999998</v>
      </c>
      <c r="C7" s="147">
        <f ca="1">IF(OR('Données projet'!B10="",'Données projet'!C10="",'Données projet'!C10=0%),0,Calculateur!AN3)</f>
        <v>325.72928944930294</v>
      </c>
      <c r="D7" s="147">
        <f>IF(OR('Données projet'!B10="",'Données projet'!C10="",'Données projet'!C10=0%),0,Calculateur!AO3)</f>
        <v>318.38876834819752</v>
      </c>
      <c r="E7" s="147">
        <f t="shared" ref="E7:E15" ca="1" si="0">MIN(C7,D7)</f>
        <v>318.38876834819752</v>
      </c>
      <c r="F7" s="147">
        <f t="shared" ref="F7:F15" ca="1" si="1">E7*B7</f>
        <v>186.54397937520892</v>
      </c>
      <c r="G7" s="147">
        <f ca="1">F7*(100%-'Données projet'!$C$24)*(100%-'Données projet'!$C$25)*(100%-'Données projet'!$C$26)*(100%-'Données projet'!$C$27)</f>
        <v>167.88958143768804</v>
      </c>
      <c r="H7" s="155">
        <f>IF(OR('Données projet'!B10="",'Données projet'!C10="",'Données projet'!C10=0%),0,AVERAGE(Calculateur!$AX$3:$AX$33)*B7)</f>
        <v>1.9160178242997941</v>
      </c>
      <c r="I7" s="149">
        <f>H7*(100%-'Données projet'!$C$24)*(100%-'Données projet'!$C$25)*(100%-'Données projet'!$C$26)*(100%-'Données projet'!$C$27)</f>
        <v>1.7244160418698147</v>
      </c>
      <c r="J7" s="150">
        <f>IF(OR('Données projet'!B10="",'Données projet'!C10="",'Données projet'!C10=0%),0,SUM(Calculateur!$AQ$3:$AQ$33)*VLOOKUP('Données projet'!$B$10,Paramètres!$A$1:$I$89,9,0)*B7)</f>
        <v>25.633125</v>
      </c>
      <c r="K7" s="151">
        <f>J7*(100%-'Données projet'!$C$24)*(100%-'Données projet'!$C$25)*(100%-'Données projet'!$C$26)*(100%-'Données projet'!$C$27)</f>
        <v>23.069812500000001</v>
      </c>
      <c r="L7" s="152">
        <f t="shared" ref="L7:L15" ca="1" si="2">G7+I7+K7</f>
        <v>192.68380997955785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>Aulne glutineux</v>
      </c>
      <c r="B8" s="154">
        <f>'Données projet'!D11</f>
        <v>0.65100000000000002</v>
      </c>
      <c r="C8" s="147">
        <f ca="1">IF(OR('Données projet'!B11="",'Données projet'!C11="",'Données projet'!C11=0%),0,Calculateur!BI3)</f>
        <v>209.40885738157152</v>
      </c>
      <c r="D8" s="147">
        <f>IF(OR('Données projet'!B11="",'Données projet'!C11="",'Données projet'!C11=0%),0,Calculateur!BJ3)</f>
        <v>230.15385333954697</v>
      </c>
      <c r="E8" s="147">
        <f t="shared" ca="1" si="0"/>
        <v>209.40885738157152</v>
      </c>
      <c r="F8" s="147">
        <f t="shared" ca="1" si="1"/>
        <v>136.32516615540305</v>
      </c>
      <c r="G8" s="147">
        <f ca="1">F8*(100%-'Données projet'!$C$24)*(100%-'Données projet'!$C$25)*(100%-'Données projet'!$C$26)*(100%-'Données projet'!$C$27)</f>
        <v>122.69264953986276</v>
      </c>
      <c r="H8" s="155">
        <f>IF(OR('Données projet'!B11="",'Données projet'!C11="",'Données projet'!C11=0%),0,AVERAGE(Calculateur!$BS$3:$BS$33)*B8)</f>
        <v>0.84896666020062883</v>
      </c>
      <c r="I8" s="149">
        <f>H8*(100%-'Données projet'!$C$24)*(100%-'Données projet'!$C$25)*(100%-'Données projet'!$C$26)*(100%-'Données projet'!$C$27)</f>
        <v>0.76406999418056598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123.45671953404332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>Chêne sessile</v>
      </c>
      <c r="B9" s="154">
        <f>'Données projet'!D12</f>
        <v>1.3671</v>
      </c>
      <c r="C9" s="147">
        <f ca="1">IF(OR('Données projet'!B12="",'Données projet'!C12="",'Données projet'!C12=0%),0,Calculateur!CD3)</f>
        <v>270.87836509222456</v>
      </c>
      <c r="D9" s="147">
        <f>IF(OR('Données projet'!B12="",'Données projet'!C12="",'Données projet'!C12=0%),0,Calculateur!CE3)</f>
        <v>205.24998237949734</v>
      </c>
      <c r="E9" s="147">
        <f t="shared" ca="1" si="0"/>
        <v>205.24998237949734</v>
      </c>
      <c r="F9" s="147">
        <f t="shared" ca="1" si="1"/>
        <v>280.5972509110108</v>
      </c>
      <c r="G9" s="147">
        <f ca="1">F9*(100%-'Données projet'!$C$24)*(100%-'Données projet'!$C$25)*(100%-'Données projet'!$C$26)*(100%-'Données projet'!$C$27)</f>
        <v>252.53752581990972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252.53752581990972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>Chêne rouge d'Amérique</v>
      </c>
      <c r="B10" s="154">
        <f>'Données projet'!D13</f>
        <v>1.5623999999999998</v>
      </c>
      <c r="C10" s="147">
        <f ca="1">IF(OR('Données projet'!B13="",'Données projet'!C13="",'Données projet'!C13=0%),0,Calculateur!CY3)</f>
        <v>207.4513063267579</v>
      </c>
      <c r="D10" s="147">
        <f>IF(OR('Données projet'!B13="",'Données projet'!C13="",'Données projet'!C13=0%),0,Calculateur!CZ3)</f>
        <v>191.63513530247218</v>
      </c>
      <c r="E10" s="147">
        <f t="shared" ca="1" si="0"/>
        <v>191.63513530247218</v>
      </c>
      <c r="F10" s="147">
        <f t="shared" ca="1" si="1"/>
        <v>299.41073539658248</v>
      </c>
      <c r="G10" s="147">
        <f ca="1">F10*(100%-'Données projet'!$C$24)*(100%-'Données projet'!$C$25)*(100%-'Données projet'!$C$26)*(100%-'Données projet'!$C$27)</f>
        <v>269.46966185692423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ca="1" si="2"/>
        <v>269.46966185692423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1059.4640972009679</v>
      </c>
      <c r="G16" s="166">
        <f t="shared" ca="1" si="3"/>
        <v>953.51768748087102</v>
      </c>
      <c r="H16" s="167">
        <f t="shared" si="3"/>
        <v>49.44930743530842</v>
      </c>
      <c r="I16" s="167">
        <f t="shared" si="3"/>
        <v>44.50437669177758</v>
      </c>
      <c r="J16" s="168">
        <f t="shared" si="3"/>
        <v>509.30725200923069</v>
      </c>
      <c r="K16" s="168">
        <f t="shared" si="3"/>
        <v>458.37652680830763</v>
      </c>
      <c r="L16" s="169">
        <f t="shared" ca="1" si="3"/>
        <v>1456.3985909809562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4" t="s">
        <v>291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Peuplier Koster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>Erable plane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>Aulne glutineux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>Chêne sessile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>Chêne rouge d'Amérique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C9" zoomScale="80" zoomScaleNormal="80" workbookViewId="0">
      <selection activeCell="J40" sqref="J40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2" t="s">
        <v>292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58" t="s">
        <v>293</v>
      </c>
      <c r="I4" s="258"/>
      <c r="K4" s="300" t="s">
        <v>294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59</v>
      </c>
      <c r="O7" s="247"/>
      <c r="P7" s="248"/>
      <c r="Q7" s="249"/>
      <c r="R7" s="292" t="s">
        <v>295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296</v>
      </c>
      <c r="C9" s="23"/>
      <c r="D9" s="23"/>
      <c r="E9" s="23"/>
      <c r="F9" s="230"/>
      <c r="G9" s="93" t="s">
        <v>297</v>
      </c>
      <c r="J9" s="200"/>
      <c r="K9" s="208"/>
      <c r="O9" s="23"/>
      <c r="P9" s="23"/>
      <c r="Q9" s="234"/>
      <c r="R9" s="23"/>
      <c r="S9" s="4"/>
      <c r="T9" s="36" t="s">
        <v>298</v>
      </c>
      <c r="U9" s="176" t="s">
        <v>299</v>
      </c>
      <c r="V9" s="36" t="s">
        <v>300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301</v>
      </c>
      <c r="C10" s="23"/>
      <c r="D10" s="23"/>
      <c r="E10" s="23"/>
      <c r="F10" s="230"/>
      <c r="G10" s="93" t="s">
        <v>302</v>
      </c>
      <c r="J10" s="200"/>
      <c r="K10" s="208"/>
      <c r="O10" s="23"/>
      <c r="P10" s="23"/>
      <c r="Q10" s="234"/>
      <c r="R10" s="23"/>
      <c r="S10" s="36" t="str">
        <f>B14</f>
        <v>Peuplier Koster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4922.7165796264062</v>
      </c>
      <c r="U10" s="178">
        <f>'Données projet'!D9</f>
        <v>2.3435999999999999</v>
      </c>
      <c r="V10" s="177">
        <f>U10*T10</f>
        <v>11536.878576012445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303</v>
      </c>
      <c r="B11" s="23"/>
      <c r="C11" s="23"/>
      <c r="D11" s="23"/>
      <c r="E11" s="23"/>
      <c r="F11" s="230"/>
      <c r="G11" s="93" t="s">
        <v>304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Erable plane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2038.3352985424776</v>
      </c>
      <c r="U11" s="178">
        <f>'Données projet'!D10</f>
        <v>0.58589999999999998</v>
      </c>
      <c r="V11" s="177">
        <f t="shared" ref="V11" si="0">U11*T11</f>
        <v>1194.2606514160375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Aulne glutineux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1382.29064877675</v>
      </c>
      <c r="U12" s="178">
        <f>'Données projet'!D11</f>
        <v>0.65100000000000002</v>
      </c>
      <c r="V12" s="177">
        <f t="shared" ref="V12:V19" si="1">U12*T12</f>
        <v>899.8712123536643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305</v>
      </c>
      <c r="M13" s="23"/>
      <c r="N13" s="23"/>
      <c r="O13" s="23"/>
      <c r="P13" s="23"/>
      <c r="Q13" s="234"/>
      <c r="R13" s="23"/>
      <c r="S13" s="36" t="str">
        <f>B107</f>
        <v>Chêne sessile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1645.2338235710599</v>
      </c>
      <c r="U13" s="178">
        <f>'Données projet'!D12</f>
        <v>1.3671</v>
      </c>
      <c r="V13" s="177">
        <f t="shared" si="1"/>
        <v>2249.1991602039961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15</v>
      </c>
      <c r="B14" s="174" t="str">
        <f>IF('Données projet'!$B$9="","",'Données projet'!$B$9)</f>
        <v>Peuplier Koster</v>
      </c>
      <c r="C14" s="4"/>
      <c r="D14" s="4"/>
      <c r="E14" s="4"/>
      <c r="F14" s="230"/>
      <c r="G14" s="23"/>
      <c r="H14" s="36" t="s">
        <v>78</v>
      </c>
      <c r="I14" s="36" t="s">
        <v>306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Chêne rouge d'Amérique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1919.9541234061837</v>
      </c>
      <c r="U14" s="178">
        <f>'Données projet'!D13</f>
        <v>1.5623999999999998</v>
      </c>
      <c r="V14" s="177">
        <f t="shared" si="1"/>
        <v>2999.7363224098212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303" t="s">
        <v>307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49</v>
      </c>
      <c r="B16" s="48" t="s">
        <v>308</v>
      </c>
      <c r="C16" s="48" t="s">
        <v>309</v>
      </c>
      <c r="D16" s="36" t="s">
        <v>310</v>
      </c>
      <c r="E16" s="36" t="s">
        <v>311</v>
      </c>
      <c r="F16" s="230"/>
      <c r="G16" s="303"/>
      <c r="H16" s="190"/>
      <c r="I16" s="191"/>
      <c r="J16" s="202"/>
      <c r="K16" s="208"/>
      <c r="L16" s="300" t="s">
        <v>312</v>
      </c>
      <c r="M16" s="301"/>
      <c r="N16" s="2">
        <v>20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195</v>
      </c>
      <c r="C17" s="198" t="s">
        <v>195</v>
      </c>
      <c r="D17" s="197" t="s">
        <v>195</v>
      </c>
      <c r="E17" s="193"/>
      <c r="F17" s="230"/>
      <c r="G17" s="303"/>
      <c r="J17" s="202"/>
      <c r="K17" s="208"/>
      <c r="L17" s="260" t="s">
        <v>313</v>
      </c>
      <c r="M17" s="262"/>
      <c r="N17" s="175">
        <f>VLOOKUP(N16,Calculateur!$A$2:$H$153,3,0)/VLOOKUP('Scénario référence'!$G$15,Paramètres!A1:I89,3,0)/VLOOKUP('Scénario référence'!$G$15,Paramètres!A1:I89,5,0)</f>
        <v>20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195</v>
      </c>
      <c r="C18" s="198" t="s">
        <v>195</v>
      </c>
      <c r="D18" s="197" t="s">
        <v>195</v>
      </c>
      <c r="E18" s="193"/>
      <c r="F18" s="230"/>
      <c r="G18" s="303"/>
      <c r="J18" s="202"/>
      <c r="K18" s="208"/>
      <c r="L18" s="260" t="s">
        <v>309</v>
      </c>
      <c r="M18" s="262"/>
      <c r="N18" s="192">
        <v>10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195</v>
      </c>
      <c r="C19" s="198" t="s">
        <v>195</v>
      </c>
      <c r="D19" s="197" t="s">
        <v>195</v>
      </c>
      <c r="E19" s="193"/>
      <c r="F19" s="230"/>
      <c r="G19" s="303"/>
      <c r="H19" s="212" t="s">
        <v>78</v>
      </c>
      <c r="I19" s="212" t="s">
        <v>314</v>
      </c>
      <c r="J19" s="93"/>
      <c r="K19" s="173"/>
      <c r="L19" s="300" t="s">
        <v>315</v>
      </c>
      <c r="M19" s="301"/>
      <c r="N19" s="179">
        <f>N17*N18</f>
        <v>200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195</v>
      </c>
      <c r="C20" s="198" t="s">
        <v>195</v>
      </c>
      <c r="D20" s="197" t="s">
        <v>195</v>
      </c>
      <c r="E20" s="193"/>
      <c r="F20" s="230"/>
      <c r="G20" s="303"/>
      <c r="H20" s="190">
        <v>1</v>
      </c>
      <c r="I20" s="191">
        <v>7928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195</v>
      </c>
      <c r="C21" s="198" t="s">
        <v>195</v>
      </c>
      <c r="D21" s="197" t="s">
        <v>195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195</v>
      </c>
      <c r="C22" s="198" t="s">
        <v>195</v>
      </c>
      <c r="D22" s="197" t="s">
        <v>195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4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/>
      <c r="I23" s="191"/>
      <c r="K23" s="208"/>
      <c r="L23" s="302" t="s">
        <v>316</v>
      </c>
      <c r="M23" s="302"/>
      <c r="N23" s="302"/>
      <c r="O23" s="23"/>
      <c r="P23" s="23"/>
      <c r="Q23" s="234"/>
      <c r="R23" s="23"/>
      <c r="S23" s="36" t="s">
        <v>317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-30508.838766599249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5</v>
      </c>
      <c r="B24" s="181">
        <f>'Données projet'!D37</f>
        <v>0</v>
      </c>
      <c r="C24" s="193"/>
      <c r="D24" s="182">
        <f>B24*C24</f>
        <v>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318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539.86500330932904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6</v>
      </c>
      <c r="B25" s="181">
        <f>'Données projet'!D38</f>
        <v>0</v>
      </c>
      <c r="C25" s="193"/>
      <c r="D25" s="182">
        <f t="shared" ref="D25:D42" si="2">B25*C25</f>
        <v>0</v>
      </c>
      <c r="E25" s="193"/>
      <c r="F25" s="233"/>
      <c r="H25" s="190"/>
      <c r="I25" s="191"/>
      <c r="K25" s="208"/>
      <c r="L25" s="130" t="s">
        <v>319</v>
      </c>
      <c r="M25" s="130"/>
      <c r="N25" s="130"/>
      <c r="O25" s="130"/>
      <c r="P25" s="192"/>
      <c r="Q25" s="234"/>
      <c r="R25" s="23"/>
      <c r="S25" s="186" t="s">
        <v>320</v>
      </c>
      <c r="T25" s="299">
        <f ca="1">T23-T24</f>
        <v>-31048.703769908578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7</v>
      </c>
      <c r="B26" s="181">
        <f>'Données projet'!D39</f>
        <v>0</v>
      </c>
      <c r="C26" s="193"/>
      <c r="D26" s="182">
        <f t="shared" si="2"/>
        <v>0</v>
      </c>
      <c r="E26" s="193"/>
      <c r="F26" s="233"/>
      <c r="G26" s="229"/>
      <c r="H26" s="190"/>
      <c r="I26" s="191"/>
      <c r="K26" s="208"/>
      <c r="L26" s="286" t="s">
        <v>321</v>
      </c>
      <c r="M26" s="287"/>
      <c r="N26" s="287"/>
      <c r="O26" s="287"/>
      <c r="P26" s="288"/>
      <c r="Q26" s="234"/>
      <c r="R26" s="23"/>
      <c r="S26" s="186" t="s">
        <v>322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8</v>
      </c>
      <c r="B27" s="181">
        <f>'Données projet'!D40</f>
        <v>0</v>
      </c>
      <c r="C27" s="193"/>
      <c r="D27" s="182">
        <f t="shared" si="2"/>
        <v>0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323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9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10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11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324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12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13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78</v>
      </c>
      <c r="P32" s="85" t="s">
        <v>310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14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15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16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17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18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19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20</v>
      </c>
      <c r="B39" s="181">
        <f>'Données projet'!D52</f>
        <v>200.36974358974356</v>
      </c>
      <c r="C39" s="193">
        <v>60</v>
      </c>
      <c r="D39" s="182">
        <f t="shared" si="2"/>
        <v>12022.184615384615</v>
      </c>
      <c r="E39" s="193">
        <v>150</v>
      </c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18</v>
      </c>
      <c r="B45" s="174" t="str">
        <f>IF('Données projet'!$B$10="","",'Données projet'!$B$10)</f>
        <v>Erable plane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49</v>
      </c>
      <c r="B47" s="48" t="s">
        <v>308</v>
      </c>
      <c r="C47" s="48" t="s">
        <v>309</v>
      </c>
      <c r="D47" s="36" t="s">
        <v>310</v>
      </c>
      <c r="E47" s="36" t="s">
        <v>311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195</v>
      </c>
      <c r="C48" s="198" t="s">
        <v>195</v>
      </c>
      <c r="D48" s="197" t="s">
        <v>195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195</v>
      </c>
      <c r="C49" s="198" t="s">
        <v>195</v>
      </c>
      <c r="D49" s="197" t="s">
        <v>195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195</v>
      </c>
      <c r="C50" s="198" t="s">
        <v>195</v>
      </c>
      <c r="D50" s="197" t="s">
        <v>195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195</v>
      </c>
      <c r="C51" s="198" t="s">
        <v>195</v>
      </c>
      <c r="D51" s="197" t="s">
        <v>195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195</v>
      </c>
      <c r="C52" s="198" t="s">
        <v>195</v>
      </c>
      <c r="D52" s="197" t="s">
        <v>195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195</v>
      </c>
      <c r="C53" s="198" t="s">
        <v>195</v>
      </c>
      <c r="D53" s="197" t="s">
        <v>195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10</v>
      </c>
      <c r="B54" s="181">
        <f>'Données projet'!D62</f>
        <v>7</v>
      </c>
      <c r="C54" s="191">
        <v>10</v>
      </c>
      <c r="D54" s="179">
        <f>B54*C54</f>
        <v>70</v>
      </c>
      <c r="E54" s="193">
        <v>150</v>
      </c>
      <c r="F54" s="232"/>
      <c r="G54" s="205"/>
      <c r="H54" s="190"/>
      <c r="I54" s="191"/>
      <c r="J54" s="23"/>
      <c r="K54" s="173"/>
      <c r="L54" s="4"/>
      <c r="M54" s="4"/>
      <c r="N54" s="4"/>
      <c r="O54" s="194" t="str">
        <f>IF(O53+1&lt;=MIN('Données projet'!$E$9:$E$18),O53+1,"STOP")</f>
        <v>STOP</v>
      </c>
      <c r="P54" s="185" t="e">
        <f t="shared" si="3"/>
        <v>#VALUE!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15</v>
      </c>
      <c r="B55" s="181">
        <f>'Données projet'!D63</f>
        <v>42</v>
      </c>
      <c r="C55" s="191">
        <v>10</v>
      </c>
      <c r="D55" s="179">
        <f t="shared" ref="D55:D73" si="4">B55*C55</f>
        <v>420</v>
      </c>
      <c r="E55" s="193">
        <v>150</v>
      </c>
      <c r="F55" s="232"/>
      <c r="G55" s="205"/>
      <c r="H55" s="190"/>
      <c r="I55" s="191"/>
      <c r="J55" s="23"/>
      <c r="K55" s="173"/>
      <c r="L55" s="4"/>
      <c r="M55" s="4"/>
      <c r="N55" s="4"/>
      <c r="O55" s="194" t="e">
        <f>IF(O54+1&lt;=MIN('Données projet'!$E$9:$E$18),O54+1,"STOP")</f>
        <v>#VALUE!</v>
      </c>
      <c r="P55" s="185" t="e">
        <f t="shared" si="3"/>
        <v>#VALUE!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20</v>
      </c>
      <c r="B56" s="181">
        <f>'Données projet'!D64</f>
        <v>42</v>
      </c>
      <c r="C56" s="191">
        <v>15</v>
      </c>
      <c r="D56" s="179">
        <f t="shared" si="4"/>
        <v>630</v>
      </c>
      <c r="E56" s="193">
        <v>150</v>
      </c>
      <c r="F56" s="232"/>
      <c r="G56" s="205"/>
      <c r="H56" s="190"/>
      <c r="I56" s="191"/>
      <c r="J56" s="23"/>
      <c r="K56" s="173"/>
      <c r="L56" s="4"/>
      <c r="M56" s="4"/>
      <c r="N56" s="4"/>
      <c r="O56" s="194" t="e">
        <f>IF(O55+1&lt;=MIN('Données projet'!$E$9:$E$18),O55+1,"STOP")</f>
        <v>#VALUE!</v>
      </c>
      <c r="P56" s="185" t="e">
        <f t="shared" si="3"/>
        <v>#VALUE!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25</v>
      </c>
      <c r="B57" s="181">
        <f>'Données projet'!D65</f>
        <v>42</v>
      </c>
      <c r="C57" s="191">
        <v>15</v>
      </c>
      <c r="D57" s="179">
        <f t="shared" si="4"/>
        <v>630</v>
      </c>
      <c r="E57" s="193">
        <v>150</v>
      </c>
      <c r="F57" s="232"/>
      <c r="G57" s="205"/>
      <c r="H57" s="190"/>
      <c r="I57" s="191"/>
      <c r="J57" s="23"/>
      <c r="K57" s="173"/>
      <c r="L57" s="4"/>
      <c r="M57" s="4"/>
      <c r="N57" s="4"/>
      <c r="O57" s="194" t="e">
        <f>IF(O56+1&lt;=MIN('Données projet'!$E$9:$E$18),O56+1,"STOP")</f>
        <v>#VALUE!</v>
      </c>
      <c r="P57" s="185" t="e">
        <f t="shared" si="3"/>
        <v>#VALUE!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30</v>
      </c>
      <c r="B58" s="181">
        <f>'Données projet'!D66</f>
        <v>42</v>
      </c>
      <c r="C58" s="191">
        <v>50</v>
      </c>
      <c r="D58" s="179">
        <f t="shared" si="4"/>
        <v>2100</v>
      </c>
      <c r="E58" s="193">
        <v>150</v>
      </c>
      <c r="F58" s="232"/>
      <c r="G58" s="205"/>
      <c r="H58" s="190"/>
      <c r="I58" s="191"/>
      <c r="J58" s="23"/>
      <c r="K58" s="173"/>
      <c r="L58" s="4"/>
      <c r="M58" s="4"/>
      <c r="N58" s="4"/>
      <c r="O58" s="194" t="e">
        <f>IF(O57+1&lt;=MIN('Données projet'!$E$9:$E$18),O57+1,"STOP")</f>
        <v>#VALUE!</v>
      </c>
      <c r="P58" s="185" t="e">
        <f t="shared" si="3"/>
        <v>#VALUE!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35</v>
      </c>
      <c r="B59" s="181">
        <f>'Données projet'!D67</f>
        <v>42</v>
      </c>
      <c r="C59" s="191">
        <v>50</v>
      </c>
      <c r="D59" s="179">
        <f t="shared" si="4"/>
        <v>2100</v>
      </c>
      <c r="E59" s="193">
        <v>150</v>
      </c>
      <c r="F59" s="232"/>
      <c r="G59" s="205"/>
      <c r="H59" s="190"/>
      <c r="I59" s="191"/>
      <c r="J59" s="23"/>
      <c r="K59" s="173"/>
      <c r="L59" s="4"/>
      <c r="M59" s="4"/>
      <c r="N59" s="4"/>
      <c r="O59" s="194" t="e">
        <f>IF(O58+1&lt;=MIN('Données projet'!$E$9:$E$18),O58+1,"STOP")</f>
        <v>#VALUE!</v>
      </c>
      <c r="P59" s="185" t="e">
        <f t="shared" si="3"/>
        <v>#VALUE!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40</v>
      </c>
      <c r="B60" s="181">
        <f>'Données projet'!D68</f>
        <v>40</v>
      </c>
      <c r="C60" s="191">
        <v>50</v>
      </c>
      <c r="D60" s="179">
        <f t="shared" si="4"/>
        <v>2000</v>
      </c>
      <c r="E60" s="193">
        <v>150</v>
      </c>
      <c r="F60" s="232"/>
      <c r="G60" s="206"/>
      <c r="H60" s="190"/>
      <c r="I60" s="191"/>
      <c r="J60" s="23"/>
      <c r="K60" s="173"/>
      <c r="L60" s="4"/>
      <c r="M60" s="4"/>
      <c r="N60" s="4"/>
      <c r="O60" s="194" t="e">
        <f>IF(O59+1&lt;=MIN('Données projet'!$E$9:$E$18),O59+1,"STOP")</f>
        <v>#VALUE!</v>
      </c>
      <c r="P60" s="185" t="e">
        <f t="shared" si="3"/>
        <v>#VALUE!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45</v>
      </c>
      <c r="B61" s="181">
        <f>'Données projet'!D69</f>
        <v>26</v>
      </c>
      <c r="C61" s="191">
        <v>50</v>
      </c>
      <c r="D61" s="179">
        <f t="shared" si="4"/>
        <v>1300</v>
      </c>
      <c r="E61" s="193">
        <v>150</v>
      </c>
      <c r="F61" s="232"/>
      <c r="G61" s="206"/>
      <c r="H61" s="190"/>
      <c r="I61" s="191"/>
      <c r="J61" s="23"/>
      <c r="K61" s="173"/>
      <c r="L61" s="4"/>
      <c r="M61" s="4"/>
      <c r="N61" s="4"/>
      <c r="O61" s="194" t="e">
        <f>IF(O60+1&lt;=MIN('Données projet'!$E$9:$E$18),O60+1,"STOP")</f>
        <v>#VALUE!</v>
      </c>
      <c r="P61" s="185" t="e">
        <f t="shared" si="3"/>
        <v>#VALUE!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50</v>
      </c>
      <c r="B62" s="181">
        <f>'Données projet'!D70</f>
        <v>21</v>
      </c>
      <c r="C62" s="191">
        <v>50</v>
      </c>
      <c r="D62" s="179">
        <f t="shared" si="4"/>
        <v>1050</v>
      </c>
      <c r="E62" s="193">
        <v>150</v>
      </c>
      <c r="F62" s="232"/>
      <c r="G62" s="206"/>
      <c r="H62" s="190"/>
      <c r="I62" s="191"/>
      <c r="J62" s="23"/>
      <c r="K62" s="173"/>
      <c r="L62" s="4"/>
      <c r="M62" s="4"/>
      <c r="N62" s="4"/>
      <c r="O62" s="194" t="e">
        <f>IF(O61+1&lt;=MIN('Données projet'!$E$9:$E$18),O61+1,"STOP")</f>
        <v>#VALUE!</v>
      </c>
      <c r="P62" s="185" t="e">
        <f t="shared" si="3"/>
        <v>#VALUE!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55</v>
      </c>
      <c r="B63" s="181">
        <f>'Données projet'!D71</f>
        <v>18</v>
      </c>
      <c r="C63" s="191">
        <v>50</v>
      </c>
      <c r="D63" s="179">
        <f t="shared" si="4"/>
        <v>900</v>
      </c>
      <c r="E63" s="193">
        <v>150</v>
      </c>
      <c r="F63" s="232"/>
      <c r="G63" s="206"/>
      <c r="H63" s="190"/>
      <c r="I63" s="191"/>
      <c r="J63" s="23"/>
      <c r="K63" s="173"/>
      <c r="L63" s="4"/>
      <c r="M63" s="4"/>
      <c r="N63" s="4"/>
      <c r="O63" s="194" t="e">
        <f>IF(O62+1&lt;=MIN('Données projet'!$E$9:$E$18),O62+1,"STOP")</f>
        <v>#VALUE!</v>
      </c>
      <c r="P63" s="185" t="e">
        <f t="shared" si="3"/>
        <v>#VALUE!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60</v>
      </c>
      <c r="B64" s="181">
        <f>'Données projet'!D72</f>
        <v>17</v>
      </c>
      <c r="C64" s="191">
        <v>50</v>
      </c>
      <c r="D64" s="179">
        <f t="shared" si="4"/>
        <v>850</v>
      </c>
      <c r="E64" s="193">
        <v>150</v>
      </c>
      <c r="F64" s="232"/>
      <c r="G64" s="206"/>
      <c r="H64" s="190"/>
      <c r="I64" s="191"/>
      <c r="J64" s="207"/>
      <c r="K64" s="173"/>
      <c r="L64" s="4"/>
      <c r="M64" s="4"/>
      <c r="N64" s="4"/>
      <c r="O64" s="194" t="e">
        <f>IF(O63+1&lt;=MIN('Données projet'!$E$9:$E$18),O63+1,"STOP")</f>
        <v>#VALUE!</v>
      </c>
      <c r="P64" s="185" t="e">
        <f t="shared" si="3"/>
        <v>#VALUE!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65</v>
      </c>
      <c r="B65" s="181">
        <f>'Données projet'!D73</f>
        <v>16</v>
      </c>
      <c r="C65" s="191">
        <v>50</v>
      </c>
      <c r="D65" s="179">
        <f t="shared" si="4"/>
        <v>800</v>
      </c>
      <c r="E65" s="193">
        <v>150</v>
      </c>
      <c r="F65" s="232"/>
      <c r="G65" s="206"/>
      <c r="H65" s="190"/>
      <c r="I65" s="191"/>
      <c r="J65" s="189"/>
      <c r="K65" s="173"/>
      <c r="L65" s="4"/>
      <c r="M65" s="4"/>
      <c r="N65" s="4"/>
      <c r="O65" s="194" t="e">
        <f>IF(O64+1&lt;=MIN('Données projet'!$E$9:$E$18),O64+1,"STOP")</f>
        <v>#VALUE!</v>
      </c>
      <c r="P65" s="185" t="e">
        <f t="shared" ref="P65:P96" si="5">$P$25/(1+$M$4)^O65</f>
        <v>#VALUE!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70</v>
      </c>
      <c r="B66" s="181">
        <f>'Données projet'!D74</f>
        <v>15</v>
      </c>
      <c r="C66" s="191">
        <v>50</v>
      </c>
      <c r="D66" s="179">
        <f t="shared" si="4"/>
        <v>750</v>
      </c>
      <c r="E66" s="193">
        <v>150</v>
      </c>
      <c r="F66" s="232"/>
      <c r="G66" s="206"/>
      <c r="H66" s="190"/>
      <c r="I66" s="191"/>
      <c r="J66" s="189"/>
      <c r="K66" s="173"/>
      <c r="L66" s="4"/>
      <c r="M66" s="4"/>
      <c r="N66" s="4"/>
      <c r="O66" s="194" t="e">
        <f>IF(O65+1&lt;=MIN('Données projet'!$E$9:$E$18),O65+1,"STOP")</f>
        <v>#VALUE!</v>
      </c>
      <c r="P66" s="185" t="e">
        <f t="shared" si="5"/>
        <v>#VALUE!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75</v>
      </c>
      <c r="B67" s="181">
        <f>'Données projet'!D75</f>
        <v>14</v>
      </c>
      <c r="C67" s="191">
        <v>50</v>
      </c>
      <c r="D67" s="179">
        <f t="shared" si="4"/>
        <v>700</v>
      </c>
      <c r="E67" s="193">
        <v>150</v>
      </c>
      <c r="F67" s="232"/>
      <c r="G67" s="206"/>
      <c r="H67" s="190"/>
      <c r="I67" s="191"/>
      <c r="J67" s="189"/>
      <c r="K67" s="173"/>
      <c r="L67" s="4"/>
      <c r="M67" s="4"/>
      <c r="N67" s="4"/>
      <c r="O67" s="194" t="e">
        <f>IF(O66+1&lt;=MIN('Données projet'!$E$9:$E$18),O66+1,"STOP")</f>
        <v>#VALUE!</v>
      </c>
      <c r="P67" s="185" t="e">
        <f t="shared" si="5"/>
        <v>#VALUE!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80</v>
      </c>
      <c r="B68" s="181">
        <f>'Données projet'!D76</f>
        <v>13</v>
      </c>
      <c r="C68" s="191">
        <v>50</v>
      </c>
      <c r="D68" s="179">
        <f t="shared" si="4"/>
        <v>650</v>
      </c>
      <c r="E68" s="193">
        <v>150</v>
      </c>
      <c r="F68" s="232"/>
      <c r="G68" s="206"/>
      <c r="H68" s="190"/>
      <c r="I68" s="191"/>
      <c r="J68" s="189"/>
      <c r="K68" s="173"/>
      <c r="L68" s="4"/>
      <c r="M68" s="4"/>
      <c r="N68" s="4"/>
      <c r="O68" s="194" t="e">
        <f>IF(O67+1&lt;=MIN('Données projet'!$E$9:$E$18),O67+1,"STOP")</f>
        <v>#VALUE!</v>
      </c>
      <c r="P68" s="185" t="e">
        <f t="shared" si="5"/>
        <v>#VALUE!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5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20</v>
      </c>
      <c r="B76" s="174" t="str">
        <f>IF('Données projet'!B11="","",'Données projet'!B11)</f>
        <v>Aulne glutineux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49</v>
      </c>
      <c r="B78" s="48" t="s">
        <v>308</v>
      </c>
      <c r="C78" s="48" t="s">
        <v>309</v>
      </c>
      <c r="D78" s="36" t="s">
        <v>310</v>
      </c>
      <c r="E78" s="36" t="s">
        <v>311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195</v>
      </c>
      <c r="C79" s="198" t="s">
        <v>195</v>
      </c>
      <c r="D79" s="197" t="s">
        <v>195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195</v>
      </c>
      <c r="C80" s="198" t="s">
        <v>195</v>
      </c>
      <c r="D80" s="197" t="s">
        <v>195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195</v>
      </c>
      <c r="C81" s="198" t="s">
        <v>195</v>
      </c>
      <c r="D81" s="197" t="s">
        <v>195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195</v>
      </c>
      <c r="C82" s="198" t="s">
        <v>195</v>
      </c>
      <c r="D82" s="197" t="s">
        <v>195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195</v>
      </c>
      <c r="C83" s="198" t="s">
        <v>195</v>
      </c>
      <c r="D83" s="197" t="s">
        <v>195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195</v>
      </c>
      <c r="C84" s="198" t="s">
        <v>195</v>
      </c>
      <c r="D84" s="197" t="s">
        <v>195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10</v>
      </c>
      <c r="B85" s="181" t="str">
        <f>'Données projet'!D88</f>
        <v>1</v>
      </c>
      <c r="C85" s="191">
        <v>10</v>
      </c>
      <c r="D85" s="179">
        <f>B85*C85</f>
        <v>10</v>
      </c>
      <c r="E85" s="193">
        <v>150</v>
      </c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15</v>
      </c>
      <c r="B86" s="181" t="str">
        <f>'Données projet'!D89</f>
        <v>5</v>
      </c>
      <c r="C86" s="191">
        <v>10</v>
      </c>
      <c r="D86" s="179">
        <f t="shared" ref="D86:D104" si="6">B86*C86</f>
        <v>50</v>
      </c>
      <c r="E86" s="193">
        <v>150</v>
      </c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20</v>
      </c>
      <c r="B87" s="181" t="str">
        <f>'Données projet'!D90</f>
        <v>12</v>
      </c>
      <c r="C87" s="191">
        <v>15</v>
      </c>
      <c r="D87" s="179">
        <f t="shared" si="6"/>
        <v>180</v>
      </c>
      <c r="E87" s="193">
        <v>150</v>
      </c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25</v>
      </c>
      <c r="B88" s="181" t="str">
        <f>'Données projet'!D91</f>
        <v>24</v>
      </c>
      <c r="C88" s="191">
        <v>15</v>
      </c>
      <c r="D88" s="179">
        <f t="shared" si="6"/>
        <v>360</v>
      </c>
      <c r="E88" s="193">
        <v>150</v>
      </c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30</v>
      </c>
      <c r="B89" s="181" t="str">
        <f>'Données projet'!D92</f>
        <v>26</v>
      </c>
      <c r="C89" s="191">
        <v>50</v>
      </c>
      <c r="D89" s="179">
        <f t="shared" si="6"/>
        <v>1300</v>
      </c>
      <c r="E89" s="193">
        <v>150</v>
      </c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35</v>
      </c>
      <c r="B90" s="181" t="str">
        <f>'Données projet'!D93</f>
        <v>28</v>
      </c>
      <c r="C90" s="191">
        <v>50</v>
      </c>
      <c r="D90" s="179">
        <f t="shared" si="6"/>
        <v>1400</v>
      </c>
      <c r="E90" s="193">
        <v>150</v>
      </c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40</v>
      </c>
      <c r="B91" s="181" t="str">
        <f>'Données projet'!D94</f>
        <v>28</v>
      </c>
      <c r="C91" s="191">
        <v>50</v>
      </c>
      <c r="D91" s="179">
        <f t="shared" si="6"/>
        <v>1400</v>
      </c>
      <c r="E91" s="193">
        <v>150</v>
      </c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45</v>
      </c>
      <c r="B92" s="181" t="str">
        <f>'Données projet'!D95</f>
        <v>28</v>
      </c>
      <c r="C92" s="191">
        <v>50</v>
      </c>
      <c r="D92" s="179">
        <f t="shared" si="6"/>
        <v>1400</v>
      </c>
      <c r="E92" s="193">
        <v>150</v>
      </c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50</v>
      </c>
      <c r="B93" s="181" t="str">
        <f>'Données projet'!D96</f>
        <v>27</v>
      </c>
      <c r="C93" s="191">
        <v>50</v>
      </c>
      <c r="D93" s="179">
        <f t="shared" si="6"/>
        <v>1350</v>
      </c>
      <c r="E93" s="193">
        <v>150</v>
      </c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55</v>
      </c>
      <c r="B94" s="181" t="str">
        <f>'Données projet'!D97</f>
        <v>25</v>
      </c>
      <c r="C94" s="191">
        <v>50</v>
      </c>
      <c r="D94" s="179">
        <f t="shared" si="6"/>
        <v>1250</v>
      </c>
      <c r="E94" s="193">
        <v>150</v>
      </c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60</v>
      </c>
      <c r="B95" s="181" t="str">
        <f>'Données projet'!D98</f>
        <v>24</v>
      </c>
      <c r="C95" s="191">
        <v>50</v>
      </c>
      <c r="D95" s="179">
        <f t="shared" si="6"/>
        <v>1200</v>
      </c>
      <c r="E95" s="193">
        <v>150</v>
      </c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65</v>
      </c>
      <c r="B96" s="181" t="str">
        <f>'Données projet'!D99</f>
        <v>22</v>
      </c>
      <c r="C96" s="191">
        <v>50</v>
      </c>
      <c r="D96" s="179">
        <f t="shared" si="6"/>
        <v>1100</v>
      </c>
      <c r="E96" s="193">
        <v>150</v>
      </c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70</v>
      </c>
      <c r="B97" s="181" t="str">
        <f>'Données projet'!D100</f>
        <v>21</v>
      </c>
      <c r="C97" s="191">
        <v>50</v>
      </c>
      <c r="D97" s="179">
        <f t="shared" si="6"/>
        <v>1050</v>
      </c>
      <c r="E97" s="193">
        <v>150</v>
      </c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75</v>
      </c>
      <c r="B98" s="181" t="str">
        <f>'Données projet'!D101</f>
        <v>19</v>
      </c>
      <c r="C98" s="191">
        <v>50</v>
      </c>
      <c r="D98" s="179">
        <f t="shared" si="6"/>
        <v>950</v>
      </c>
      <c r="E98" s="193">
        <v>150</v>
      </c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80</v>
      </c>
      <c r="B99" s="181" t="str">
        <f>'Données projet'!D102</f>
        <v>18</v>
      </c>
      <c r="C99" s="191">
        <v>50</v>
      </c>
      <c r="D99" s="179">
        <f t="shared" si="6"/>
        <v>900</v>
      </c>
      <c r="E99" s="193">
        <v>150</v>
      </c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85</v>
      </c>
      <c r="B100" s="181" t="str">
        <f>'Données projet'!D103</f>
        <v>16</v>
      </c>
      <c r="C100" s="191">
        <v>50</v>
      </c>
      <c r="D100" s="179">
        <f t="shared" si="6"/>
        <v>800</v>
      </c>
      <c r="E100" s="193">
        <v>150</v>
      </c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90</v>
      </c>
      <c r="B101" s="181" t="str">
        <f>'Données projet'!D104</f>
        <v>15</v>
      </c>
      <c r="C101" s="191">
        <v>50</v>
      </c>
      <c r="D101" s="179">
        <f t="shared" si="6"/>
        <v>750</v>
      </c>
      <c r="E101" s="193">
        <v>150</v>
      </c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22</v>
      </c>
      <c r="B107" s="174" t="str">
        <f>IF('Données projet'!B12="","",'Données projet'!B12)</f>
        <v>Chêne sessile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49</v>
      </c>
      <c r="B109" s="48" t="s">
        <v>308</v>
      </c>
      <c r="C109" s="48" t="s">
        <v>309</v>
      </c>
      <c r="D109" s="36" t="s">
        <v>310</v>
      </c>
      <c r="E109" s="36" t="s">
        <v>311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195</v>
      </c>
      <c r="C110" s="198" t="s">
        <v>195</v>
      </c>
      <c r="D110" s="197" t="s">
        <v>195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195</v>
      </c>
      <c r="C111" s="198" t="s">
        <v>195</v>
      </c>
      <c r="D111" s="197" t="s">
        <v>195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195</v>
      </c>
      <c r="C112" s="198" t="s">
        <v>195</v>
      </c>
      <c r="D112" s="197" t="s">
        <v>195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195</v>
      </c>
      <c r="C113" s="198" t="s">
        <v>195</v>
      </c>
      <c r="D113" s="197" t="s">
        <v>195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195</v>
      </c>
      <c r="C114" s="198" t="s">
        <v>195</v>
      </c>
      <c r="D114" s="197" t="s">
        <v>195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195</v>
      </c>
      <c r="C115" s="198" t="s">
        <v>195</v>
      </c>
      <c r="D115" s="197" t="s">
        <v>195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30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35</v>
      </c>
      <c r="B117" s="181">
        <f>'Données projet'!D115</f>
        <v>60.602564102564102</v>
      </c>
      <c r="C117" s="191">
        <v>10</v>
      </c>
      <c r="D117" s="179">
        <f t="shared" ref="D117:D135" si="8">B117*C117</f>
        <v>606.02564102564099</v>
      </c>
      <c r="E117" s="193">
        <v>150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41</v>
      </c>
      <c r="B118" s="181">
        <f>'Données projet'!D116</f>
        <v>38.512820512820511</v>
      </c>
      <c r="C118" s="191">
        <v>10</v>
      </c>
      <c r="D118" s="179">
        <f t="shared" si="8"/>
        <v>385.12820512820508</v>
      </c>
      <c r="E118" s="193">
        <v>150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48</v>
      </c>
      <c r="B119" s="181">
        <f>'Données projet'!D117</f>
        <v>48.025641025641022</v>
      </c>
      <c r="C119" s="191">
        <v>50</v>
      </c>
      <c r="D119" s="179">
        <f t="shared" si="8"/>
        <v>2401.2820512820513</v>
      </c>
      <c r="E119" s="193">
        <v>150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55</v>
      </c>
      <c r="B120" s="181">
        <f>'Données projet'!D118</f>
        <v>45.147435897435898</v>
      </c>
      <c r="C120" s="191">
        <v>50</v>
      </c>
      <c r="D120" s="179">
        <f t="shared" si="8"/>
        <v>2257.3717948717949</v>
      </c>
      <c r="E120" s="193">
        <v>150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63</v>
      </c>
      <c r="B121" s="181">
        <f>'Données projet'!D119</f>
        <v>41.724358974358978</v>
      </c>
      <c r="C121" s="191">
        <v>50</v>
      </c>
      <c r="D121" s="179">
        <f t="shared" si="8"/>
        <v>2086.2179487179487</v>
      </c>
      <c r="E121" s="193">
        <v>150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71</v>
      </c>
      <c r="B122" s="181">
        <f>'Données projet'!D120</f>
        <v>39.935897435897431</v>
      </c>
      <c r="C122" s="191">
        <v>100</v>
      </c>
      <c r="D122" s="179">
        <f t="shared" si="8"/>
        <v>3993.5897435897432</v>
      </c>
      <c r="E122" s="193">
        <v>150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80</v>
      </c>
      <c r="B123" s="181">
        <f>'Données projet'!D121</f>
        <v>45.608974358974358</v>
      </c>
      <c r="C123" s="191">
        <v>100</v>
      </c>
      <c r="D123" s="179">
        <f t="shared" si="8"/>
        <v>4560.8974358974356</v>
      </c>
      <c r="E123" s="193">
        <v>150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89</v>
      </c>
      <c r="B124" s="181">
        <f>'Données projet'!D122</f>
        <v>49.391025641025635</v>
      </c>
      <c r="C124" s="191">
        <v>150</v>
      </c>
      <c r="D124" s="179">
        <f t="shared" si="8"/>
        <v>7408.6538461538457</v>
      </c>
      <c r="E124" s="193">
        <v>150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99</v>
      </c>
      <c r="B125" s="181">
        <f>'Données projet'!D123</f>
        <v>48.019230769230766</v>
      </c>
      <c r="C125" s="191">
        <v>150</v>
      </c>
      <c r="D125" s="179">
        <f t="shared" si="8"/>
        <v>7202.8846153846152</v>
      </c>
      <c r="E125" s="193">
        <v>150</v>
      </c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109</v>
      </c>
      <c r="B126" s="181">
        <f>'Données projet'!D124</f>
        <v>51.28846153846154</v>
      </c>
      <c r="C126" s="191">
        <v>150</v>
      </c>
      <c r="D126" s="179">
        <f t="shared" si="8"/>
        <v>7693.2692307692314</v>
      </c>
      <c r="E126" s="193">
        <v>150</v>
      </c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119</v>
      </c>
      <c r="B127" s="181">
        <f>'Données projet'!D125</f>
        <v>150.02564102564102</v>
      </c>
      <c r="C127" s="191">
        <v>200</v>
      </c>
      <c r="D127" s="179">
        <f t="shared" si="8"/>
        <v>30005.128205128203</v>
      </c>
      <c r="E127" s="193">
        <v>150</v>
      </c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123</v>
      </c>
      <c r="B128" s="181">
        <f>'Données projet'!D126</f>
        <v>77.17307692307692</v>
      </c>
      <c r="C128" s="191">
        <v>200</v>
      </c>
      <c r="D128" s="179">
        <f t="shared" si="8"/>
        <v>15434.615384615385</v>
      </c>
      <c r="E128" s="193">
        <v>150</v>
      </c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127</v>
      </c>
      <c r="B129" s="181">
        <f>'Données projet'!D127</f>
        <v>49.916666666666671</v>
      </c>
      <c r="C129" s="191">
        <v>200</v>
      </c>
      <c r="D129" s="179">
        <f t="shared" si="8"/>
        <v>9983.3333333333339</v>
      </c>
      <c r="E129" s="193">
        <v>150</v>
      </c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131</v>
      </c>
      <c r="B130" s="181">
        <f>'Données projet'!D128</f>
        <v>110.91025641025641</v>
      </c>
      <c r="C130" s="191">
        <v>200</v>
      </c>
      <c r="D130" s="179">
        <f t="shared" si="8"/>
        <v>22182.051282051281</v>
      </c>
      <c r="E130" s="193">
        <v>150</v>
      </c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24</v>
      </c>
      <c r="B138" s="174" t="str">
        <f>IF('Données projet'!B13="","",'Données projet'!B13)</f>
        <v>Chêne rouge d'Amérique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49</v>
      </c>
      <c r="B140" s="48" t="s">
        <v>308</v>
      </c>
      <c r="C140" s="48" t="s">
        <v>309</v>
      </c>
      <c r="D140" s="36" t="s">
        <v>310</v>
      </c>
      <c r="E140" s="36" t="s">
        <v>311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195</v>
      </c>
      <c r="C141" s="198" t="s">
        <v>195</v>
      </c>
      <c r="D141" s="197" t="s">
        <v>195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195</v>
      </c>
      <c r="C142" s="198" t="s">
        <v>195</v>
      </c>
      <c r="D142" s="197" t="s">
        <v>195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195</v>
      </c>
      <c r="C143" s="198" t="s">
        <v>195</v>
      </c>
      <c r="D143" s="197" t="s">
        <v>195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195</v>
      </c>
      <c r="C144" s="198" t="s">
        <v>195</v>
      </c>
      <c r="D144" s="197" t="s">
        <v>195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195</v>
      </c>
      <c r="C145" s="198" t="s">
        <v>195</v>
      </c>
      <c r="D145" s="197" t="s">
        <v>195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195</v>
      </c>
      <c r="C146" s="198" t="s">
        <v>195</v>
      </c>
      <c r="D146" s="197" t="s">
        <v>195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10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15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20</v>
      </c>
      <c r="B149" s="175" t="str">
        <f>'Données projet'!D142</f>
        <v>29</v>
      </c>
      <c r="C149" s="191">
        <v>10</v>
      </c>
      <c r="D149" s="182">
        <f t="shared" si="10"/>
        <v>290</v>
      </c>
      <c r="E149" s="193">
        <v>150</v>
      </c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25</v>
      </c>
      <c r="B150" s="175" t="str">
        <f>'Données projet'!D143</f>
        <v>19</v>
      </c>
      <c r="C150" s="191">
        <v>10</v>
      </c>
      <c r="D150" s="182">
        <f t="shared" si="10"/>
        <v>190</v>
      </c>
      <c r="E150" s="193">
        <v>150</v>
      </c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30</v>
      </c>
      <c r="B151" s="175" t="str">
        <f>'Données projet'!D144</f>
        <v>20</v>
      </c>
      <c r="C151" s="191">
        <v>50</v>
      </c>
      <c r="D151" s="182">
        <f t="shared" si="10"/>
        <v>1000</v>
      </c>
      <c r="E151" s="193">
        <v>150</v>
      </c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35</v>
      </c>
      <c r="B152" s="175" t="str">
        <f>'Données projet'!D145</f>
        <v>20</v>
      </c>
      <c r="C152" s="191">
        <v>50</v>
      </c>
      <c r="D152" s="182">
        <f t="shared" si="10"/>
        <v>1000</v>
      </c>
      <c r="E152" s="193">
        <v>150</v>
      </c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40</v>
      </c>
      <c r="B153" s="175" t="str">
        <f>'Données projet'!D146</f>
        <v>20</v>
      </c>
      <c r="C153" s="191">
        <v>50</v>
      </c>
      <c r="D153" s="182">
        <f t="shared" si="10"/>
        <v>1000</v>
      </c>
      <c r="E153" s="193">
        <v>150</v>
      </c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45</v>
      </c>
      <c r="B154" s="175" t="str">
        <f>'Données projet'!D147</f>
        <v>19</v>
      </c>
      <c r="C154" s="191">
        <v>100</v>
      </c>
      <c r="D154" s="182">
        <f t="shared" si="10"/>
        <v>1900</v>
      </c>
      <c r="E154" s="193">
        <v>150</v>
      </c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50</v>
      </c>
      <c r="B155" s="175" t="str">
        <f>'Données projet'!D148</f>
        <v>18</v>
      </c>
      <c r="C155" s="191">
        <v>100</v>
      </c>
      <c r="D155" s="182">
        <f t="shared" si="10"/>
        <v>1800</v>
      </c>
      <c r="E155" s="193">
        <v>150</v>
      </c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55</v>
      </c>
      <c r="B156" s="175" t="str">
        <f>'Données projet'!D149</f>
        <v>17</v>
      </c>
      <c r="C156" s="191">
        <v>150</v>
      </c>
      <c r="D156" s="182">
        <f t="shared" si="10"/>
        <v>2550</v>
      </c>
      <c r="E156" s="193">
        <v>150</v>
      </c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60</v>
      </c>
      <c r="B157" s="175" t="str">
        <f>'Données projet'!D150</f>
        <v>16</v>
      </c>
      <c r="C157" s="191">
        <v>150</v>
      </c>
      <c r="D157" s="182">
        <f t="shared" si="10"/>
        <v>2400</v>
      </c>
      <c r="E157" s="193">
        <v>150</v>
      </c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65</v>
      </c>
      <c r="B158" s="175" t="str">
        <f>'Données projet'!D151</f>
        <v>15</v>
      </c>
      <c r="C158" s="191">
        <v>150</v>
      </c>
      <c r="D158" s="182">
        <f t="shared" si="10"/>
        <v>2250</v>
      </c>
      <c r="E158" s="193">
        <v>150</v>
      </c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70</v>
      </c>
      <c r="B159" s="175" t="str">
        <f>'Données projet'!D152</f>
        <v>14</v>
      </c>
      <c r="C159" s="191">
        <v>200</v>
      </c>
      <c r="D159" s="182">
        <f t="shared" si="10"/>
        <v>2800</v>
      </c>
      <c r="E159" s="193">
        <v>150</v>
      </c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75</v>
      </c>
      <c r="B160" s="175" t="str">
        <f>'Données projet'!D153</f>
        <v>12</v>
      </c>
      <c r="C160" s="191">
        <v>200</v>
      </c>
      <c r="D160" s="182">
        <f t="shared" si="10"/>
        <v>2400</v>
      </c>
      <c r="E160" s="193">
        <v>150</v>
      </c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80</v>
      </c>
      <c r="B161" s="175" t="str">
        <f>'Données projet'!D154</f>
        <v>11</v>
      </c>
      <c r="C161" s="191">
        <v>200</v>
      </c>
      <c r="D161" s="182">
        <f t="shared" si="10"/>
        <v>2200</v>
      </c>
      <c r="E161" s="193">
        <v>150</v>
      </c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85</v>
      </c>
      <c r="B162" s="175" t="str">
        <f>'Données projet'!D155</f>
        <v>10</v>
      </c>
      <c r="C162" s="191">
        <v>200</v>
      </c>
      <c r="D162" s="182">
        <f t="shared" si="10"/>
        <v>2000</v>
      </c>
      <c r="E162" s="193">
        <v>150</v>
      </c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90</v>
      </c>
      <c r="B163" s="175" t="str">
        <f>'Données projet'!D156</f>
        <v>10</v>
      </c>
      <c r="C163" s="191">
        <v>200</v>
      </c>
      <c r="D163" s="182">
        <f t="shared" si="10"/>
        <v>2000</v>
      </c>
      <c r="E163" s="193">
        <v>150</v>
      </c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95</v>
      </c>
      <c r="B164" s="175" t="str">
        <f>'Données projet'!D157</f>
        <v>11</v>
      </c>
      <c r="C164" s="191">
        <v>200</v>
      </c>
      <c r="D164" s="182">
        <f t="shared" si="10"/>
        <v>2200</v>
      </c>
      <c r="E164" s="193">
        <v>150</v>
      </c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100</v>
      </c>
      <c r="B165" s="175" t="str">
        <f>'Données projet'!D158</f>
        <v>11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26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49</v>
      </c>
      <c r="B171" s="48" t="s">
        <v>308</v>
      </c>
      <c r="C171" s="48" t="s">
        <v>309</v>
      </c>
      <c r="D171" s="36" t="s">
        <v>310</v>
      </c>
      <c r="E171" s="36" t="s">
        <v>311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195</v>
      </c>
      <c r="C172" s="198" t="s">
        <v>195</v>
      </c>
      <c r="D172" s="197" t="s">
        <v>195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195</v>
      </c>
      <c r="C173" s="198" t="s">
        <v>195</v>
      </c>
      <c r="D173" s="197" t="s">
        <v>195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195</v>
      </c>
      <c r="C174" s="198" t="s">
        <v>195</v>
      </c>
      <c r="D174" s="197" t="s">
        <v>195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195</v>
      </c>
      <c r="C175" s="198" t="s">
        <v>195</v>
      </c>
      <c r="D175" s="197" t="s">
        <v>195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195</v>
      </c>
      <c r="C176" s="198" t="s">
        <v>195</v>
      </c>
      <c r="D176" s="197" t="s">
        <v>195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195</v>
      </c>
      <c r="C177" s="198" t="s">
        <v>195</v>
      </c>
      <c r="D177" s="197" t="s">
        <v>195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27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49</v>
      </c>
      <c r="B202" s="48" t="s">
        <v>308</v>
      </c>
      <c r="C202" s="48" t="s">
        <v>309</v>
      </c>
      <c r="D202" s="36" t="s">
        <v>310</v>
      </c>
      <c r="E202" s="36" t="s">
        <v>311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195</v>
      </c>
      <c r="C203" s="198" t="s">
        <v>195</v>
      </c>
      <c r="D203" s="197" t="s">
        <v>195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195</v>
      </c>
      <c r="C204" s="198" t="s">
        <v>195</v>
      </c>
      <c r="D204" s="197" t="s">
        <v>195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195</v>
      </c>
      <c r="C205" s="198" t="s">
        <v>195</v>
      </c>
      <c r="D205" s="197" t="s">
        <v>195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195</v>
      </c>
      <c r="C206" s="198" t="s">
        <v>195</v>
      </c>
      <c r="D206" s="197" t="s">
        <v>195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195</v>
      </c>
      <c r="C207" s="198" t="s">
        <v>195</v>
      </c>
      <c r="D207" s="197" t="s">
        <v>195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195</v>
      </c>
      <c r="C208" s="198" t="s">
        <v>195</v>
      </c>
      <c r="D208" s="197" t="s">
        <v>195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28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49</v>
      </c>
      <c r="B233" s="48" t="s">
        <v>308</v>
      </c>
      <c r="C233" s="48" t="s">
        <v>309</v>
      </c>
      <c r="D233" s="36" t="s">
        <v>310</v>
      </c>
      <c r="E233" s="36" t="s">
        <v>311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195</v>
      </c>
      <c r="C234" s="198" t="s">
        <v>195</v>
      </c>
      <c r="D234" s="197" t="s">
        <v>195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195</v>
      </c>
      <c r="C235" s="198" t="s">
        <v>195</v>
      </c>
      <c r="D235" s="197" t="s">
        <v>195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195</v>
      </c>
      <c r="C236" s="198" t="s">
        <v>195</v>
      </c>
      <c r="D236" s="197" t="s">
        <v>195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195</v>
      </c>
      <c r="C237" s="198" t="s">
        <v>195</v>
      </c>
      <c r="D237" s="197" t="s">
        <v>195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195</v>
      </c>
      <c r="C238" s="198" t="s">
        <v>195</v>
      </c>
      <c r="D238" s="197" t="s">
        <v>195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195</v>
      </c>
      <c r="C239" s="198" t="s">
        <v>195</v>
      </c>
      <c r="D239" s="197" t="s">
        <v>195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29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49</v>
      </c>
      <c r="B264" s="48" t="s">
        <v>308</v>
      </c>
      <c r="C264" s="48" t="s">
        <v>309</v>
      </c>
      <c r="D264" s="36" t="s">
        <v>310</v>
      </c>
      <c r="E264" s="36" t="s">
        <v>311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195</v>
      </c>
      <c r="C265" s="198" t="s">
        <v>195</v>
      </c>
      <c r="D265" s="197" t="s">
        <v>195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195</v>
      </c>
      <c r="C266" s="198" t="s">
        <v>195</v>
      </c>
      <c r="D266" s="197" t="s">
        <v>195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195</v>
      </c>
      <c r="C267" s="198" t="s">
        <v>195</v>
      </c>
      <c r="D267" s="197" t="s">
        <v>195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195</v>
      </c>
      <c r="C268" s="198" t="s">
        <v>195</v>
      </c>
      <c r="D268" s="197" t="s">
        <v>195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195</v>
      </c>
      <c r="C269" s="198" t="s">
        <v>195</v>
      </c>
      <c r="D269" s="197" t="s">
        <v>195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195</v>
      </c>
      <c r="C270" s="198" t="s">
        <v>195</v>
      </c>
      <c r="D270" s="197" t="s">
        <v>195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30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49</v>
      </c>
      <c r="B295" s="48" t="s">
        <v>308</v>
      </c>
      <c r="C295" s="48" t="s">
        <v>309</v>
      </c>
      <c r="D295" s="36" t="s">
        <v>310</v>
      </c>
      <c r="E295" s="36" t="s">
        <v>311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195</v>
      </c>
      <c r="C296" s="198" t="s">
        <v>195</v>
      </c>
      <c r="D296" s="197" t="s">
        <v>195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195</v>
      </c>
      <c r="C297" s="198" t="s">
        <v>195</v>
      </c>
      <c r="D297" s="197" t="s">
        <v>195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195</v>
      </c>
      <c r="C298" s="198" t="s">
        <v>195</v>
      </c>
      <c r="D298" s="197" t="s">
        <v>195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195</v>
      </c>
      <c r="C299" s="198" t="s">
        <v>195</v>
      </c>
      <c r="D299" s="197" t="s">
        <v>195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195</v>
      </c>
      <c r="C300" s="198" t="s">
        <v>195</v>
      </c>
      <c r="D300" s="197" t="s">
        <v>195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195</v>
      </c>
      <c r="C301" s="198" t="s">
        <v>195</v>
      </c>
      <c r="D301" s="197" t="s">
        <v>195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eate a new document." ma:contentTypeScope="" ma:versionID="49951f572a41aa882f04e9f42578a92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94df4027eaf4d90bb8314d13bfdb5452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CE8199-1F18-4819-9A9A-A58C5761B1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22C1118-C064-4516-9F00-3E6EC423E78C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customXml/itemProps3.xml><?xml version="1.0" encoding="utf-8"?>
<ds:datastoreItem xmlns:ds="http://schemas.openxmlformats.org/officeDocument/2006/customXml" ds:itemID="{8ED50488-555E-451F-B697-56E0CCCD52E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Nesrine Ahmed Tounsi</cp:lastModifiedBy>
  <cp:revision/>
  <dcterms:created xsi:type="dcterms:W3CDTF">2021-02-01T08:22:39Z</dcterms:created>
  <dcterms:modified xsi:type="dcterms:W3CDTF">2024-03-13T08:49:43Z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  <property fmtid="{D5CDD505-2E9C-101B-9397-08002B2CF9AE}" pid="3" name="MediaServiceImageTags">
    <vt:lpwstr/>
  </property>
</Properties>
</file>